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ag cost\GDP\AWS utilities\cli\aws-services-snapshot\"/>
    </mc:Choice>
  </mc:AlternateContent>
  <bookViews>
    <workbookView xWindow="0" yWindow="0" windowWidth="28800" windowHeight="13395"/>
  </bookViews>
  <sheets>
    <sheet name="documentation" sheetId="6" r:id="rId1"/>
    <sheet name="aws_services" sheetId="4" r:id="rId2"/>
    <sheet name="aws_cli_commands" sheetId="1" r:id="rId3"/>
    <sheet name="aws_cli_commands_recursive" sheetId="2" r:id="rId4"/>
  </sheets>
  <calcPr calcId="162913"/>
</workbook>
</file>

<file path=xl/calcChain.xml><?xml version="1.0" encoding="utf-8"?>
<calcChain xmlns="http://schemas.openxmlformats.org/spreadsheetml/2006/main">
  <c r="R37" i="2" l="1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R2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BB37" i="2" l="1"/>
  <c r="BB36" i="2"/>
  <c r="BB35" i="2"/>
  <c r="BB34" i="2"/>
  <c r="BB33" i="2"/>
  <c r="BB32" i="2"/>
  <c r="BB31" i="2"/>
  <c r="BB30" i="2"/>
  <c r="BB29" i="2"/>
  <c r="BB28" i="2"/>
  <c r="BB27" i="2"/>
  <c r="BB26" i="2"/>
  <c r="BB24" i="2"/>
  <c r="BB23" i="2"/>
  <c r="BB22" i="2"/>
  <c r="BB21" i="2"/>
  <c r="BB20" i="2"/>
  <c r="BB19" i="2"/>
  <c r="BB18" i="2"/>
  <c r="BB17" i="2"/>
  <c r="BB15" i="2"/>
  <c r="BB14" i="2"/>
  <c r="BB13" i="2"/>
  <c r="BB12" i="2"/>
  <c r="BB11" i="2"/>
  <c r="BB10" i="2"/>
  <c r="BB9" i="2"/>
  <c r="BB8" i="2"/>
  <c r="BB7" i="2"/>
  <c r="BB6" i="2"/>
  <c r="BB5" i="2"/>
  <c r="BB4" i="2"/>
  <c r="BB3" i="2"/>
  <c r="BB2" i="2"/>
  <c r="BA37" i="2"/>
  <c r="AZ37" i="2"/>
  <c r="AY37" i="2"/>
  <c r="AX37" i="2"/>
  <c r="AW37" i="2"/>
  <c r="AV37" i="2"/>
  <c r="AU37" i="2"/>
  <c r="BA36" i="2"/>
  <c r="AZ36" i="2"/>
  <c r="AY36" i="2"/>
  <c r="AX36" i="2"/>
  <c r="AW36" i="2"/>
  <c r="AV36" i="2"/>
  <c r="AU36" i="2"/>
  <c r="BA35" i="2"/>
  <c r="AZ35" i="2"/>
  <c r="AY35" i="2"/>
  <c r="AX35" i="2"/>
  <c r="AW35" i="2"/>
  <c r="AV35" i="2"/>
  <c r="AU35" i="2"/>
  <c r="BA34" i="2"/>
  <c r="AZ34" i="2"/>
  <c r="AY34" i="2"/>
  <c r="AX34" i="2"/>
  <c r="AW34" i="2"/>
  <c r="AV34" i="2"/>
  <c r="AU34" i="2"/>
  <c r="BA33" i="2"/>
  <c r="AZ33" i="2"/>
  <c r="AY33" i="2"/>
  <c r="AX33" i="2"/>
  <c r="AW33" i="2"/>
  <c r="AV33" i="2"/>
  <c r="AU33" i="2"/>
  <c r="BA32" i="2"/>
  <c r="AZ32" i="2"/>
  <c r="AY32" i="2"/>
  <c r="AX32" i="2"/>
  <c r="AW32" i="2"/>
  <c r="AV32" i="2"/>
  <c r="AU32" i="2"/>
  <c r="BA31" i="2"/>
  <c r="AZ31" i="2"/>
  <c r="AY31" i="2"/>
  <c r="AX31" i="2"/>
  <c r="AW31" i="2"/>
  <c r="AV31" i="2"/>
  <c r="AU31" i="2"/>
  <c r="BA30" i="2"/>
  <c r="AZ30" i="2"/>
  <c r="AY30" i="2"/>
  <c r="AX30" i="2"/>
  <c r="AW30" i="2"/>
  <c r="AV30" i="2"/>
  <c r="AU30" i="2"/>
  <c r="BA29" i="2"/>
  <c r="AZ29" i="2"/>
  <c r="AY29" i="2"/>
  <c r="AX29" i="2"/>
  <c r="AW29" i="2"/>
  <c r="AV29" i="2"/>
  <c r="AU29" i="2"/>
  <c r="BA28" i="2"/>
  <c r="AZ28" i="2"/>
  <c r="AY28" i="2"/>
  <c r="AX28" i="2"/>
  <c r="AW28" i="2"/>
  <c r="AV28" i="2"/>
  <c r="AU28" i="2"/>
  <c r="BA27" i="2"/>
  <c r="AZ27" i="2"/>
  <c r="AY27" i="2"/>
  <c r="AX27" i="2"/>
  <c r="AW27" i="2"/>
  <c r="AV27" i="2"/>
  <c r="AU27" i="2"/>
  <c r="BA26" i="2"/>
  <c r="AZ26" i="2"/>
  <c r="AY26" i="2"/>
  <c r="AX26" i="2"/>
  <c r="AW26" i="2"/>
  <c r="AV26" i="2"/>
  <c r="AU26" i="2"/>
  <c r="BA25" i="2"/>
  <c r="AZ25" i="2"/>
  <c r="AY25" i="2"/>
  <c r="AX25" i="2"/>
  <c r="AW25" i="2"/>
  <c r="AV25" i="2"/>
  <c r="AU25" i="2"/>
  <c r="BA24" i="2"/>
  <c r="AZ24" i="2"/>
  <c r="AY24" i="2"/>
  <c r="AX24" i="2"/>
  <c r="AW24" i="2"/>
  <c r="AV24" i="2"/>
  <c r="AU24" i="2"/>
  <c r="BA23" i="2"/>
  <c r="AZ23" i="2"/>
  <c r="AY23" i="2"/>
  <c r="AX23" i="2"/>
  <c r="AW23" i="2"/>
  <c r="AV23" i="2"/>
  <c r="AU23" i="2"/>
  <c r="BA22" i="2"/>
  <c r="AZ22" i="2"/>
  <c r="AY22" i="2"/>
  <c r="AX22" i="2"/>
  <c r="AW22" i="2"/>
  <c r="AV22" i="2"/>
  <c r="AU22" i="2"/>
  <c r="BA21" i="2"/>
  <c r="AZ21" i="2"/>
  <c r="AY21" i="2"/>
  <c r="AX21" i="2"/>
  <c r="AW21" i="2"/>
  <c r="AV21" i="2"/>
  <c r="AU21" i="2"/>
  <c r="BA20" i="2"/>
  <c r="AZ20" i="2"/>
  <c r="AY20" i="2"/>
  <c r="AX20" i="2"/>
  <c r="AW20" i="2"/>
  <c r="AV20" i="2"/>
  <c r="AU20" i="2"/>
  <c r="BA19" i="2"/>
  <c r="AZ19" i="2"/>
  <c r="AY19" i="2"/>
  <c r="AX19" i="2"/>
  <c r="AW19" i="2"/>
  <c r="AV19" i="2"/>
  <c r="AU19" i="2"/>
  <c r="BA18" i="2"/>
  <c r="AZ18" i="2"/>
  <c r="AY18" i="2"/>
  <c r="AX18" i="2"/>
  <c r="AW18" i="2"/>
  <c r="AV18" i="2"/>
  <c r="AU18" i="2"/>
  <c r="BA17" i="2"/>
  <c r="AZ17" i="2"/>
  <c r="AY17" i="2"/>
  <c r="AX17" i="2"/>
  <c r="AW17" i="2"/>
  <c r="AV17" i="2"/>
  <c r="AU17" i="2"/>
  <c r="BA16" i="2"/>
  <c r="AZ16" i="2"/>
  <c r="AY16" i="2"/>
  <c r="AX16" i="2"/>
  <c r="AW16" i="2"/>
  <c r="AV16" i="2"/>
  <c r="AU16" i="2"/>
  <c r="BA15" i="2"/>
  <c r="AZ15" i="2"/>
  <c r="AY15" i="2"/>
  <c r="AX15" i="2"/>
  <c r="AW15" i="2"/>
  <c r="AV15" i="2"/>
  <c r="AU15" i="2"/>
  <c r="BA14" i="2"/>
  <c r="AZ14" i="2"/>
  <c r="AY14" i="2"/>
  <c r="AX14" i="2"/>
  <c r="AW14" i="2"/>
  <c r="AV14" i="2"/>
  <c r="AU14" i="2"/>
  <c r="BA13" i="2"/>
  <c r="AZ13" i="2"/>
  <c r="AY13" i="2"/>
  <c r="AX13" i="2"/>
  <c r="AW13" i="2"/>
  <c r="AV13" i="2"/>
  <c r="AU13" i="2"/>
  <c r="BA12" i="2"/>
  <c r="AZ12" i="2"/>
  <c r="AY12" i="2"/>
  <c r="AX12" i="2"/>
  <c r="AW12" i="2"/>
  <c r="AV12" i="2"/>
  <c r="AU12" i="2"/>
  <c r="BA11" i="2"/>
  <c r="AZ11" i="2"/>
  <c r="AY11" i="2"/>
  <c r="AX11" i="2"/>
  <c r="AW11" i="2"/>
  <c r="AV11" i="2"/>
  <c r="AU11" i="2"/>
  <c r="BA10" i="2"/>
  <c r="AZ10" i="2"/>
  <c r="AY10" i="2"/>
  <c r="AX10" i="2"/>
  <c r="AW10" i="2"/>
  <c r="AV10" i="2"/>
  <c r="AU10" i="2"/>
  <c r="BA9" i="2"/>
  <c r="AZ9" i="2"/>
  <c r="AY9" i="2"/>
  <c r="AX9" i="2"/>
  <c r="AW9" i="2"/>
  <c r="AV9" i="2"/>
  <c r="AU9" i="2"/>
  <c r="BA8" i="2"/>
  <c r="AZ8" i="2"/>
  <c r="AY8" i="2"/>
  <c r="AX8" i="2"/>
  <c r="AW8" i="2"/>
  <c r="AV8" i="2"/>
  <c r="AU8" i="2"/>
  <c r="BA7" i="2"/>
  <c r="AZ7" i="2"/>
  <c r="AY7" i="2"/>
  <c r="AX7" i="2"/>
  <c r="AW7" i="2"/>
  <c r="AV7" i="2"/>
  <c r="AU7" i="2"/>
  <c r="BA6" i="2"/>
  <c r="AZ6" i="2"/>
  <c r="AY6" i="2"/>
  <c r="AX6" i="2"/>
  <c r="AW6" i="2"/>
  <c r="AV6" i="2"/>
  <c r="AU6" i="2"/>
  <c r="BA5" i="2"/>
  <c r="AZ5" i="2"/>
  <c r="AY5" i="2"/>
  <c r="AX5" i="2"/>
  <c r="AW5" i="2"/>
  <c r="AV5" i="2"/>
  <c r="AU5" i="2"/>
  <c r="BA4" i="2"/>
  <c r="AZ4" i="2"/>
  <c r="AY4" i="2"/>
  <c r="AX4" i="2"/>
  <c r="AW4" i="2"/>
  <c r="AV4" i="2"/>
  <c r="AU4" i="2"/>
  <c r="BA3" i="2"/>
  <c r="AZ3" i="2"/>
  <c r="AY3" i="2"/>
  <c r="AX3" i="2"/>
  <c r="AW3" i="2"/>
  <c r="AV3" i="2"/>
  <c r="AU3" i="2"/>
  <c r="AS37" i="2"/>
  <c r="AR37" i="2"/>
  <c r="AQ37" i="2"/>
  <c r="AP37" i="2"/>
  <c r="AO37" i="2"/>
  <c r="AN37" i="2"/>
  <c r="AM37" i="2"/>
  <c r="AS36" i="2"/>
  <c r="AR36" i="2"/>
  <c r="AQ36" i="2"/>
  <c r="AP36" i="2"/>
  <c r="AO36" i="2"/>
  <c r="AN36" i="2"/>
  <c r="AM36" i="2"/>
  <c r="AS35" i="2"/>
  <c r="AR35" i="2"/>
  <c r="AQ35" i="2"/>
  <c r="AP35" i="2"/>
  <c r="AO35" i="2"/>
  <c r="AN35" i="2"/>
  <c r="AM35" i="2"/>
  <c r="AS34" i="2"/>
  <c r="AR34" i="2"/>
  <c r="AQ34" i="2"/>
  <c r="AP34" i="2"/>
  <c r="AO34" i="2"/>
  <c r="AN34" i="2"/>
  <c r="AM34" i="2"/>
  <c r="AS33" i="2"/>
  <c r="AR33" i="2"/>
  <c r="AQ33" i="2"/>
  <c r="AP33" i="2"/>
  <c r="AO33" i="2"/>
  <c r="AN33" i="2"/>
  <c r="AM33" i="2"/>
  <c r="AS32" i="2"/>
  <c r="AR32" i="2"/>
  <c r="AQ32" i="2"/>
  <c r="AP32" i="2"/>
  <c r="AO32" i="2"/>
  <c r="AN32" i="2"/>
  <c r="AM32" i="2"/>
  <c r="AS31" i="2"/>
  <c r="AR31" i="2"/>
  <c r="AQ31" i="2"/>
  <c r="AP31" i="2"/>
  <c r="AO31" i="2"/>
  <c r="AN31" i="2"/>
  <c r="AM31" i="2"/>
  <c r="AS30" i="2"/>
  <c r="AR30" i="2"/>
  <c r="AQ30" i="2"/>
  <c r="AP30" i="2"/>
  <c r="AO30" i="2"/>
  <c r="AN30" i="2"/>
  <c r="AM30" i="2"/>
  <c r="AS29" i="2"/>
  <c r="AR29" i="2"/>
  <c r="AQ29" i="2"/>
  <c r="AP29" i="2"/>
  <c r="AO29" i="2"/>
  <c r="AN29" i="2"/>
  <c r="AM29" i="2"/>
  <c r="AS28" i="2"/>
  <c r="AR28" i="2"/>
  <c r="AQ28" i="2"/>
  <c r="AP28" i="2"/>
  <c r="AO28" i="2"/>
  <c r="AN28" i="2"/>
  <c r="AM28" i="2"/>
  <c r="AS27" i="2"/>
  <c r="AR27" i="2"/>
  <c r="AQ27" i="2"/>
  <c r="AP27" i="2"/>
  <c r="AO27" i="2"/>
  <c r="AN27" i="2"/>
  <c r="AS26" i="2"/>
  <c r="AR26" i="2"/>
  <c r="AQ26" i="2"/>
  <c r="AP26" i="2"/>
  <c r="AO26" i="2"/>
  <c r="AN26" i="2"/>
  <c r="AS25" i="2"/>
  <c r="AR25" i="2"/>
  <c r="AQ25" i="2"/>
  <c r="AP25" i="2"/>
  <c r="AO25" i="2"/>
  <c r="AN25" i="2"/>
  <c r="AM25" i="2"/>
  <c r="AS24" i="2"/>
  <c r="AR24" i="2"/>
  <c r="AQ24" i="2"/>
  <c r="AP24" i="2"/>
  <c r="AO24" i="2"/>
  <c r="AS23" i="2"/>
  <c r="AR23" i="2"/>
  <c r="AQ23" i="2"/>
  <c r="AP23" i="2"/>
  <c r="AO23" i="2"/>
  <c r="AS22" i="2"/>
  <c r="AR22" i="2"/>
  <c r="AQ22" i="2"/>
  <c r="AP22" i="2"/>
  <c r="AO22" i="2"/>
  <c r="AS21" i="2"/>
  <c r="AR21" i="2"/>
  <c r="AQ21" i="2"/>
  <c r="AP21" i="2"/>
  <c r="AO21" i="2"/>
  <c r="AN21" i="2"/>
  <c r="AM21" i="2"/>
  <c r="AS20" i="2"/>
  <c r="AR20" i="2"/>
  <c r="AQ20" i="2"/>
  <c r="AP20" i="2"/>
  <c r="AO20" i="2"/>
  <c r="AN20" i="2"/>
  <c r="AM20" i="2"/>
  <c r="AS19" i="2"/>
  <c r="AR19" i="2"/>
  <c r="AQ19" i="2"/>
  <c r="AP19" i="2"/>
  <c r="AO19" i="2"/>
  <c r="AN19" i="2"/>
  <c r="AM19" i="2"/>
  <c r="AS18" i="2"/>
  <c r="AR18" i="2"/>
  <c r="AQ18" i="2"/>
  <c r="AP18" i="2"/>
  <c r="AO18" i="2"/>
  <c r="AN18" i="2"/>
  <c r="AS17" i="2"/>
  <c r="AR17" i="2"/>
  <c r="AQ17" i="2"/>
  <c r="AP17" i="2"/>
  <c r="AO17" i="2"/>
  <c r="AN17" i="2"/>
  <c r="AS16" i="2"/>
  <c r="AR16" i="2"/>
  <c r="AQ16" i="2"/>
  <c r="AP16" i="2"/>
  <c r="AO16" i="2"/>
  <c r="AN16" i="2"/>
  <c r="AM16" i="2"/>
  <c r="AS15" i="2"/>
  <c r="AR15" i="2"/>
  <c r="AQ15" i="2"/>
  <c r="AP15" i="2"/>
  <c r="AO15" i="2"/>
  <c r="AN15" i="2"/>
  <c r="AS14" i="2"/>
  <c r="AR14" i="2"/>
  <c r="AQ14" i="2"/>
  <c r="AP14" i="2"/>
  <c r="AO14" i="2"/>
  <c r="AN14" i="2"/>
  <c r="AS13" i="2"/>
  <c r="AR13" i="2"/>
  <c r="AQ13" i="2"/>
  <c r="AP13" i="2"/>
  <c r="AO13" i="2"/>
  <c r="AN13" i="2"/>
  <c r="AM13" i="2"/>
  <c r="AS12" i="2"/>
  <c r="AR12" i="2"/>
  <c r="AQ12" i="2"/>
  <c r="AP12" i="2"/>
  <c r="AO12" i="2"/>
  <c r="AN12" i="2"/>
  <c r="AM12" i="2"/>
  <c r="AS11" i="2"/>
  <c r="AR11" i="2"/>
  <c r="AQ11" i="2"/>
  <c r="AP11" i="2"/>
  <c r="AO11" i="2"/>
  <c r="AN11" i="2"/>
  <c r="AM11" i="2"/>
  <c r="AS10" i="2"/>
  <c r="AR10" i="2"/>
  <c r="AQ10" i="2"/>
  <c r="AP10" i="2"/>
  <c r="AO10" i="2"/>
  <c r="AN10" i="2"/>
  <c r="AM10" i="2"/>
  <c r="AS9" i="2"/>
  <c r="AR9" i="2"/>
  <c r="AQ9" i="2"/>
  <c r="AP9" i="2"/>
  <c r="AO9" i="2"/>
  <c r="AN9" i="2"/>
  <c r="AS8" i="2"/>
  <c r="AR8" i="2"/>
  <c r="AQ8" i="2"/>
  <c r="AP8" i="2"/>
  <c r="AO8" i="2"/>
  <c r="AN8" i="2"/>
  <c r="AS7" i="2"/>
  <c r="AR7" i="2"/>
  <c r="AQ7" i="2"/>
  <c r="AP7" i="2"/>
  <c r="AO7" i="2"/>
  <c r="AN7" i="2"/>
  <c r="AM7" i="2"/>
  <c r="AS6" i="2"/>
  <c r="AR6" i="2"/>
  <c r="AQ6" i="2"/>
  <c r="AP6" i="2"/>
  <c r="AO6" i="2"/>
  <c r="AN6" i="2"/>
  <c r="AM6" i="2"/>
  <c r="AS5" i="2"/>
  <c r="AR5" i="2"/>
  <c r="AQ5" i="2"/>
  <c r="AP5" i="2"/>
  <c r="AO5" i="2"/>
  <c r="AN5" i="2"/>
  <c r="AM5" i="2"/>
  <c r="AS4" i="2"/>
  <c r="AR4" i="2"/>
  <c r="AQ4" i="2"/>
  <c r="AP4" i="2"/>
  <c r="AO4" i="2"/>
  <c r="AN4" i="2"/>
  <c r="AM4" i="2"/>
  <c r="AS3" i="2"/>
  <c r="AR3" i="2"/>
  <c r="AQ3" i="2"/>
  <c r="AP3" i="2"/>
  <c r="AO3" i="2"/>
  <c r="AN3" i="2"/>
  <c r="AM3" i="2"/>
  <c r="BA2" i="2"/>
  <c r="AZ2" i="2"/>
  <c r="AY2" i="2"/>
  <c r="AX2" i="2"/>
  <c r="AW2" i="2"/>
  <c r="AV2" i="2"/>
  <c r="AU2" i="2"/>
  <c r="AS2" i="2"/>
  <c r="AR2" i="2"/>
  <c r="AQ2" i="2"/>
  <c r="AP2" i="2"/>
  <c r="AO2" i="2"/>
  <c r="AN2" i="2"/>
  <c r="AM2" i="2"/>
  <c r="AT37" i="2"/>
  <c r="AT36" i="2"/>
  <c r="AT35" i="2"/>
  <c r="AT34" i="2"/>
  <c r="AT33" i="2"/>
  <c r="AT32" i="2"/>
  <c r="AT31" i="2"/>
  <c r="AT30" i="2"/>
  <c r="AT29" i="2"/>
  <c r="AT28" i="2"/>
  <c r="AT27" i="2"/>
  <c r="AT26" i="2"/>
  <c r="AT25" i="2"/>
  <c r="AT24" i="2"/>
  <c r="AT23" i="2"/>
  <c r="AT21" i="2"/>
  <c r="AT20" i="2"/>
  <c r="AT19" i="2"/>
  <c r="AT18" i="2"/>
  <c r="AT17" i="2"/>
  <c r="AT16" i="2"/>
  <c r="AT15" i="2"/>
  <c r="AT14" i="2"/>
  <c r="AT13" i="2"/>
  <c r="AT12" i="2"/>
  <c r="AT11" i="2"/>
  <c r="AT10" i="2"/>
  <c r="AT9" i="2"/>
  <c r="AT8" i="2"/>
  <c r="AT7" i="2"/>
  <c r="AT6" i="2"/>
  <c r="AT5" i="2"/>
  <c r="AT4" i="2"/>
  <c r="AT3" i="2"/>
  <c r="AT2" i="2"/>
  <c r="BE37" i="2" l="1"/>
  <c r="BE36" i="2"/>
  <c r="BE35" i="2"/>
  <c r="BE34" i="2"/>
  <c r="BE33" i="2"/>
  <c r="BE32" i="2"/>
  <c r="BE31" i="2"/>
  <c r="BE30" i="2"/>
  <c r="BE29" i="2"/>
  <c r="BE28" i="2"/>
  <c r="BE27" i="2"/>
  <c r="BE26" i="2"/>
  <c r="BE25" i="2"/>
  <c r="BE24" i="2"/>
  <c r="BE23" i="2"/>
  <c r="BE22" i="2"/>
  <c r="BE21" i="2"/>
  <c r="BE20" i="2"/>
  <c r="BE19" i="2"/>
  <c r="BE18" i="2"/>
  <c r="BE17" i="2"/>
  <c r="BE16" i="2"/>
  <c r="BE15" i="2"/>
  <c r="BE14" i="2"/>
  <c r="BE13" i="2"/>
  <c r="BE12" i="2"/>
  <c r="BE11" i="2"/>
  <c r="BE10" i="2"/>
  <c r="BE9" i="2"/>
  <c r="BE8" i="2"/>
  <c r="BE7" i="2"/>
  <c r="BE6" i="2"/>
  <c r="BE5" i="2"/>
  <c r="BE4" i="2"/>
  <c r="BE3" i="2"/>
  <c r="BE2" i="2"/>
  <c r="Z37" i="2" l="1"/>
  <c r="Y37" i="2"/>
  <c r="Z36" i="2"/>
  <c r="Y36" i="2"/>
  <c r="Z35" i="2"/>
  <c r="Y35" i="2"/>
  <c r="Z34" i="2"/>
  <c r="Y34" i="2"/>
  <c r="Z33" i="2"/>
  <c r="Y33" i="2"/>
  <c r="Z32" i="2"/>
  <c r="Y32" i="2"/>
  <c r="Z31" i="2"/>
  <c r="Y31" i="2"/>
  <c r="Z30" i="2"/>
  <c r="Y30" i="2"/>
  <c r="Z29" i="2"/>
  <c r="Y29" i="2"/>
  <c r="Z28" i="2"/>
  <c r="Y28" i="2"/>
  <c r="Z27" i="2"/>
  <c r="Y27" i="2"/>
  <c r="Z26" i="2"/>
  <c r="Y26" i="2"/>
  <c r="Z25" i="2"/>
  <c r="Y25" i="2"/>
  <c r="Z24" i="2"/>
  <c r="Y24" i="2"/>
  <c r="Z23" i="2"/>
  <c r="Y23" i="2"/>
  <c r="Z22" i="2"/>
  <c r="Y22" i="2"/>
  <c r="Z21" i="2"/>
  <c r="Y21" i="2"/>
  <c r="Z20" i="2"/>
  <c r="Y20" i="2"/>
  <c r="Z19" i="2"/>
  <c r="Y19" i="2"/>
  <c r="Z18" i="2"/>
  <c r="Y18" i="2"/>
  <c r="Z17" i="2"/>
  <c r="Y17" i="2"/>
  <c r="Z16" i="2"/>
  <c r="Y16" i="2"/>
  <c r="Z15" i="2"/>
  <c r="Y15" i="2"/>
  <c r="Z14" i="2"/>
  <c r="Y14" i="2"/>
  <c r="Z13" i="2"/>
  <c r="Y13" i="2"/>
  <c r="Z12" i="2"/>
  <c r="Y12" i="2"/>
  <c r="Z11" i="2"/>
  <c r="Y11" i="2"/>
  <c r="Z10" i="2"/>
  <c r="Y10" i="2"/>
  <c r="Z9" i="2"/>
  <c r="Y9" i="2"/>
  <c r="Z8" i="2"/>
  <c r="Y8" i="2"/>
  <c r="Z7" i="2"/>
  <c r="Y7" i="2"/>
  <c r="Z6" i="2"/>
  <c r="Y6" i="2"/>
  <c r="Z5" i="2"/>
  <c r="Y5" i="2"/>
  <c r="Z4" i="2"/>
  <c r="Y4" i="2"/>
  <c r="Z3" i="2"/>
  <c r="Y3" i="2"/>
  <c r="Z2" i="2"/>
  <c r="Y2" i="2"/>
  <c r="S2" i="2"/>
  <c r="AB27" i="2"/>
  <c r="AB24" i="2"/>
  <c r="AB23" i="2"/>
  <c r="AB18" i="2"/>
  <c r="AB15" i="2"/>
  <c r="AB9" i="2"/>
  <c r="T37" i="2"/>
  <c r="BF37" i="2" s="1"/>
  <c r="T36" i="2"/>
  <c r="BS36" i="2" s="1"/>
  <c r="T35" i="2"/>
  <c r="BF35" i="2" s="1"/>
  <c r="T34" i="2"/>
  <c r="BS34" i="2" s="1"/>
  <c r="T33" i="2"/>
  <c r="BF33" i="2" s="1"/>
  <c r="T32" i="2"/>
  <c r="BH32" i="2" s="1"/>
  <c r="T31" i="2"/>
  <c r="BF31" i="2" s="1"/>
  <c r="T30" i="2"/>
  <c r="BS30" i="2" s="1"/>
  <c r="T29" i="2"/>
  <c r="BS29" i="2" s="1"/>
  <c r="T28" i="2"/>
  <c r="BH28" i="2" s="1"/>
  <c r="T27" i="2"/>
  <c r="BF27" i="2" s="1"/>
  <c r="T26" i="2"/>
  <c r="BS26" i="2" s="1"/>
  <c r="T25" i="2"/>
  <c r="BH25" i="2" s="1"/>
  <c r="T24" i="2"/>
  <c r="BH24" i="2" s="1"/>
  <c r="T23" i="2"/>
  <c r="BF23" i="2" s="1"/>
  <c r="T22" i="2"/>
  <c r="BH22" i="2" s="1"/>
  <c r="T21" i="2"/>
  <c r="BF21" i="2" s="1"/>
  <c r="T20" i="2"/>
  <c r="BS20" i="2" s="1"/>
  <c r="T19" i="2"/>
  <c r="BF19" i="2" s="1"/>
  <c r="T18" i="2"/>
  <c r="BS18" i="2" s="1"/>
  <c r="T17" i="2"/>
  <c r="BF17" i="2" s="1"/>
  <c r="T16" i="2"/>
  <c r="BS16" i="2" s="1"/>
  <c r="T15" i="2"/>
  <c r="BF15" i="2" s="1"/>
  <c r="T14" i="2"/>
  <c r="BS14" i="2" s="1"/>
  <c r="T13" i="2"/>
  <c r="BF13" i="2" s="1"/>
  <c r="T12" i="2"/>
  <c r="BH12" i="2" s="1"/>
  <c r="T11" i="2"/>
  <c r="T10" i="2"/>
  <c r="BS10" i="2" s="1"/>
  <c r="T9" i="2"/>
  <c r="BS9" i="2" s="1"/>
  <c r="T8" i="2"/>
  <c r="BH8" i="2" s="1"/>
  <c r="T7" i="2"/>
  <c r="BF7" i="2" s="1"/>
  <c r="T6" i="2"/>
  <c r="BS6" i="2" s="1"/>
  <c r="T5" i="2"/>
  <c r="BF5" i="2" s="1"/>
  <c r="T4" i="2"/>
  <c r="BH4" i="2" s="1"/>
  <c r="T3" i="2"/>
  <c r="BF3" i="2" s="1"/>
  <c r="T2" i="2"/>
  <c r="BH2" i="2" s="1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BC2" i="2"/>
  <c r="AK37" i="2"/>
  <c r="AJ37" i="2"/>
  <c r="AI37" i="2"/>
  <c r="AH37" i="2"/>
  <c r="AG37" i="2"/>
  <c r="AF37" i="2"/>
  <c r="AE37" i="2"/>
  <c r="AD37" i="2"/>
  <c r="AC37" i="2"/>
  <c r="AK36" i="2"/>
  <c r="AJ36" i="2"/>
  <c r="AI36" i="2"/>
  <c r="AH36" i="2"/>
  <c r="AG36" i="2"/>
  <c r="AF36" i="2"/>
  <c r="AE36" i="2"/>
  <c r="AD36" i="2"/>
  <c r="AC36" i="2"/>
  <c r="AK35" i="2"/>
  <c r="AJ35" i="2"/>
  <c r="AI35" i="2"/>
  <c r="AH35" i="2"/>
  <c r="AG35" i="2"/>
  <c r="AF35" i="2"/>
  <c r="AE35" i="2"/>
  <c r="AD35" i="2"/>
  <c r="AC35" i="2"/>
  <c r="AK34" i="2"/>
  <c r="AJ34" i="2"/>
  <c r="AI34" i="2"/>
  <c r="AH34" i="2"/>
  <c r="AG34" i="2"/>
  <c r="AF34" i="2"/>
  <c r="AE34" i="2"/>
  <c r="AD34" i="2"/>
  <c r="AC34" i="2"/>
  <c r="AK33" i="2"/>
  <c r="AJ33" i="2"/>
  <c r="AI33" i="2"/>
  <c r="AH33" i="2"/>
  <c r="AG33" i="2"/>
  <c r="AF33" i="2"/>
  <c r="AE33" i="2"/>
  <c r="AD33" i="2"/>
  <c r="AC33" i="2"/>
  <c r="AK32" i="2"/>
  <c r="AJ32" i="2"/>
  <c r="AI32" i="2"/>
  <c r="AH32" i="2"/>
  <c r="AG32" i="2"/>
  <c r="AF32" i="2"/>
  <c r="AE32" i="2"/>
  <c r="AD32" i="2"/>
  <c r="AC32" i="2"/>
  <c r="AK31" i="2"/>
  <c r="AJ31" i="2"/>
  <c r="AI31" i="2"/>
  <c r="AH31" i="2"/>
  <c r="AG31" i="2"/>
  <c r="AF31" i="2"/>
  <c r="AE31" i="2"/>
  <c r="AD31" i="2"/>
  <c r="AC31" i="2"/>
  <c r="AK30" i="2"/>
  <c r="AJ30" i="2"/>
  <c r="AI30" i="2"/>
  <c r="AH30" i="2"/>
  <c r="AG30" i="2"/>
  <c r="AF30" i="2"/>
  <c r="AE30" i="2"/>
  <c r="AD30" i="2"/>
  <c r="AC30" i="2"/>
  <c r="AK29" i="2"/>
  <c r="AJ29" i="2"/>
  <c r="AI29" i="2"/>
  <c r="AH29" i="2"/>
  <c r="AG29" i="2"/>
  <c r="AF29" i="2"/>
  <c r="AE29" i="2"/>
  <c r="AD29" i="2"/>
  <c r="AC29" i="2"/>
  <c r="AK28" i="2"/>
  <c r="AJ28" i="2"/>
  <c r="AI28" i="2"/>
  <c r="AH28" i="2"/>
  <c r="AG28" i="2"/>
  <c r="AF28" i="2"/>
  <c r="AE28" i="2"/>
  <c r="AD28" i="2"/>
  <c r="AC28" i="2"/>
  <c r="AK27" i="2"/>
  <c r="AJ27" i="2"/>
  <c r="AI27" i="2"/>
  <c r="AH27" i="2"/>
  <c r="AG27" i="2"/>
  <c r="AF27" i="2"/>
  <c r="AE27" i="2"/>
  <c r="AD27" i="2"/>
  <c r="AC27" i="2"/>
  <c r="AK26" i="2"/>
  <c r="AJ26" i="2"/>
  <c r="AI26" i="2"/>
  <c r="AH26" i="2"/>
  <c r="AG26" i="2"/>
  <c r="AF26" i="2"/>
  <c r="AE26" i="2"/>
  <c r="AD26" i="2"/>
  <c r="AC26" i="2"/>
  <c r="AK25" i="2"/>
  <c r="AJ25" i="2"/>
  <c r="AI25" i="2"/>
  <c r="AH25" i="2"/>
  <c r="AG25" i="2"/>
  <c r="AF25" i="2"/>
  <c r="AE25" i="2"/>
  <c r="AD25" i="2"/>
  <c r="AC25" i="2"/>
  <c r="AK24" i="2"/>
  <c r="AJ24" i="2"/>
  <c r="AI24" i="2"/>
  <c r="AH24" i="2"/>
  <c r="AG24" i="2"/>
  <c r="AF24" i="2"/>
  <c r="AE24" i="2"/>
  <c r="AD24" i="2"/>
  <c r="AC24" i="2"/>
  <c r="AK23" i="2"/>
  <c r="AJ23" i="2"/>
  <c r="AI23" i="2"/>
  <c r="AH23" i="2"/>
  <c r="AG23" i="2"/>
  <c r="AF23" i="2"/>
  <c r="AE23" i="2"/>
  <c r="AD23" i="2"/>
  <c r="AC23" i="2"/>
  <c r="AK22" i="2"/>
  <c r="AJ22" i="2"/>
  <c r="AI22" i="2"/>
  <c r="AH22" i="2"/>
  <c r="AG22" i="2"/>
  <c r="AF22" i="2"/>
  <c r="AE22" i="2"/>
  <c r="AD22" i="2"/>
  <c r="AC22" i="2"/>
  <c r="AK21" i="2"/>
  <c r="AJ21" i="2"/>
  <c r="AI21" i="2"/>
  <c r="AH21" i="2"/>
  <c r="AG21" i="2"/>
  <c r="AF21" i="2"/>
  <c r="AE21" i="2"/>
  <c r="AD21" i="2"/>
  <c r="AC21" i="2"/>
  <c r="AK20" i="2"/>
  <c r="AJ20" i="2"/>
  <c r="AI20" i="2"/>
  <c r="AH20" i="2"/>
  <c r="AG20" i="2"/>
  <c r="AF20" i="2"/>
  <c r="AE20" i="2"/>
  <c r="AD20" i="2"/>
  <c r="AC20" i="2"/>
  <c r="AK19" i="2"/>
  <c r="AJ19" i="2"/>
  <c r="AI19" i="2"/>
  <c r="AH19" i="2"/>
  <c r="AG19" i="2"/>
  <c r="AF19" i="2"/>
  <c r="AE19" i="2"/>
  <c r="AD19" i="2"/>
  <c r="AC19" i="2"/>
  <c r="AK18" i="2"/>
  <c r="AJ18" i="2"/>
  <c r="AI18" i="2"/>
  <c r="AH18" i="2"/>
  <c r="AG18" i="2"/>
  <c r="AF18" i="2"/>
  <c r="AE18" i="2"/>
  <c r="AD18" i="2"/>
  <c r="AC18" i="2"/>
  <c r="AK17" i="2"/>
  <c r="AJ17" i="2"/>
  <c r="AI17" i="2"/>
  <c r="AH17" i="2"/>
  <c r="AG17" i="2"/>
  <c r="AF17" i="2"/>
  <c r="AE17" i="2"/>
  <c r="AD17" i="2"/>
  <c r="AC17" i="2"/>
  <c r="AK16" i="2"/>
  <c r="AJ16" i="2"/>
  <c r="AI16" i="2"/>
  <c r="AH16" i="2"/>
  <c r="AG16" i="2"/>
  <c r="AF16" i="2"/>
  <c r="AE16" i="2"/>
  <c r="AD16" i="2"/>
  <c r="AC16" i="2"/>
  <c r="AK15" i="2"/>
  <c r="AJ15" i="2"/>
  <c r="AI15" i="2"/>
  <c r="AH15" i="2"/>
  <c r="AG15" i="2"/>
  <c r="AF15" i="2"/>
  <c r="AE15" i="2"/>
  <c r="AD15" i="2"/>
  <c r="AC15" i="2"/>
  <c r="AK14" i="2"/>
  <c r="AJ14" i="2"/>
  <c r="AI14" i="2"/>
  <c r="AH14" i="2"/>
  <c r="AG14" i="2"/>
  <c r="AF14" i="2"/>
  <c r="AE14" i="2"/>
  <c r="AD14" i="2"/>
  <c r="AC14" i="2"/>
  <c r="AK13" i="2"/>
  <c r="AJ13" i="2"/>
  <c r="AI13" i="2"/>
  <c r="AH13" i="2"/>
  <c r="AG13" i="2"/>
  <c r="AF13" i="2"/>
  <c r="AE13" i="2"/>
  <c r="AD13" i="2"/>
  <c r="AC13" i="2"/>
  <c r="AK12" i="2"/>
  <c r="AJ12" i="2"/>
  <c r="AI12" i="2"/>
  <c r="AH12" i="2"/>
  <c r="AG12" i="2"/>
  <c r="AF12" i="2"/>
  <c r="AE12" i="2"/>
  <c r="AD12" i="2"/>
  <c r="AC12" i="2"/>
  <c r="AK11" i="2"/>
  <c r="AJ11" i="2"/>
  <c r="AI11" i="2"/>
  <c r="AH11" i="2"/>
  <c r="AG11" i="2"/>
  <c r="AF11" i="2"/>
  <c r="AE11" i="2"/>
  <c r="AD11" i="2"/>
  <c r="AC11" i="2"/>
  <c r="AK10" i="2"/>
  <c r="AJ10" i="2"/>
  <c r="AI10" i="2"/>
  <c r="AH10" i="2"/>
  <c r="AG10" i="2"/>
  <c r="AF10" i="2"/>
  <c r="AE10" i="2"/>
  <c r="AD10" i="2"/>
  <c r="AC10" i="2"/>
  <c r="AK9" i="2"/>
  <c r="AJ9" i="2"/>
  <c r="AI9" i="2"/>
  <c r="AH9" i="2"/>
  <c r="AG9" i="2"/>
  <c r="AF9" i="2"/>
  <c r="AE9" i="2"/>
  <c r="AD9" i="2"/>
  <c r="AC9" i="2"/>
  <c r="AK8" i="2"/>
  <c r="AJ8" i="2"/>
  <c r="AI8" i="2"/>
  <c r="AH8" i="2"/>
  <c r="AG8" i="2"/>
  <c r="AF8" i="2"/>
  <c r="AE8" i="2"/>
  <c r="AD8" i="2"/>
  <c r="AC8" i="2"/>
  <c r="AK7" i="2"/>
  <c r="AJ7" i="2"/>
  <c r="AI7" i="2"/>
  <c r="AH7" i="2"/>
  <c r="AG7" i="2"/>
  <c r="AF7" i="2"/>
  <c r="AE7" i="2"/>
  <c r="AD7" i="2"/>
  <c r="AC7" i="2"/>
  <c r="AK6" i="2"/>
  <c r="AJ6" i="2"/>
  <c r="AI6" i="2"/>
  <c r="AH6" i="2"/>
  <c r="AG6" i="2"/>
  <c r="AF6" i="2"/>
  <c r="AE6" i="2"/>
  <c r="AD6" i="2"/>
  <c r="AC6" i="2"/>
  <c r="AK5" i="2"/>
  <c r="AJ5" i="2"/>
  <c r="AI5" i="2"/>
  <c r="AH5" i="2"/>
  <c r="AG5" i="2"/>
  <c r="AF5" i="2"/>
  <c r="AE5" i="2"/>
  <c r="AD5" i="2"/>
  <c r="AC5" i="2"/>
  <c r="AK4" i="2"/>
  <c r="AJ4" i="2"/>
  <c r="AI4" i="2"/>
  <c r="AH4" i="2"/>
  <c r="AG4" i="2"/>
  <c r="AF4" i="2"/>
  <c r="AE4" i="2"/>
  <c r="AD4" i="2"/>
  <c r="AC4" i="2"/>
  <c r="AK3" i="2"/>
  <c r="AJ3" i="2"/>
  <c r="AI3" i="2"/>
  <c r="AH3" i="2"/>
  <c r="AG3" i="2"/>
  <c r="AF3" i="2"/>
  <c r="AE3" i="2"/>
  <c r="AD3" i="2"/>
  <c r="AC3" i="2"/>
  <c r="AK2" i="2"/>
  <c r="AJ2" i="2"/>
  <c r="AI2" i="2"/>
  <c r="AH2" i="2"/>
  <c r="AG2" i="2"/>
  <c r="AF2" i="2"/>
  <c r="AE2" i="2"/>
  <c r="AD2" i="2"/>
  <c r="AC2" i="2"/>
  <c r="BC37" i="2"/>
  <c r="BC36" i="2"/>
  <c r="BC35" i="2"/>
  <c r="BC34" i="2"/>
  <c r="BC33" i="2"/>
  <c r="BC32" i="2"/>
  <c r="BC31" i="2"/>
  <c r="BC30" i="2"/>
  <c r="BC29" i="2"/>
  <c r="BC28" i="2"/>
  <c r="BC27" i="2"/>
  <c r="BC25" i="2"/>
  <c r="BC24" i="2"/>
  <c r="BC23" i="2"/>
  <c r="BC21" i="2"/>
  <c r="BC20" i="2"/>
  <c r="BC19" i="2"/>
  <c r="BC18" i="2"/>
  <c r="BC16" i="2"/>
  <c r="BC15" i="2"/>
  <c r="BC13" i="2"/>
  <c r="BC12" i="2"/>
  <c r="BC11" i="2"/>
  <c r="BC10" i="2"/>
  <c r="BC9" i="2"/>
  <c r="BC7" i="2"/>
  <c r="BC6" i="2"/>
  <c r="BC5" i="2"/>
  <c r="BC3" i="2"/>
  <c r="CB37" i="2"/>
  <c r="CA37" i="2"/>
  <c r="BZ37" i="2"/>
  <c r="BY37" i="2"/>
  <c r="BX37" i="2"/>
  <c r="BW37" i="2"/>
  <c r="BV37" i="2"/>
  <c r="BU37" i="2"/>
  <c r="CB36" i="2"/>
  <c r="CA36" i="2"/>
  <c r="BZ36" i="2"/>
  <c r="BY36" i="2"/>
  <c r="BX36" i="2"/>
  <c r="BW36" i="2"/>
  <c r="BV36" i="2"/>
  <c r="BU36" i="2"/>
  <c r="CB35" i="2"/>
  <c r="CA35" i="2"/>
  <c r="BZ35" i="2"/>
  <c r="BY35" i="2"/>
  <c r="BX35" i="2"/>
  <c r="BW35" i="2"/>
  <c r="BV35" i="2"/>
  <c r="BU35" i="2"/>
  <c r="CB34" i="2"/>
  <c r="CA34" i="2"/>
  <c r="BZ34" i="2"/>
  <c r="BY34" i="2"/>
  <c r="BX34" i="2"/>
  <c r="BW34" i="2"/>
  <c r="BV34" i="2"/>
  <c r="BU34" i="2"/>
  <c r="CB33" i="2"/>
  <c r="CA33" i="2"/>
  <c r="BZ33" i="2"/>
  <c r="BY33" i="2"/>
  <c r="BX33" i="2"/>
  <c r="BW33" i="2"/>
  <c r="BV33" i="2"/>
  <c r="BU33" i="2"/>
  <c r="CB32" i="2"/>
  <c r="CA32" i="2"/>
  <c r="BZ32" i="2"/>
  <c r="BY32" i="2"/>
  <c r="BX32" i="2"/>
  <c r="BW32" i="2"/>
  <c r="BV32" i="2"/>
  <c r="BU32" i="2"/>
  <c r="CB31" i="2"/>
  <c r="CA31" i="2"/>
  <c r="BZ31" i="2"/>
  <c r="BY31" i="2"/>
  <c r="BX31" i="2"/>
  <c r="BW31" i="2"/>
  <c r="BV31" i="2"/>
  <c r="BU31" i="2"/>
  <c r="CB30" i="2"/>
  <c r="CA30" i="2"/>
  <c r="BZ30" i="2"/>
  <c r="BY30" i="2"/>
  <c r="BX30" i="2"/>
  <c r="BW30" i="2"/>
  <c r="BV30" i="2"/>
  <c r="BU30" i="2"/>
  <c r="CB29" i="2"/>
  <c r="CA29" i="2"/>
  <c r="BZ29" i="2"/>
  <c r="BY29" i="2"/>
  <c r="BX29" i="2"/>
  <c r="BW29" i="2"/>
  <c r="BV29" i="2"/>
  <c r="BU29" i="2"/>
  <c r="CB28" i="2"/>
  <c r="CA28" i="2"/>
  <c r="BZ28" i="2"/>
  <c r="BY28" i="2"/>
  <c r="BX28" i="2"/>
  <c r="BW28" i="2"/>
  <c r="BV28" i="2"/>
  <c r="BU28" i="2"/>
  <c r="CB27" i="2"/>
  <c r="CA27" i="2"/>
  <c r="BZ27" i="2"/>
  <c r="BY27" i="2"/>
  <c r="BX27" i="2"/>
  <c r="BW27" i="2"/>
  <c r="BV27" i="2"/>
  <c r="CB26" i="2"/>
  <c r="CA26" i="2"/>
  <c r="BZ26" i="2"/>
  <c r="BY26" i="2"/>
  <c r="BX26" i="2"/>
  <c r="BW26" i="2"/>
  <c r="BV26" i="2"/>
  <c r="CB25" i="2"/>
  <c r="CA25" i="2"/>
  <c r="BZ25" i="2"/>
  <c r="BY25" i="2"/>
  <c r="BX25" i="2"/>
  <c r="BW25" i="2"/>
  <c r="BV25" i="2"/>
  <c r="BU25" i="2"/>
  <c r="CB24" i="2"/>
  <c r="CA24" i="2"/>
  <c r="BZ24" i="2"/>
  <c r="BY24" i="2"/>
  <c r="BX24" i="2"/>
  <c r="BW24" i="2"/>
  <c r="CB23" i="2"/>
  <c r="CA23" i="2"/>
  <c r="BZ23" i="2"/>
  <c r="BY23" i="2"/>
  <c r="BX23" i="2"/>
  <c r="BW23" i="2"/>
  <c r="CB22" i="2"/>
  <c r="CA22" i="2"/>
  <c r="BZ22" i="2"/>
  <c r="BY22" i="2"/>
  <c r="BX22" i="2"/>
  <c r="BW22" i="2"/>
  <c r="CB21" i="2"/>
  <c r="CA21" i="2"/>
  <c r="BZ21" i="2"/>
  <c r="BY21" i="2"/>
  <c r="BX21" i="2"/>
  <c r="BW21" i="2"/>
  <c r="BV21" i="2"/>
  <c r="BU21" i="2"/>
  <c r="CB20" i="2"/>
  <c r="CA20" i="2"/>
  <c r="BZ20" i="2"/>
  <c r="BY20" i="2"/>
  <c r="BX20" i="2"/>
  <c r="BW20" i="2"/>
  <c r="BV20" i="2"/>
  <c r="BU20" i="2"/>
  <c r="CB19" i="2"/>
  <c r="CA19" i="2"/>
  <c r="BZ19" i="2"/>
  <c r="BY19" i="2"/>
  <c r="BX19" i="2"/>
  <c r="BW19" i="2"/>
  <c r="BV19" i="2"/>
  <c r="BU19" i="2"/>
  <c r="CB18" i="2"/>
  <c r="CA18" i="2"/>
  <c r="BZ18" i="2"/>
  <c r="BY18" i="2"/>
  <c r="BX18" i="2"/>
  <c r="BW18" i="2"/>
  <c r="BV18" i="2"/>
  <c r="CB17" i="2"/>
  <c r="CA17" i="2"/>
  <c r="BZ17" i="2"/>
  <c r="BY17" i="2"/>
  <c r="BX17" i="2"/>
  <c r="BW17" i="2"/>
  <c r="BV17" i="2"/>
  <c r="CB16" i="2"/>
  <c r="CA16" i="2"/>
  <c r="BZ16" i="2"/>
  <c r="BY16" i="2"/>
  <c r="BX16" i="2"/>
  <c r="BW16" i="2"/>
  <c r="BV16" i="2"/>
  <c r="BU16" i="2"/>
  <c r="CB15" i="2"/>
  <c r="CA15" i="2"/>
  <c r="BZ15" i="2"/>
  <c r="BY15" i="2"/>
  <c r="BX15" i="2"/>
  <c r="BW15" i="2"/>
  <c r="BV15" i="2"/>
  <c r="CB14" i="2"/>
  <c r="CA14" i="2"/>
  <c r="BZ14" i="2"/>
  <c r="BY14" i="2"/>
  <c r="BX14" i="2"/>
  <c r="BW14" i="2"/>
  <c r="BV14" i="2"/>
  <c r="CB13" i="2"/>
  <c r="CA13" i="2"/>
  <c r="BZ13" i="2"/>
  <c r="BY13" i="2"/>
  <c r="BX13" i="2"/>
  <c r="BW13" i="2"/>
  <c r="BV13" i="2"/>
  <c r="BU13" i="2"/>
  <c r="CB12" i="2"/>
  <c r="CA12" i="2"/>
  <c r="BZ12" i="2"/>
  <c r="BY12" i="2"/>
  <c r="BX12" i="2"/>
  <c r="BW12" i="2"/>
  <c r="BV12" i="2"/>
  <c r="BU12" i="2"/>
  <c r="CB11" i="2"/>
  <c r="CA11" i="2"/>
  <c r="BZ11" i="2"/>
  <c r="BY11" i="2"/>
  <c r="BX11" i="2"/>
  <c r="BW11" i="2"/>
  <c r="BV11" i="2"/>
  <c r="BU11" i="2"/>
  <c r="CB10" i="2"/>
  <c r="CA10" i="2"/>
  <c r="BZ10" i="2"/>
  <c r="BY10" i="2"/>
  <c r="BX10" i="2"/>
  <c r="BW10" i="2"/>
  <c r="BV10" i="2"/>
  <c r="BU10" i="2"/>
  <c r="CB9" i="2"/>
  <c r="CA9" i="2"/>
  <c r="BZ9" i="2"/>
  <c r="BY9" i="2"/>
  <c r="BX9" i="2"/>
  <c r="BW9" i="2"/>
  <c r="BV9" i="2"/>
  <c r="CB8" i="2"/>
  <c r="CA8" i="2"/>
  <c r="BZ8" i="2"/>
  <c r="BY8" i="2"/>
  <c r="BX8" i="2"/>
  <c r="BW8" i="2"/>
  <c r="BV8" i="2"/>
  <c r="CB7" i="2"/>
  <c r="CA7" i="2"/>
  <c r="BZ7" i="2"/>
  <c r="BY7" i="2"/>
  <c r="BX7" i="2"/>
  <c r="BW7" i="2"/>
  <c r="BV7" i="2"/>
  <c r="BU7" i="2"/>
  <c r="CB6" i="2"/>
  <c r="CA6" i="2"/>
  <c r="BZ6" i="2"/>
  <c r="BY6" i="2"/>
  <c r="BX6" i="2"/>
  <c r="BW6" i="2"/>
  <c r="CB5" i="2"/>
  <c r="CA5" i="2"/>
  <c r="BZ5" i="2"/>
  <c r="BY5" i="2"/>
  <c r="BX5" i="2"/>
  <c r="BW5" i="2"/>
  <c r="CB4" i="2"/>
  <c r="CA4" i="2"/>
  <c r="BZ4" i="2"/>
  <c r="BY4" i="2"/>
  <c r="BX4" i="2"/>
  <c r="BW4" i="2"/>
  <c r="CB3" i="2"/>
  <c r="CA3" i="2"/>
  <c r="BZ3" i="2"/>
  <c r="BY3" i="2"/>
  <c r="BX3" i="2"/>
  <c r="BW3" i="2"/>
  <c r="BV3" i="2"/>
  <c r="BU3" i="2"/>
  <c r="CB2" i="2"/>
  <c r="BY2" i="2"/>
  <c r="BU2" i="2"/>
  <c r="BP37" i="2"/>
  <c r="BO37" i="2"/>
  <c r="BN37" i="2"/>
  <c r="BM37" i="2"/>
  <c r="BL37" i="2"/>
  <c r="BK37" i="2"/>
  <c r="BJ37" i="2"/>
  <c r="BP36" i="2"/>
  <c r="BO36" i="2"/>
  <c r="BN36" i="2"/>
  <c r="BM36" i="2"/>
  <c r="BL36" i="2"/>
  <c r="BK36" i="2"/>
  <c r="BJ36" i="2"/>
  <c r="BP35" i="2"/>
  <c r="BO35" i="2"/>
  <c r="BN35" i="2"/>
  <c r="BM35" i="2"/>
  <c r="BL35" i="2"/>
  <c r="BK35" i="2"/>
  <c r="BJ35" i="2"/>
  <c r="BP34" i="2"/>
  <c r="BO34" i="2"/>
  <c r="BN34" i="2"/>
  <c r="BM34" i="2"/>
  <c r="BL34" i="2"/>
  <c r="BK34" i="2"/>
  <c r="BJ34" i="2"/>
  <c r="BP33" i="2"/>
  <c r="BO33" i="2"/>
  <c r="BN33" i="2"/>
  <c r="BM33" i="2"/>
  <c r="BL33" i="2"/>
  <c r="BK33" i="2"/>
  <c r="BJ33" i="2"/>
  <c r="BP32" i="2"/>
  <c r="BO32" i="2"/>
  <c r="BN32" i="2"/>
  <c r="BM32" i="2"/>
  <c r="BL32" i="2"/>
  <c r="BK32" i="2"/>
  <c r="BJ32" i="2"/>
  <c r="BP31" i="2"/>
  <c r="BO31" i="2"/>
  <c r="BN31" i="2"/>
  <c r="BM31" i="2"/>
  <c r="BL31" i="2"/>
  <c r="BK31" i="2"/>
  <c r="BJ31" i="2"/>
  <c r="BP30" i="2"/>
  <c r="BO30" i="2"/>
  <c r="BN30" i="2"/>
  <c r="BM30" i="2"/>
  <c r="BL30" i="2"/>
  <c r="BK30" i="2"/>
  <c r="BJ30" i="2"/>
  <c r="BP29" i="2"/>
  <c r="BO29" i="2"/>
  <c r="BN29" i="2"/>
  <c r="BM29" i="2"/>
  <c r="BL29" i="2"/>
  <c r="BK29" i="2"/>
  <c r="BJ29" i="2"/>
  <c r="BP28" i="2"/>
  <c r="BO28" i="2"/>
  <c r="BN28" i="2"/>
  <c r="BM28" i="2"/>
  <c r="BL28" i="2"/>
  <c r="BK28" i="2"/>
  <c r="BJ28" i="2"/>
  <c r="BP27" i="2"/>
  <c r="BO27" i="2"/>
  <c r="BN27" i="2"/>
  <c r="BM27" i="2"/>
  <c r="BL27" i="2"/>
  <c r="BK27" i="2"/>
  <c r="BP26" i="2"/>
  <c r="BO26" i="2"/>
  <c r="BN26" i="2"/>
  <c r="BM26" i="2"/>
  <c r="BL26" i="2"/>
  <c r="BK26" i="2"/>
  <c r="BP25" i="2"/>
  <c r="BO25" i="2"/>
  <c r="BN25" i="2"/>
  <c r="BM25" i="2"/>
  <c r="BL25" i="2"/>
  <c r="BK25" i="2"/>
  <c r="BJ25" i="2"/>
  <c r="BP24" i="2"/>
  <c r="BO24" i="2"/>
  <c r="BN24" i="2"/>
  <c r="BM24" i="2"/>
  <c r="BL24" i="2"/>
  <c r="BP23" i="2"/>
  <c r="BO23" i="2"/>
  <c r="BN23" i="2"/>
  <c r="BM23" i="2"/>
  <c r="BL23" i="2"/>
  <c r="BP22" i="2"/>
  <c r="BO22" i="2"/>
  <c r="BN22" i="2"/>
  <c r="BM22" i="2"/>
  <c r="BL22" i="2"/>
  <c r="BP21" i="2"/>
  <c r="BO21" i="2"/>
  <c r="BN21" i="2"/>
  <c r="BM21" i="2"/>
  <c r="BL21" i="2"/>
  <c r="BK21" i="2"/>
  <c r="BJ21" i="2"/>
  <c r="BP20" i="2"/>
  <c r="BO20" i="2"/>
  <c r="BN20" i="2"/>
  <c r="BM20" i="2"/>
  <c r="BL20" i="2"/>
  <c r="BK20" i="2"/>
  <c r="BJ20" i="2"/>
  <c r="BP19" i="2"/>
  <c r="BO19" i="2"/>
  <c r="BN19" i="2"/>
  <c r="BM19" i="2"/>
  <c r="BL19" i="2"/>
  <c r="BK19" i="2"/>
  <c r="BJ19" i="2"/>
  <c r="BP18" i="2"/>
  <c r="BO18" i="2"/>
  <c r="BN18" i="2"/>
  <c r="BM18" i="2"/>
  <c r="BL18" i="2"/>
  <c r="BK18" i="2"/>
  <c r="BP17" i="2"/>
  <c r="BO17" i="2"/>
  <c r="BN17" i="2"/>
  <c r="BM17" i="2"/>
  <c r="BL17" i="2"/>
  <c r="BK17" i="2"/>
  <c r="BP16" i="2"/>
  <c r="BO16" i="2"/>
  <c r="BN16" i="2"/>
  <c r="BM16" i="2"/>
  <c r="BL16" i="2"/>
  <c r="BK16" i="2"/>
  <c r="BJ16" i="2"/>
  <c r="BP15" i="2"/>
  <c r="BO15" i="2"/>
  <c r="BN15" i="2"/>
  <c r="BM15" i="2"/>
  <c r="BL15" i="2"/>
  <c r="BK15" i="2"/>
  <c r="BP14" i="2"/>
  <c r="BO14" i="2"/>
  <c r="BN14" i="2"/>
  <c r="BM14" i="2"/>
  <c r="BL14" i="2"/>
  <c r="BK14" i="2"/>
  <c r="BP13" i="2"/>
  <c r="BO13" i="2"/>
  <c r="BN13" i="2"/>
  <c r="BM13" i="2"/>
  <c r="BL13" i="2"/>
  <c r="BK13" i="2"/>
  <c r="BJ13" i="2"/>
  <c r="BP12" i="2"/>
  <c r="BO12" i="2"/>
  <c r="BN12" i="2"/>
  <c r="BM12" i="2"/>
  <c r="BL12" i="2"/>
  <c r="BK12" i="2"/>
  <c r="BJ12" i="2"/>
  <c r="BP11" i="2"/>
  <c r="BO11" i="2"/>
  <c r="BN11" i="2"/>
  <c r="BM11" i="2"/>
  <c r="BL11" i="2"/>
  <c r="BK11" i="2"/>
  <c r="BJ11" i="2"/>
  <c r="BP10" i="2"/>
  <c r="BO10" i="2"/>
  <c r="BN10" i="2"/>
  <c r="BM10" i="2"/>
  <c r="BL10" i="2"/>
  <c r="BK10" i="2"/>
  <c r="BJ10" i="2"/>
  <c r="BP9" i="2"/>
  <c r="BO9" i="2"/>
  <c r="BN9" i="2"/>
  <c r="BM9" i="2"/>
  <c r="BL9" i="2"/>
  <c r="BK9" i="2"/>
  <c r="BP8" i="2"/>
  <c r="BO8" i="2"/>
  <c r="BN8" i="2"/>
  <c r="BM8" i="2"/>
  <c r="BL8" i="2"/>
  <c r="BK8" i="2"/>
  <c r="BP7" i="2"/>
  <c r="BO7" i="2"/>
  <c r="BN7" i="2"/>
  <c r="BM7" i="2"/>
  <c r="BL7" i="2"/>
  <c r="BK7" i="2"/>
  <c r="BJ7" i="2"/>
  <c r="BP6" i="2"/>
  <c r="BO6" i="2"/>
  <c r="BN6" i="2"/>
  <c r="BM6" i="2"/>
  <c r="BL6" i="2"/>
  <c r="BP5" i="2"/>
  <c r="BO5" i="2"/>
  <c r="BN5" i="2"/>
  <c r="BM5" i="2"/>
  <c r="BL5" i="2"/>
  <c r="BP4" i="2"/>
  <c r="BO4" i="2"/>
  <c r="BN4" i="2"/>
  <c r="BM4" i="2"/>
  <c r="BL4" i="2"/>
  <c r="BP3" i="2"/>
  <c r="BO3" i="2"/>
  <c r="BN3" i="2"/>
  <c r="BM3" i="2"/>
  <c r="BL3" i="2"/>
  <c r="BK3" i="2"/>
  <c r="BJ3" i="2"/>
  <c r="BN2" i="2"/>
  <c r="BL2" i="2"/>
  <c r="BJ2" i="2"/>
  <c r="CS37" i="2"/>
  <c r="CR37" i="2"/>
  <c r="CQ37" i="2"/>
  <c r="CP37" i="2"/>
  <c r="CO37" i="2"/>
  <c r="CN37" i="2"/>
  <c r="CM37" i="2"/>
  <c r="CS36" i="2"/>
  <c r="CR36" i="2"/>
  <c r="CQ36" i="2"/>
  <c r="CP36" i="2"/>
  <c r="CO36" i="2"/>
  <c r="CN36" i="2"/>
  <c r="CM36" i="2"/>
  <c r="CS35" i="2"/>
  <c r="CR35" i="2"/>
  <c r="CQ35" i="2"/>
  <c r="CP35" i="2"/>
  <c r="CO35" i="2"/>
  <c r="CN35" i="2"/>
  <c r="CM35" i="2"/>
  <c r="CS34" i="2"/>
  <c r="CR34" i="2"/>
  <c r="CQ34" i="2"/>
  <c r="CP34" i="2"/>
  <c r="CO34" i="2"/>
  <c r="CN34" i="2"/>
  <c r="CM34" i="2"/>
  <c r="CS33" i="2"/>
  <c r="CR33" i="2"/>
  <c r="CQ33" i="2"/>
  <c r="CP33" i="2"/>
  <c r="CO33" i="2"/>
  <c r="CN33" i="2"/>
  <c r="CM33" i="2"/>
  <c r="CS32" i="2"/>
  <c r="CR32" i="2"/>
  <c r="CQ32" i="2"/>
  <c r="CP32" i="2"/>
  <c r="CO32" i="2"/>
  <c r="CN32" i="2"/>
  <c r="CM32" i="2"/>
  <c r="CS31" i="2"/>
  <c r="CR31" i="2"/>
  <c r="CQ31" i="2"/>
  <c r="CP31" i="2"/>
  <c r="CO31" i="2"/>
  <c r="CN31" i="2"/>
  <c r="CM31" i="2"/>
  <c r="CS30" i="2"/>
  <c r="CR30" i="2"/>
  <c r="CQ30" i="2"/>
  <c r="CP30" i="2"/>
  <c r="CO30" i="2"/>
  <c r="CN30" i="2"/>
  <c r="CM30" i="2"/>
  <c r="CS29" i="2"/>
  <c r="CR29" i="2"/>
  <c r="CQ29" i="2"/>
  <c r="CP29" i="2"/>
  <c r="CO29" i="2"/>
  <c r="CN29" i="2"/>
  <c r="CM29" i="2"/>
  <c r="CS28" i="2"/>
  <c r="CR28" i="2"/>
  <c r="CQ28" i="2"/>
  <c r="CP28" i="2"/>
  <c r="CO28" i="2"/>
  <c r="CN28" i="2"/>
  <c r="CM28" i="2"/>
  <c r="CS27" i="2"/>
  <c r="CR27" i="2"/>
  <c r="CQ27" i="2"/>
  <c r="CP27" i="2"/>
  <c r="CO27" i="2"/>
  <c r="CN27" i="2"/>
  <c r="CS26" i="2"/>
  <c r="CR26" i="2"/>
  <c r="CQ26" i="2"/>
  <c r="CP26" i="2"/>
  <c r="CO26" i="2"/>
  <c r="CN26" i="2"/>
  <c r="CS25" i="2"/>
  <c r="CR25" i="2"/>
  <c r="CQ25" i="2"/>
  <c r="CP25" i="2"/>
  <c r="CO25" i="2"/>
  <c r="CN25" i="2"/>
  <c r="CM25" i="2"/>
  <c r="CS24" i="2"/>
  <c r="CR24" i="2"/>
  <c r="CQ24" i="2"/>
  <c r="CP24" i="2"/>
  <c r="CO24" i="2"/>
  <c r="CS23" i="2"/>
  <c r="CR23" i="2"/>
  <c r="CQ23" i="2"/>
  <c r="CP23" i="2"/>
  <c r="CO23" i="2"/>
  <c r="CS22" i="2"/>
  <c r="CR22" i="2"/>
  <c r="CQ22" i="2"/>
  <c r="CP22" i="2"/>
  <c r="CO22" i="2"/>
  <c r="CS21" i="2"/>
  <c r="CR21" i="2"/>
  <c r="CQ21" i="2"/>
  <c r="CP21" i="2"/>
  <c r="CO21" i="2"/>
  <c r="CN21" i="2"/>
  <c r="CM21" i="2"/>
  <c r="CS20" i="2"/>
  <c r="CR20" i="2"/>
  <c r="CQ20" i="2"/>
  <c r="CP20" i="2"/>
  <c r="CO20" i="2"/>
  <c r="CN20" i="2"/>
  <c r="CM20" i="2"/>
  <c r="CS19" i="2"/>
  <c r="CR19" i="2"/>
  <c r="CQ19" i="2"/>
  <c r="CP19" i="2"/>
  <c r="CO19" i="2"/>
  <c r="CN19" i="2"/>
  <c r="CM19" i="2"/>
  <c r="CS18" i="2"/>
  <c r="CR18" i="2"/>
  <c r="CQ18" i="2"/>
  <c r="CP18" i="2"/>
  <c r="CO18" i="2"/>
  <c r="CN18" i="2"/>
  <c r="CS17" i="2"/>
  <c r="CR17" i="2"/>
  <c r="CQ17" i="2"/>
  <c r="CP17" i="2"/>
  <c r="CO17" i="2"/>
  <c r="CN17" i="2"/>
  <c r="CS16" i="2"/>
  <c r="CR16" i="2"/>
  <c r="CQ16" i="2"/>
  <c r="CP16" i="2"/>
  <c r="CO16" i="2"/>
  <c r="CN16" i="2"/>
  <c r="CM16" i="2"/>
  <c r="CS15" i="2"/>
  <c r="CR15" i="2"/>
  <c r="CQ15" i="2"/>
  <c r="CP15" i="2"/>
  <c r="CO15" i="2"/>
  <c r="CN15" i="2"/>
  <c r="CS14" i="2"/>
  <c r="CR14" i="2"/>
  <c r="CQ14" i="2"/>
  <c r="CP14" i="2"/>
  <c r="CO14" i="2"/>
  <c r="CN14" i="2"/>
  <c r="CS13" i="2"/>
  <c r="CR13" i="2"/>
  <c r="CQ13" i="2"/>
  <c r="CP13" i="2"/>
  <c r="CO13" i="2"/>
  <c r="CN13" i="2"/>
  <c r="CM13" i="2"/>
  <c r="CS12" i="2"/>
  <c r="CR12" i="2"/>
  <c r="CQ12" i="2"/>
  <c r="CP12" i="2"/>
  <c r="CO12" i="2"/>
  <c r="CN12" i="2"/>
  <c r="CM12" i="2"/>
  <c r="CS11" i="2"/>
  <c r="CR11" i="2"/>
  <c r="CQ11" i="2"/>
  <c r="CP11" i="2"/>
  <c r="CO11" i="2"/>
  <c r="CN11" i="2"/>
  <c r="CM11" i="2"/>
  <c r="CS10" i="2"/>
  <c r="CR10" i="2"/>
  <c r="CQ10" i="2"/>
  <c r="CP10" i="2"/>
  <c r="CO10" i="2"/>
  <c r="CN10" i="2"/>
  <c r="CM10" i="2"/>
  <c r="CS9" i="2"/>
  <c r="CR9" i="2"/>
  <c r="CQ9" i="2"/>
  <c r="CP9" i="2"/>
  <c r="CO9" i="2"/>
  <c r="CN9" i="2"/>
  <c r="CS8" i="2"/>
  <c r="CR8" i="2"/>
  <c r="CQ8" i="2"/>
  <c r="CP8" i="2"/>
  <c r="CO8" i="2"/>
  <c r="CN8" i="2"/>
  <c r="CS7" i="2"/>
  <c r="CR7" i="2"/>
  <c r="CQ7" i="2"/>
  <c r="CP7" i="2"/>
  <c r="CO7" i="2"/>
  <c r="CN7" i="2"/>
  <c r="CM7" i="2"/>
  <c r="CS6" i="2"/>
  <c r="CR6" i="2"/>
  <c r="CQ6" i="2"/>
  <c r="CP6" i="2"/>
  <c r="CO6" i="2"/>
  <c r="CS5" i="2"/>
  <c r="CR5" i="2"/>
  <c r="CQ5" i="2"/>
  <c r="CP5" i="2"/>
  <c r="CO5" i="2"/>
  <c r="CS4" i="2"/>
  <c r="CR4" i="2"/>
  <c r="CQ4" i="2"/>
  <c r="CP4" i="2"/>
  <c r="CO4" i="2"/>
  <c r="CS3" i="2"/>
  <c r="CR3" i="2"/>
  <c r="CQ3" i="2"/>
  <c r="CP3" i="2"/>
  <c r="CO3" i="2"/>
  <c r="CN3" i="2"/>
  <c r="CM3" i="2"/>
  <c r="CK37" i="2"/>
  <c r="CJ37" i="2"/>
  <c r="CI37" i="2"/>
  <c r="CH37" i="2"/>
  <c r="CG37" i="2"/>
  <c r="CF37" i="2"/>
  <c r="CE37" i="2"/>
  <c r="CK36" i="2"/>
  <c r="CJ36" i="2"/>
  <c r="CI36" i="2"/>
  <c r="CH36" i="2"/>
  <c r="CG36" i="2"/>
  <c r="CF36" i="2"/>
  <c r="CE36" i="2"/>
  <c r="CK35" i="2"/>
  <c r="CJ35" i="2"/>
  <c r="CI35" i="2"/>
  <c r="CH35" i="2"/>
  <c r="CG35" i="2"/>
  <c r="CF35" i="2"/>
  <c r="CE35" i="2"/>
  <c r="CK34" i="2"/>
  <c r="CJ34" i="2"/>
  <c r="CI34" i="2"/>
  <c r="CH34" i="2"/>
  <c r="CG34" i="2"/>
  <c r="CF34" i="2"/>
  <c r="CE34" i="2"/>
  <c r="CK33" i="2"/>
  <c r="CJ33" i="2"/>
  <c r="CI33" i="2"/>
  <c r="CH33" i="2"/>
  <c r="CG33" i="2"/>
  <c r="CF33" i="2"/>
  <c r="CE33" i="2"/>
  <c r="CK32" i="2"/>
  <c r="CJ32" i="2"/>
  <c r="CI32" i="2"/>
  <c r="CH32" i="2"/>
  <c r="CG32" i="2"/>
  <c r="CF32" i="2"/>
  <c r="CE32" i="2"/>
  <c r="CK31" i="2"/>
  <c r="CJ31" i="2"/>
  <c r="CI31" i="2"/>
  <c r="CH31" i="2"/>
  <c r="CG31" i="2"/>
  <c r="CF31" i="2"/>
  <c r="CE31" i="2"/>
  <c r="CK30" i="2"/>
  <c r="CJ30" i="2"/>
  <c r="CI30" i="2"/>
  <c r="CH30" i="2"/>
  <c r="CG30" i="2"/>
  <c r="CF30" i="2"/>
  <c r="CE30" i="2"/>
  <c r="CK29" i="2"/>
  <c r="CJ29" i="2"/>
  <c r="CI29" i="2"/>
  <c r="CH29" i="2"/>
  <c r="CG29" i="2"/>
  <c r="CF29" i="2"/>
  <c r="CE29" i="2"/>
  <c r="CK28" i="2"/>
  <c r="CJ28" i="2"/>
  <c r="CI28" i="2"/>
  <c r="CH28" i="2"/>
  <c r="CG28" i="2"/>
  <c r="CF28" i="2"/>
  <c r="CE28" i="2"/>
  <c r="CK27" i="2"/>
  <c r="CJ27" i="2"/>
  <c r="CI27" i="2"/>
  <c r="CH27" i="2"/>
  <c r="CG27" i="2"/>
  <c r="CF27" i="2"/>
  <c r="CK26" i="2"/>
  <c r="CJ26" i="2"/>
  <c r="CI26" i="2"/>
  <c r="CH26" i="2"/>
  <c r="CG26" i="2"/>
  <c r="CF26" i="2"/>
  <c r="CK25" i="2"/>
  <c r="CJ25" i="2"/>
  <c r="CI25" i="2"/>
  <c r="CH25" i="2"/>
  <c r="CG25" i="2"/>
  <c r="CF25" i="2"/>
  <c r="CE25" i="2"/>
  <c r="CK24" i="2"/>
  <c r="CJ24" i="2"/>
  <c r="CI24" i="2"/>
  <c r="CH24" i="2"/>
  <c r="CG24" i="2"/>
  <c r="CK23" i="2"/>
  <c r="CJ23" i="2"/>
  <c r="CI23" i="2"/>
  <c r="CH23" i="2"/>
  <c r="CG23" i="2"/>
  <c r="CK22" i="2"/>
  <c r="CJ22" i="2"/>
  <c r="CI22" i="2"/>
  <c r="CH22" i="2"/>
  <c r="CG22" i="2"/>
  <c r="CK21" i="2"/>
  <c r="CJ21" i="2"/>
  <c r="CI21" i="2"/>
  <c r="CH21" i="2"/>
  <c r="CG21" i="2"/>
  <c r="CF21" i="2"/>
  <c r="CE21" i="2"/>
  <c r="CK20" i="2"/>
  <c r="CJ20" i="2"/>
  <c r="CI20" i="2"/>
  <c r="CH20" i="2"/>
  <c r="CG20" i="2"/>
  <c r="CF20" i="2"/>
  <c r="CE20" i="2"/>
  <c r="CK19" i="2"/>
  <c r="CJ19" i="2"/>
  <c r="CI19" i="2"/>
  <c r="CH19" i="2"/>
  <c r="CG19" i="2"/>
  <c r="CF19" i="2"/>
  <c r="CE19" i="2"/>
  <c r="CK18" i="2"/>
  <c r="CJ18" i="2"/>
  <c r="CI18" i="2"/>
  <c r="CH18" i="2"/>
  <c r="CG18" i="2"/>
  <c r="CF18" i="2"/>
  <c r="CK17" i="2"/>
  <c r="CJ17" i="2"/>
  <c r="CI17" i="2"/>
  <c r="CH17" i="2"/>
  <c r="CG17" i="2"/>
  <c r="CF17" i="2"/>
  <c r="CK16" i="2"/>
  <c r="CJ16" i="2"/>
  <c r="CI16" i="2"/>
  <c r="CH16" i="2"/>
  <c r="CG16" i="2"/>
  <c r="CF16" i="2"/>
  <c r="CE16" i="2"/>
  <c r="CK15" i="2"/>
  <c r="CJ15" i="2"/>
  <c r="CI15" i="2"/>
  <c r="CH15" i="2"/>
  <c r="CG15" i="2"/>
  <c r="CF15" i="2"/>
  <c r="CK14" i="2"/>
  <c r="CJ14" i="2"/>
  <c r="CI14" i="2"/>
  <c r="CH14" i="2"/>
  <c r="CG14" i="2"/>
  <c r="CF14" i="2"/>
  <c r="CK13" i="2"/>
  <c r="CJ13" i="2"/>
  <c r="CI13" i="2"/>
  <c r="CH13" i="2"/>
  <c r="CG13" i="2"/>
  <c r="CF13" i="2"/>
  <c r="CE13" i="2"/>
  <c r="CK12" i="2"/>
  <c r="CJ12" i="2"/>
  <c r="CI12" i="2"/>
  <c r="CH12" i="2"/>
  <c r="CG12" i="2"/>
  <c r="CF12" i="2"/>
  <c r="CE12" i="2"/>
  <c r="CK11" i="2"/>
  <c r="CJ11" i="2"/>
  <c r="CI11" i="2"/>
  <c r="CH11" i="2"/>
  <c r="CG11" i="2"/>
  <c r="CF11" i="2"/>
  <c r="CE11" i="2"/>
  <c r="CK10" i="2"/>
  <c r="CJ10" i="2"/>
  <c r="CI10" i="2"/>
  <c r="CH10" i="2"/>
  <c r="CG10" i="2"/>
  <c r="CF10" i="2"/>
  <c r="CE10" i="2"/>
  <c r="CK9" i="2"/>
  <c r="CJ9" i="2"/>
  <c r="CI9" i="2"/>
  <c r="CH9" i="2"/>
  <c r="CG9" i="2"/>
  <c r="CF9" i="2"/>
  <c r="CK8" i="2"/>
  <c r="CJ8" i="2"/>
  <c r="CI8" i="2"/>
  <c r="CH8" i="2"/>
  <c r="CG8" i="2"/>
  <c r="CF8" i="2"/>
  <c r="CK7" i="2"/>
  <c r="CJ7" i="2"/>
  <c r="CI7" i="2"/>
  <c r="CH7" i="2"/>
  <c r="CG7" i="2"/>
  <c r="CF7" i="2"/>
  <c r="CE7" i="2"/>
  <c r="CK6" i="2"/>
  <c r="CJ6" i="2"/>
  <c r="CI6" i="2"/>
  <c r="CH6" i="2"/>
  <c r="CG6" i="2"/>
  <c r="CK5" i="2"/>
  <c r="CJ5" i="2"/>
  <c r="CI5" i="2"/>
  <c r="CH5" i="2"/>
  <c r="CG5" i="2"/>
  <c r="CK4" i="2"/>
  <c r="CJ4" i="2"/>
  <c r="CI4" i="2"/>
  <c r="CH4" i="2"/>
  <c r="CG4" i="2"/>
  <c r="CK3" i="2"/>
  <c r="CJ3" i="2"/>
  <c r="CI3" i="2"/>
  <c r="CH3" i="2"/>
  <c r="CG3" i="2"/>
  <c r="CF3" i="2"/>
  <c r="CE3" i="2"/>
  <c r="CE2" i="2"/>
  <c r="V15" i="2"/>
  <c r="V14" i="2"/>
  <c r="W37" i="2"/>
  <c r="BT37" i="2" s="1"/>
  <c r="W36" i="2"/>
  <c r="BT36" i="2" s="1"/>
  <c r="W35" i="2"/>
  <c r="BT35" i="2" s="1"/>
  <c r="W34" i="2"/>
  <c r="BT34" i="2" s="1"/>
  <c r="W33" i="2"/>
  <c r="BT33" i="2" s="1"/>
  <c r="W32" i="2"/>
  <c r="BT32" i="2" s="1"/>
  <c r="W31" i="2"/>
  <c r="BT31" i="2" s="1"/>
  <c r="W30" i="2"/>
  <c r="BT30" i="2" s="1"/>
  <c r="W29" i="2"/>
  <c r="BT29" i="2" s="1"/>
  <c r="W28" i="2"/>
  <c r="BU27" i="2" s="1"/>
  <c r="W27" i="2"/>
  <c r="BT27" i="2" s="1"/>
  <c r="W25" i="2"/>
  <c r="BT25" i="2" s="1"/>
  <c r="W24" i="2"/>
  <c r="BU23" i="2" s="1"/>
  <c r="W23" i="2"/>
  <c r="BT23" i="2" s="1"/>
  <c r="W22" i="2"/>
  <c r="W21" i="2"/>
  <c r="BT21" i="2" s="1"/>
  <c r="W20" i="2"/>
  <c r="BT20" i="2" s="1"/>
  <c r="W19" i="2"/>
  <c r="BT19" i="2" s="1"/>
  <c r="W18" i="2"/>
  <c r="BU17" i="2" s="1"/>
  <c r="W17" i="2"/>
  <c r="BT17" i="2" s="1"/>
  <c r="W16" i="2"/>
  <c r="BT16" i="2" s="1"/>
  <c r="W15" i="2"/>
  <c r="BT15" i="2" s="1"/>
  <c r="W14" i="2"/>
  <c r="BT14" i="2" s="1"/>
  <c r="W13" i="2"/>
  <c r="BT13" i="2" s="1"/>
  <c r="W12" i="2"/>
  <c r="BT12" i="2" s="1"/>
  <c r="W11" i="2"/>
  <c r="BT11" i="2" s="1"/>
  <c r="W10" i="2"/>
  <c r="BT10" i="2" s="1"/>
  <c r="W8" i="2"/>
  <c r="BV6" i="2" s="1"/>
  <c r="W7" i="2"/>
  <c r="BT7" i="2" s="1"/>
  <c r="W6" i="2"/>
  <c r="BV4" i="2" s="1"/>
  <c r="W5" i="2"/>
  <c r="BT5" i="2" s="1"/>
  <c r="W4" i="2"/>
  <c r="BT4" i="2" s="1"/>
  <c r="W3" i="2"/>
  <c r="BT3" i="2" s="1"/>
  <c r="W2" i="2"/>
  <c r="BT2" i="2" s="1"/>
  <c r="V18" i="2"/>
  <c r="V17" i="2"/>
  <c r="V9" i="2"/>
  <c r="W9" i="2" s="1"/>
  <c r="BT9" i="2" s="1"/>
  <c r="CT37" i="2"/>
  <c r="CT36" i="2"/>
  <c r="CT35" i="2"/>
  <c r="CT34" i="2"/>
  <c r="CT33" i="2"/>
  <c r="CT32" i="2"/>
  <c r="CT31" i="2"/>
  <c r="CT30" i="2"/>
  <c r="CT29" i="2"/>
  <c r="CT28" i="2"/>
  <c r="CT27" i="2"/>
  <c r="CT26" i="2"/>
  <c r="CT25" i="2"/>
  <c r="CT24" i="2"/>
  <c r="CT23" i="2"/>
  <c r="CT22" i="2"/>
  <c r="CT21" i="2"/>
  <c r="CT20" i="2"/>
  <c r="CT19" i="2"/>
  <c r="CT18" i="2"/>
  <c r="CT17" i="2"/>
  <c r="CT16" i="2"/>
  <c r="CT15" i="2"/>
  <c r="CT14" i="2"/>
  <c r="CT13" i="2"/>
  <c r="CT12" i="2"/>
  <c r="CT11" i="2"/>
  <c r="CT10" i="2"/>
  <c r="CT9" i="2"/>
  <c r="CT8" i="2"/>
  <c r="CT7" i="2"/>
  <c r="CT6" i="2"/>
  <c r="CT5" i="2"/>
  <c r="CT4" i="2"/>
  <c r="CT3" i="2"/>
  <c r="CT2" i="2"/>
  <c r="BQ37" i="2"/>
  <c r="BQ36" i="2"/>
  <c r="BQ35" i="2"/>
  <c r="BQ34" i="2"/>
  <c r="BQ33" i="2"/>
  <c r="BQ32" i="2"/>
  <c r="BQ31" i="2"/>
  <c r="BQ30" i="2"/>
  <c r="BQ29" i="2"/>
  <c r="BQ28" i="2"/>
  <c r="BQ27" i="2"/>
  <c r="BQ26" i="2"/>
  <c r="BQ25" i="2"/>
  <c r="BQ24" i="2"/>
  <c r="BQ23" i="2"/>
  <c r="BQ22" i="2"/>
  <c r="BQ21" i="2"/>
  <c r="BQ20" i="2"/>
  <c r="BQ19" i="2"/>
  <c r="BQ18" i="2"/>
  <c r="BQ17" i="2"/>
  <c r="BQ16" i="2"/>
  <c r="BQ15" i="2"/>
  <c r="BQ14" i="2"/>
  <c r="BQ13" i="2"/>
  <c r="BQ12" i="2"/>
  <c r="BQ11" i="2"/>
  <c r="BQ10" i="2"/>
  <c r="BQ9" i="2"/>
  <c r="BQ8" i="2"/>
  <c r="BQ7" i="2"/>
  <c r="BQ6" i="2"/>
  <c r="BQ5" i="2"/>
  <c r="BQ4" i="2"/>
  <c r="BQ3" i="2"/>
  <c r="BQ2" i="2"/>
  <c r="V37" i="2"/>
  <c r="V36" i="2"/>
  <c r="V35" i="2"/>
  <c r="V34" i="2"/>
  <c r="V33" i="2"/>
  <c r="V32" i="2"/>
  <c r="V31" i="2"/>
  <c r="V30" i="2"/>
  <c r="V29" i="2"/>
  <c r="V28" i="2"/>
  <c r="V27" i="2"/>
  <c r="V26" i="2"/>
  <c r="W26" i="2" s="1"/>
  <c r="BV24" i="2" s="1"/>
  <c r="V25" i="2"/>
  <c r="V24" i="2"/>
  <c r="V23" i="2"/>
  <c r="V22" i="2"/>
  <c r="V21" i="2"/>
  <c r="V20" i="2"/>
  <c r="V19" i="2"/>
  <c r="V16" i="2"/>
  <c r="V13" i="2"/>
  <c r="V12" i="2"/>
  <c r="V11" i="2"/>
  <c r="V10" i="2"/>
  <c r="V8" i="2"/>
  <c r="CJ2" i="2" s="1"/>
  <c r="V7" i="2"/>
  <c r="V6" i="2"/>
  <c r="V5" i="2"/>
  <c r="V4" i="2"/>
  <c r="V3" i="2"/>
  <c r="V2" i="2"/>
  <c r="U2" i="2"/>
  <c r="BF11" i="2"/>
  <c r="U37" i="2"/>
  <c r="U36" i="2"/>
  <c r="AL36" i="2" s="1"/>
  <c r="U35" i="2"/>
  <c r="U34" i="2"/>
  <c r="AL34" i="2" s="1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AL20" i="2" s="1"/>
  <c r="U19" i="2"/>
  <c r="U18" i="2"/>
  <c r="U17" i="2"/>
  <c r="AL17" i="2" s="1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BT22" i="2" l="1"/>
  <c r="AT22" i="2"/>
  <c r="CL13" i="2"/>
  <c r="AL13" i="2"/>
  <c r="CL21" i="2"/>
  <c r="AL21" i="2"/>
  <c r="AN23" i="2"/>
  <c r="AL25" i="2"/>
  <c r="AM24" i="2"/>
  <c r="CL29" i="2"/>
  <c r="AL29" i="2"/>
  <c r="CL33" i="2"/>
  <c r="AL33" i="2"/>
  <c r="CL37" i="2"/>
  <c r="AL37" i="2"/>
  <c r="CL12" i="2"/>
  <c r="AL12" i="2"/>
  <c r="AM27" i="2"/>
  <c r="AL28" i="2"/>
  <c r="CL32" i="2"/>
  <c r="AL32" i="2"/>
  <c r="CM5" i="2"/>
  <c r="AL5" i="2"/>
  <c r="CK2" i="2"/>
  <c r="AL9" i="2"/>
  <c r="AM8" i="2"/>
  <c r="CF4" i="2"/>
  <c r="AL6" i="2"/>
  <c r="CL10" i="2"/>
  <c r="AM9" i="2"/>
  <c r="AL10" i="2"/>
  <c r="CL14" i="2"/>
  <c r="AL14" i="2"/>
  <c r="CL18" i="2"/>
  <c r="AL18" i="2"/>
  <c r="AM17" i="2"/>
  <c r="CL22" i="2"/>
  <c r="AL22" i="2"/>
  <c r="AN24" i="2"/>
  <c r="AL26" i="2"/>
  <c r="CL30" i="2"/>
  <c r="AL30" i="2"/>
  <c r="CM4" i="2"/>
  <c r="AL4" i="2"/>
  <c r="CS2" i="2"/>
  <c r="AL8" i="2"/>
  <c r="AM15" i="2"/>
  <c r="AL16" i="2"/>
  <c r="AM23" i="2"/>
  <c r="AL24" i="2"/>
  <c r="AN22" i="2"/>
  <c r="CL3" i="2"/>
  <c r="AL3" i="2"/>
  <c r="CL7" i="2"/>
  <c r="AL7" i="2"/>
  <c r="CL11" i="2"/>
  <c r="AL11" i="2"/>
  <c r="CL15" i="2"/>
  <c r="AM14" i="2"/>
  <c r="AL15" i="2"/>
  <c r="CL19" i="2"/>
  <c r="AM18" i="2"/>
  <c r="AL19" i="2"/>
  <c r="CL23" i="2"/>
  <c r="AM22" i="2"/>
  <c r="AL23" i="2"/>
  <c r="CL27" i="2"/>
  <c r="AM26" i="2"/>
  <c r="AL27" i="2"/>
  <c r="CL31" i="2"/>
  <c r="AL31" i="2"/>
  <c r="CL35" i="2"/>
  <c r="AL35" i="2"/>
  <c r="CL2" i="2"/>
  <c r="AL2" i="2"/>
  <c r="X31" i="2"/>
  <c r="X33" i="2"/>
  <c r="X35" i="2"/>
  <c r="X37" i="2"/>
  <c r="X3" i="2"/>
  <c r="X5" i="2"/>
  <c r="X11" i="2"/>
  <c r="X15" i="2"/>
  <c r="X17" i="2"/>
  <c r="X23" i="2"/>
  <c r="X27" i="2"/>
  <c r="X29" i="2"/>
  <c r="X21" i="2"/>
  <c r="X7" i="2"/>
  <c r="X9" i="2"/>
  <c r="X13" i="2"/>
  <c r="X19" i="2"/>
  <c r="X25" i="2"/>
  <c r="X2" i="2"/>
  <c r="X6" i="2"/>
  <c r="X10" i="2"/>
  <c r="X14" i="2"/>
  <c r="X18" i="2"/>
  <c r="X22" i="2"/>
  <c r="X26" i="2"/>
  <c r="X30" i="2"/>
  <c r="X34" i="2"/>
  <c r="X4" i="2"/>
  <c r="X8" i="2"/>
  <c r="X12" i="2"/>
  <c r="X16" i="2"/>
  <c r="X20" i="2"/>
  <c r="X24" i="2"/>
  <c r="X28" i="2"/>
  <c r="X32" i="2"/>
  <c r="X36" i="2"/>
  <c r="CD20" i="2"/>
  <c r="CE27" i="2"/>
  <c r="CD36" i="2"/>
  <c r="AB2" i="2"/>
  <c r="AB3" i="2"/>
  <c r="AB7" i="2"/>
  <c r="AB10" i="2"/>
  <c r="AB11" i="2"/>
  <c r="AB14" i="2"/>
  <c r="AB19" i="2"/>
  <c r="AB31" i="2"/>
  <c r="AB35" i="2"/>
  <c r="AB4" i="2"/>
  <c r="AB6" i="2"/>
  <c r="AB12" i="2"/>
  <c r="AB36" i="2"/>
  <c r="AB5" i="2"/>
  <c r="AB13" i="2"/>
  <c r="AB17" i="2"/>
  <c r="AB21" i="2"/>
  <c r="AB25" i="2"/>
  <c r="AB29" i="2"/>
  <c r="AB33" i="2"/>
  <c r="AB37" i="2"/>
  <c r="AB8" i="2"/>
  <c r="AB16" i="2"/>
  <c r="AB20" i="2"/>
  <c r="AB28" i="2"/>
  <c r="AB32" i="2"/>
  <c r="CF23" i="2"/>
  <c r="CD26" i="2"/>
  <c r="CD34" i="2"/>
  <c r="AB22" i="2"/>
  <c r="AB26" i="2"/>
  <c r="AB30" i="2"/>
  <c r="AB34" i="2"/>
  <c r="CM2" i="2"/>
  <c r="BR10" i="2"/>
  <c r="CF2" i="2"/>
  <c r="CI2" i="2"/>
  <c r="CN2" i="2"/>
  <c r="CR2" i="2"/>
  <c r="BK2" i="2"/>
  <c r="BO2" i="2"/>
  <c r="BV2" i="2"/>
  <c r="BZ2" i="2"/>
  <c r="CQ2" i="2"/>
  <c r="CG2" i="2"/>
  <c r="CO2" i="2"/>
  <c r="BP2" i="2"/>
  <c r="BW2" i="2"/>
  <c r="CA2" i="2"/>
  <c r="CH2" i="2"/>
  <c r="CP2" i="2"/>
  <c r="BM2" i="2"/>
  <c r="BX2" i="2"/>
  <c r="CM8" i="2"/>
  <c r="CE15" i="2"/>
  <c r="CM24" i="2"/>
  <c r="CM9" i="2"/>
  <c r="CM17" i="2"/>
  <c r="BR36" i="2"/>
  <c r="BR30" i="2"/>
  <c r="BR16" i="2"/>
  <c r="BR20" i="2"/>
  <c r="CL4" i="2"/>
  <c r="CL20" i="2"/>
  <c r="CL36" i="2"/>
  <c r="CN4" i="2"/>
  <c r="CM15" i="2"/>
  <c r="CM23" i="2"/>
  <c r="CN24" i="2"/>
  <c r="CM27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G25" i="2" s="1"/>
  <c r="BI26" i="2"/>
  <c r="BI27" i="2"/>
  <c r="BI28" i="2"/>
  <c r="BG28" i="2" s="1"/>
  <c r="BI29" i="2"/>
  <c r="BI30" i="2"/>
  <c r="BI31" i="2"/>
  <c r="BI32" i="2"/>
  <c r="BI33" i="2"/>
  <c r="BI34" i="2"/>
  <c r="BI35" i="2"/>
  <c r="BI36" i="2"/>
  <c r="BI37" i="2"/>
  <c r="BS2" i="2"/>
  <c r="CD4" i="2"/>
  <c r="CD8" i="2"/>
  <c r="CD12" i="2"/>
  <c r="CD16" i="2"/>
  <c r="CD24" i="2"/>
  <c r="CD28" i="2"/>
  <c r="CD32" i="2"/>
  <c r="BS4" i="2"/>
  <c r="BU5" i="2"/>
  <c r="BS8" i="2"/>
  <c r="BU9" i="2"/>
  <c r="BR9" i="2" s="1"/>
  <c r="BU14" i="2"/>
  <c r="BR14" i="2" s="1"/>
  <c r="BS15" i="2"/>
  <c r="BS17" i="2"/>
  <c r="BR17" i="2" s="1"/>
  <c r="BT18" i="2"/>
  <c r="BV23" i="2"/>
  <c r="BT24" i="2"/>
  <c r="BT26" i="2"/>
  <c r="BT28" i="2"/>
  <c r="BS32" i="2"/>
  <c r="BR32" i="2" s="1"/>
  <c r="BI2" i="2"/>
  <c r="CL8" i="2"/>
  <c r="CL24" i="2"/>
  <c r="CM6" i="2"/>
  <c r="CM14" i="2"/>
  <c r="CM18" i="2"/>
  <c r="CM22" i="2"/>
  <c r="CN23" i="2"/>
  <c r="CM26" i="2"/>
  <c r="BJ4" i="2"/>
  <c r="BJ5" i="2"/>
  <c r="BJ6" i="2"/>
  <c r="BJ8" i="2"/>
  <c r="BJ9" i="2"/>
  <c r="BJ14" i="2"/>
  <c r="BJ15" i="2"/>
  <c r="BJ17" i="2"/>
  <c r="BJ18" i="2"/>
  <c r="BJ22" i="2"/>
  <c r="BJ23" i="2"/>
  <c r="BJ24" i="2"/>
  <c r="BJ26" i="2"/>
  <c r="BJ27" i="2"/>
  <c r="CD5" i="2"/>
  <c r="CD9" i="2"/>
  <c r="CD13" i="2"/>
  <c r="CC13" i="2" s="1"/>
  <c r="CD17" i="2"/>
  <c r="CD21" i="2"/>
  <c r="CD25" i="2"/>
  <c r="CD29" i="2"/>
  <c r="CD33" i="2"/>
  <c r="CD37" i="2"/>
  <c r="CC37" i="2" s="1"/>
  <c r="BV5" i="2"/>
  <c r="BT6" i="2"/>
  <c r="BT8" i="2"/>
  <c r="BS12" i="2"/>
  <c r="BR12" i="2" s="1"/>
  <c r="BU18" i="2"/>
  <c r="BS19" i="2"/>
  <c r="BR19" i="2" s="1"/>
  <c r="BS21" i="2"/>
  <c r="BR21" i="2" s="1"/>
  <c r="BU22" i="2"/>
  <c r="BS23" i="2"/>
  <c r="BU24" i="2"/>
  <c r="BS25" i="2"/>
  <c r="BR25" i="2" s="1"/>
  <c r="BU26" i="2"/>
  <c r="BS27" i="2"/>
  <c r="BR27" i="2" s="1"/>
  <c r="CL28" i="2"/>
  <c r="CN6" i="2"/>
  <c r="CN22" i="2"/>
  <c r="BK4" i="2"/>
  <c r="BK5" i="2"/>
  <c r="BK6" i="2"/>
  <c r="BK22" i="2"/>
  <c r="BK23" i="2"/>
  <c r="BK24" i="2"/>
  <c r="CD2" i="2"/>
  <c r="CD6" i="2"/>
  <c r="CD10" i="2"/>
  <c r="CD14" i="2"/>
  <c r="CD18" i="2"/>
  <c r="CD22" i="2"/>
  <c r="CD30" i="2"/>
  <c r="BS3" i="2"/>
  <c r="BR3" i="2" s="1"/>
  <c r="BU4" i="2"/>
  <c r="BS5" i="2"/>
  <c r="BU6" i="2"/>
  <c r="BS7" i="2"/>
  <c r="BR7" i="2" s="1"/>
  <c r="BU8" i="2"/>
  <c r="BU15" i="2"/>
  <c r="BV22" i="2"/>
  <c r="BS31" i="2"/>
  <c r="BR31" i="2" s="1"/>
  <c r="BS33" i="2"/>
  <c r="BR33" i="2" s="1"/>
  <c r="BS35" i="2"/>
  <c r="BR35" i="2" s="1"/>
  <c r="BS37" i="2"/>
  <c r="BR37" i="2" s="1"/>
  <c r="CL16" i="2"/>
  <c r="CN5" i="2"/>
  <c r="CD3" i="2"/>
  <c r="CC3" i="2" s="1"/>
  <c r="CD7" i="2"/>
  <c r="CC7" i="2" s="1"/>
  <c r="CD11" i="2"/>
  <c r="CD15" i="2"/>
  <c r="CD19" i="2"/>
  <c r="CC19" i="2" s="1"/>
  <c r="CD23" i="2"/>
  <c r="CD27" i="2"/>
  <c r="CD31" i="2"/>
  <c r="CC31" i="2" s="1"/>
  <c r="CD35" i="2"/>
  <c r="BS11" i="2"/>
  <c r="BR11" i="2" s="1"/>
  <c r="BS13" i="2"/>
  <c r="BR13" i="2" s="1"/>
  <c r="BS22" i="2"/>
  <c r="BS24" i="2"/>
  <c r="BS28" i="2"/>
  <c r="BR29" i="2"/>
  <c r="BR34" i="2"/>
  <c r="CL5" i="2"/>
  <c r="CL9" i="2"/>
  <c r="CL17" i="2"/>
  <c r="CL25" i="2"/>
  <c r="CE4" i="2"/>
  <c r="CE5" i="2"/>
  <c r="CE6" i="2"/>
  <c r="CE8" i="2"/>
  <c r="CE9" i="2"/>
  <c r="CE14" i="2"/>
  <c r="CE17" i="2"/>
  <c r="CE18" i="2"/>
  <c r="CE22" i="2"/>
  <c r="CE23" i="2"/>
  <c r="CE24" i="2"/>
  <c r="CE26" i="2"/>
  <c r="CL6" i="2"/>
  <c r="CL26" i="2"/>
  <c r="CL34" i="2"/>
  <c r="CF5" i="2"/>
  <c r="CF6" i="2"/>
  <c r="CF22" i="2"/>
  <c r="CF24" i="2"/>
  <c r="BH7" i="2"/>
  <c r="BH31" i="2"/>
  <c r="BH11" i="2"/>
  <c r="BD9" i="2"/>
  <c r="BD29" i="2"/>
  <c r="BH33" i="2"/>
  <c r="BD6" i="2"/>
  <c r="BD10" i="2"/>
  <c r="BD14" i="2"/>
  <c r="BD18" i="2"/>
  <c r="BD22" i="2"/>
  <c r="BD26" i="2"/>
  <c r="BD30" i="2"/>
  <c r="BD34" i="2"/>
  <c r="BH15" i="2"/>
  <c r="BH17" i="2"/>
  <c r="BH19" i="2"/>
  <c r="BH21" i="2"/>
  <c r="BH26" i="2"/>
  <c r="BH35" i="2"/>
  <c r="BH37" i="2"/>
  <c r="BF9" i="2"/>
  <c r="BF25" i="2"/>
  <c r="BF29" i="2"/>
  <c r="BD13" i="2"/>
  <c r="BD21" i="2"/>
  <c r="BD33" i="2"/>
  <c r="BH9" i="2"/>
  <c r="BD3" i="2"/>
  <c r="BD11" i="2"/>
  <c r="BD19" i="2"/>
  <c r="BD23" i="2"/>
  <c r="BD27" i="2"/>
  <c r="BD31" i="2"/>
  <c r="BD35" i="2"/>
  <c r="BH6" i="2"/>
  <c r="BH10" i="2"/>
  <c r="BH23" i="2"/>
  <c r="BH30" i="2"/>
  <c r="BD5" i="2"/>
  <c r="BD17" i="2"/>
  <c r="BD25" i="2"/>
  <c r="BD37" i="2"/>
  <c r="BH13" i="2"/>
  <c r="BD7" i="2"/>
  <c r="BD15" i="2"/>
  <c r="BD4" i="2"/>
  <c r="BD8" i="2"/>
  <c r="BD12" i="2"/>
  <c r="BD16" i="2"/>
  <c r="BD20" i="2"/>
  <c r="BD24" i="2"/>
  <c r="BD28" i="2"/>
  <c r="BD32" i="2"/>
  <c r="BD36" i="2"/>
  <c r="BH3" i="2"/>
  <c r="BH5" i="2"/>
  <c r="BG12" i="2"/>
  <c r="BH14" i="2"/>
  <c r="BH16" i="2"/>
  <c r="BG16" i="2" s="1"/>
  <c r="BH18" i="2"/>
  <c r="BH20" i="2"/>
  <c r="BG20" i="2" s="1"/>
  <c r="BH27" i="2"/>
  <c r="BH29" i="2"/>
  <c r="BG32" i="2"/>
  <c r="BH34" i="2"/>
  <c r="BH36" i="2"/>
  <c r="BG36" i="2" s="1"/>
  <c r="BF2" i="2"/>
  <c r="BF4" i="2"/>
  <c r="BF6" i="2"/>
  <c r="BF8" i="2"/>
  <c r="BF10" i="2"/>
  <c r="BF12" i="2"/>
  <c r="BF14" i="2"/>
  <c r="BF16" i="2"/>
  <c r="BF18" i="2"/>
  <c r="BF20" i="2"/>
  <c r="BF22" i="2"/>
  <c r="BF24" i="2"/>
  <c r="BF26" i="2"/>
  <c r="BF28" i="2"/>
  <c r="BF30" i="2"/>
  <c r="BF32" i="2"/>
  <c r="BF34" i="2"/>
  <c r="BF36" i="2"/>
  <c r="BD2" i="2"/>
  <c r="CC29" i="2" l="1"/>
  <c r="CC36" i="2"/>
  <c r="CC35" i="2"/>
  <c r="BB25" i="2"/>
  <c r="BG34" i="2"/>
  <c r="BB16" i="2"/>
  <c r="CC28" i="2"/>
  <c r="CC21" i="2"/>
  <c r="CC30" i="2"/>
  <c r="CC10" i="2"/>
  <c r="CC11" i="2"/>
  <c r="CC33" i="2"/>
  <c r="CC32" i="2"/>
  <c r="CC12" i="2"/>
  <c r="BG37" i="2"/>
  <c r="BG29" i="2"/>
  <c r="BG13" i="2"/>
  <c r="BR26" i="2"/>
  <c r="CC20" i="2"/>
  <c r="BG24" i="2"/>
  <c r="BG15" i="2"/>
  <c r="BR23" i="2"/>
  <c r="BG8" i="2"/>
  <c r="BG21" i="2"/>
  <c r="BG33" i="2"/>
  <c r="CC34" i="2"/>
  <c r="BG23" i="2"/>
  <c r="CC2" i="2"/>
  <c r="BG2" i="2"/>
  <c r="BR2" i="2"/>
  <c r="CC24" i="2"/>
  <c r="BG30" i="2"/>
  <c r="BG6" i="2"/>
  <c r="BG31" i="2"/>
  <c r="CC22" i="2"/>
  <c r="CC17" i="2"/>
  <c r="BG7" i="2"/>
  <c r="BG5" i="2"/>
  <c r="BR4" i="2"/>
  <c r="CC9" i="2"/>
  <c r="BG3" i="2"/>
  <c r="CC5" i="2"/>
  <c r="CC16" i="2"/>
  <c r="BG22" i="2"/>
  <c r="BG27" i="2"/>
  <c r="CC26" i="2"/>
  <c r="CC25" i="2"/>
  <c r="BG35" i="2"/>
  <c r="BG19" i="2"/>
  <c r="CC6" i="2"/>
  <c r="BR18" i="2"/>
  <c r="CC4" i="2"/>
  <c r="BG17" i="2"/>
  <c r="BG11" i="2"/>
  <c r="CC14" i="2"/>
  <c r="CC18" i="2"/>
  <c r="BR6" i="2"/>
  <c r="BG4" i="2"/>
  <c r="BC4" i="2" s="1"/>
  <c r="CC8" i="2"/>
  <c r="CC23" i="2"/>
  <c r="BR28" i="2"/>
  <c r="BG9" i="2"/>
  <c r="BR22" i="2"/>
  <c r="CC27" i="2"/>
  <c r="CC15" i="2"/>
  <c r="BG18" i="2"/>
  <c r="BG14" i="2"/>
  <c r="BG10" i="2"/>
  <c r="BG26" i="2"/>
  <c r="BR8" i="2"/>
  <c r="BR24" i="2"/>
  <c r="BR15" i="2"/>
  <c r="BR5" i="2"/>
  <c r="BC14" i="2" l="1"/>
  <c r="BC17" i="2"/>
  <c r="BC26" i="2"/>
  <c r="BC8" i="2"/>
  <c r="BC22" i="2"/>
</calcChain>
</file>

<file path=xl/sharedStrings.xml><?xml version="1.0" encoding="utf-8"?>
<sst xmlns="http://schemas.openxmlformats.org/spreadsheetml/2006/main" count="1140" uniqueCount="356">
  <si>
    <t>iam</t>
  </si>
  <si>
    <t>get-account-authorization-details</t>
  </si>
  <si>
    <t>get-account-password-policy</t>
  </si>
  <si>
    <t>get-account-summary</t>
  </si>
  <si>
    <t>get-credential-report</t>
  </si>
  <si>
    <t>list-account-aliases</t>
  </si>
  <si>
    <t>list-mfa-devices</t>
  </si>
  <si>
    <t>list-service-specific-credentials</t>
  </si>
  <si>
    <t>list-signing-certificates</t>
  </si>
  <si>
    <t>list-ssh-public-keys</t>
  </si>
  <si>
    <t>list-virtual-mfa-devices</t>
  </si>
  <si>
    <t>list-access-keys</t>
  </si>
  <si>
    <t>get-access-key-last-used</t>
  </si>
  <si>
    <t>--access-key-id</t>
  </si>
  <si>
    <t>AccessKeyId</t>
  </si>
  <si>
    <t>list-groups</t>
  </si>
  <si>
    <t>get-group</t>
  </si>
  <si>
    <t>--group-name</t>
  </si>
  <si>
    <t>GroupName</t>
  </si>
  <si>
    <t>list-attached-group-policies</t>
  </si>
  <si>
    <t>list-group-policies</t>
  </si>
  <si>
    <t>list-instance-profiles</t>
  </si>
  <si>
    <t>get-instance-profile</t>
  </si>
  <si>
    <t>--instance-profile-name</t>
  </si>
  <si>
    <t>InstanceProfileName</t>
  </si>
  <si>
    <t>list-open-id-connect-providers</t>
  </si>
  <si>
    <t>get-open-id-connect-provider</t>
  </si>
  <si>
    <t>--open-id-connect-provider-arn</t>
  </si>
  <si>
    <t>Arn</t>
  </si>
  <si>
    <t>list-policies</t>
  </si>
  <si>
    <t>get-policy</t>
  </si>
  <si>
    <t>--policy-arn</t>
  </si>
  <si>
    <t>list-entities-for-policy</t>
  </si>
  <si>
    <t>list-policy-versions</t>
  </si>
  <si>
    <t>list-roles</t>
  </si>
  <si>
    <t>get-role</t>
  </si>
  <si>
    <t>--role-name</t>
  </si>
  <si>
    <t>RoleName</t>
  </si>
  <si>
    <t>list-attached-role-policies</t>
  </si>
  <si>
    <t>list-instance-profiles-for-role</t>
  </si>
  <si>
    <t>list-role-policies</t>
  </si>
  <si>
    <t>list-saml-providers</t>
  </si>
  <si>
    <t>get-saml-provider</t>
  </si>
  <si>
    <t>--saml-provider-arn</t>
  </si>
  <si>
    <t>list-server-certificates</t>
  </si>
  <si>
    <t>get-server-certificate</t>
  </si>
  <si>
    <t>--server-certificate-name</t>
  </si>
  <si>
    <t>ServerCertificateName</t>
  </si>
  <si>
    <t>list-users</t>
  </si>
  <si>
    <t>get-login-profile</t>
  </si>
  <si>
    <t>--user-name</t>
  </si>
  <si>
    <t>UserName</t>
  </si>
  <si>
    <t>list-user-policies</t>
  </si>
  <si>
    <t>list-attached-user-policies</t>
  </si>
  <si>
    <t>list-groups-for-user</t>
  </si>
  <si>
    <t>get-user</t>
  </si>
  <si>
    <t>get-context-keys-for-custom-policy</t>
  </si>
  <si>
    <t>--policy-input-list</t>
  </si>
  <si>
    <t>get-context-keys-for-principal-policy</t>
  </si>
  <si>
    <t>--policy-source-arn</t>
  </si>
  <si>
    <t>get-group-policy</t>
  </si>
  <si>
    <t>get-policy-version</t>
  </si>
  <si>
    <t>get-role-policy</t>
  </si>
  <si>
    <t>get-service-linked-role-deletion-status</t>
  </si>
  <si>
    <t>--deletion-task-id</t>
  </si>
  <si>
    <t>get-ssh-public-key</t>
  </si>
  <si>
    <t>get-user-policy</t>
  </si>
  <si>
    <t>--policy-name</t>
  </si>
  <si>
    <t>--version-id</t>
  </si>
  <si>
    <t>--ssh-public-key-id</t>
  </si>
  <si>
    <t>--encoding</t>
  </si>
  <si>
    <t>y</t>
  </si>
  <si>
    <t>n</t>
  </si>
  <si>
    <t>PolicyNames</t>
  </si>
  <si>
    <t>DefaultVersionId</t>
  </si>
  <si>
    <t>SSHPublicKeyId</t>
  </si>
  <si>
    <t>SSH</t>
  </si>
  <si>
    <t>delete-service-linked-role</t>
  </si>
  <si>
    <t>id</t>
  </si>
  <si>
    <t>execute_yn</t>
  </si>
  <si>
    <t>recursive_yn</t>
  </si>
  <si>
    <t>command_comment</t>
  </si>
  <si>
    <t>test_ok_yn</t>
  </si>
  <si>
    <t>command_recursive_comment</t>
  </si>
  <si>
    <t>aws_service</t>
  </si>
  <si>
    <t>aws_cli_command</t>
  </si>
  <si>
    <t>parameter_source_aws_cli_command</t>
  </si>
  <si>
    <t>parameter_source_aws_service</t>
  </si>
  <si>
    <t>Need error check for no report: An error occurred (ReportNotPresent) when calling the GetCredentialReport operation: Unknown</t>
  </si>
  <si>
    <t>parameter_source_table</t>
  </si>
  <si>
    <t>command_recursive_table</t>
  </si>
  <si>
    <t>list-command-unknown</t>
  </si>
  <si>
    <t>parameter_source_attribute</t>
  </si>
  <si>
    <t>parameter_count</t>
  </si>
  <si>
    <t>parameter_source_table_count</t>
  </si>
  <si>
    <t>parameter_multi_yn</t>
  </si>
  <si>
    <t>query_1_param</t>
  </si>
  <si>
    <t>query_drop</t>
  </si>
  <si>
    <t>query_name</t>
  </si>
  <si>
    <t>query_create_1</t>
  </si>
  <si>
    <t>query_create_2</t>
  </si>
  <si>
    <t>query_create_3</t>
  </si>
  <si>
    <t>query_create_4</t>
  </si>
  <si>
    <t>query_create_5</t>
  </si>
  <si>
    <t>query_create_6</t>
  </si>
  <si>
    <t>query_create_7</t>
  </si>
  <si>
    <t>query_create_header</t>
  </si>
  <si>
    <t>query_create_tail</t>
  </si>
  <si>
    <t>query_create_8</t>
  </si>
  <si>
    <t>query_tail</t>
  </si>
  <si>
    <t>query_create_build</t>
  </si>
  <si>
    <t>query_select_2</t>
  </si>
  <si>
    <t>query_select_3</t>
  </si>
  <si>
    <t>query_select_4</t>
  </si>
  <si>
    <t>query_select_5</t>
  </si>
  <si>
    <t>query_select_6</t>
  </si>
  <si>
    <t>query_select_7</t>
  </si>
  <si>
    <t>query_select_8</t>
  </si>
  <si>
    <t>query_from_2</t>
  </si>
  <si>
    <t>query_from_3</t>
  </si>
  <si>
    <t>query_from_4</t>
  </si>
  <si>
    <t>query_from_5</t>
  </si>
  <si>
    <t>query_from_6</t>
  </si>
  <si>
    <t>query_from_7</t>
  </si>
  <si>
    <t>query_from_8</t>
  </si>
  <si>
    <t>parameter_source_join_attribute</t>
  </si>
  <si>
    <t>join_type</t>
  </si>
  <si>
    <t>INNER</t>
  </si>
  <si>
    <t>parameter_key_hardcode_yn</t>
  </si>
  <si>
    <t>parameter_key_hardcode_value</t>
  </si>
  <si>
    <t>*unknown*</t>
  </si>
  <si>
    <t>query_from</t>
  </si>
  <si>
    <t>query_select_header</t>
  </si>
  <si>
    <t>query_insert_build</t>
  </si>
  <si>
    <t>query_insert_header</t>
  </si>
  <si>
    <t>query_insert_1</t>
  </si>
  <si>
    <t>query_insert_2</t>
  </si>
  <si>
    <t>query_insert_3</t>
  </si>
  <si>
    <t>query_insert_4</t>
  </si>
  <si>
    <t>query_insert_5</t>
  </si>
  <si>
    <t>query_insert_6</t>
  </si>
  <si>
    <t>query_insert_7</t>
  </si>
  <si>
    <t>query_insert_8</t>
  </si>
  <si>
    <t>query_insert_tail</t>
  </si>
  <si>
    <t>query_select_build</t>
  </si>
  <si>
    <t>command_recursive</t>
  </si>
  <si>
    <t>command_recursive_1</t>
  </si>
  <si>
    <t>command_recursive_2</t>
  </si>
  <si>
    <t>command_recursive_3</t>
  </si>
  <si>
    <t>command_recursive_4</t>
  </si>
  <si>
    <t>command_recursive_5</t>
  </si>
  <si>
    <t>command_recursive_6</t>
  </si>
  <si>
    <t>command_recursive_7</t>
  </si>
  <si>
    <t>command_recursive_8</t>
  </si>
  <si>
    <t>command_recursive_header</t>
  </si>
  <si>
    <t>command_repeated</t>
  </si>
  <si>
    <t>recursive_dependent_yn</t>
  </si>
  <si>
    <t>command_repeated_hardcoded_prior</t>
  </si>
  <si>
    <t>command_repeated_hardcoded_after</t>
  </si>
  <si>
    <t>command_repeated_hardcoded_yn</t>
  </si>
  <si>
    <t>command_parameter</t>
  </si>
  <si>
    <t>command_recursive_multi_query</t>
  </si>
  <si>
    <t>command_recursive_single_query</t>
  </si>
  <si>
    <t>parameter_source_key</t>
  </si>
  <si>
    <t>key_id</t>
  </si>
  <si>
    <t>parameter_01_source_table</t>
  </si>
  <si>
    <t>parameter_02_source_table</t>
  </si>
  <si>
    <t>parameter_03_source_table</t>
  </si>
  <si>
    <t>parameter_04_source_table</t>
  </si>
  <si>
    <t>parameter_05_source_table</t>
  </si>
  <si>
    <t>parameter_06_source_table</t>
  </si>
  <si>
    <t>parameter_07_source_table</t>
  </si>
  <si>
    <t>parameter_08_source_table</t>
  </si>
  <si>
    <t>parameter_01_source_key</t>
  </si>
  <si>
    <t>parameter_02_source_key</t>
  </si>
  <si>
    <t>parameter_03_source_key</t>
  </si>
  <si>
    <t>parameter_04_source_key</t>
  </si>
  <si>
    <t>parameter_05_source_key</t>
  </si>
  <si>
    <t>parameter_06_source_key</t>
  </si>
  <si>
    <t>parameter_07_source_key</t>
  </si>
  <si>
    <t>parameter_08_source_key</t>
  </si>
  <si>
    <t>**hardcoded**</t>
  </si>
  <si>
    <t>cloudfront</t>
  </si>
  <si>
    <t>route53</t>
  </si>
  <si>
    <t>s3api</t>
  </si>
  <si>
    <t>waf</t>
  </si>
  <si>
    <t>exclude</t>
  </si>
  <si>
    <t>global_aws_service_yn</t>
  </si>
  <si>
    <t>driver_ver</t>
  </si>
  <si>
    <t>driver_tested_yn</t>
  </si>
  <si>
    <t>driver_all_ok_yn</t>
  </si>
  <si>
    <t>aws_service_comment</t>
  </si>
  <si>
    <t>acm</t>
  </si>
  <si>
    <t>alexaforbusiness</t>
  </si>
  <si>
    <t>apigateway</t>
  </si>
  <si>
    <t>application-autoscaling</t>
  </si>
  <si>
    <t>appstream</t>
  </si>
  <si>
    <t>appsync</t>
  </si>
  <si>
    <t>athena</t>
  </si>
  <si>
    <t>autoscaling</t>
  </si>
  <si>
    <t>autoscaling-plans</t>
  </si>
  <si>
    <t>batch</t>
  </si>
  <si>
    <t>budgets</t>
  </si>
  <si>
    <t>ce</t>
  </si>
  <si>
    <t>cloud9</t>
  </si>
  <si>
    <t>clouddirectory</t>
  </si>
  <si>
    <t>cloudformation</t>
  </si>
  <si>
    <t>cloudhsm</t>
  </si>
  <si>
    <t>cloudhsmv2</t>
  </si>
  <si>
    <t>cloudsearch</t>
  </si>
  <si>
    <t>cloudsearchdomain</t>
  </si>
  <si>
    <t>cloudtrail</t>
  </si>
  <si>
    <t>cloudwatch</t>
  </si>
  <si>
    <t>codebuild</t>
  </si>
  <si>
    <t>codecommit</t>
  </si>
  <si>
    <t>codepipeline</t>
  </si>
  <si>
    <t>codestar</t>
  </si>
  <si>
    <t>cognito-identity</t>
  </si>
  <si>
    <t>cognito-idp</t>
  </si>
  <si>
    <t>cognito-sync</t>
  </si>
  <si>
    <t>comprehend</t>
  </si>
  <si>
    <t>configservice</t>
  </si>
  <si>
    <t>configure</t>
  </si>
  <si>
    <t>cur</t>
  </si>
  <si>
    <t>datapipeline</t>
  </si>
  <si>
    <t>dax</t>
  </si>
  <si>
    <t>deploy</t>
  </si>
  <si>
    <t>devicefarm</t>
  </si>
  <si>
    <t>directconnect</t>
  </si>
  <si>
    <t>discovery</t>
  </si>
  <si>
    <t>dms</t>
  </si>
  <si>
    <t>ds</t>
  </si>
  <si>
    <t>dynamodb</t>
  </si>
  <si>
    <t>dynamodbstreams</t>
  </si>
  <si>
    <t>ec2</t>
  </si>
  <si>
    <t>ecr</t>
  </si>
  <si>
    <t>ecs</t>
  </si>
  <si>
    <t>efs</t>
  </si>
  <si>
    <t>elasticache</t>
  </si>
  <si>
    <t>elasticbeanstalk</t>
  </si>
  <si>
    <t>elastictranscoder</t>
  </si>
  <si>
    <t>elb</t>
  </si>
  <si>
    <t>elbv2</t>
  </si>
  <si>
    <t>emr</t>
  </si>
  <si>
    <t>es</t>
  </si>
  <si>
    <t>events</t>
  </si>
  <si>
    <t>firehose</t>
  </si>
  <si>
    <t>gamelift</t>
  </si>
  <si>
    <t>glacier</t>
  </si>
  <si>
    <t>glue</t>
  </si>
  <si>
    <t>greengrass</t>
  </si>
  <si>
    <t>guardduty</t>
  </si>
  <si>
    <t>health</t>
  </si>
  <si>
    <t>history</t>
  </si>
  <si>
    <t>importexport</t>
  </si>
  <si>
    <t>inspector</t>
  </si>
  <si>
    <t>iot</t>
  </si>
  <si>
    <t>iot-data</t>
  </si>
  <si>
    <t>iot-jobs-data</t>
  </si>
  <si>
    <t>kinesis</t>
  </si>
  <si>
    <t>kinesis-video-archived-media</t>
  </si>
  <si>
    <t>kinesis-video-media</t>
  </si>
  <si>
    <t>kinesisanalytics</t>
  </si>
  <si>
    <t>kinesisvideo</t>
  </si>
  <si>
    <t>kms</t>
  </si>
  <si>
    <t>lambda</t>
  </si>
  <si>
    <t>lex-models</t>
  </si>
  <si>
    <t>lex-runtime</t>
  </si>
  <si>
    <t>lightsail</t>
  </si>
  <si>
    <t>logs</t>
  </si>
  <si>
    <t>machinelearning</t>
  </si>
  <si>
    <t>marketplace-entitlement</t>
  </si>
  <si>
    <t>marketplacecommerceanalytics</t>
  </si>
  <si>
    <t>mediaconvert</t>
  </si>
  <si>
    <t>medialive</t>
  </si>
  <si>
    <t>mediapackage</t>
  </si>
  <si>
    <t>mediastore</t>
  </si>
  <si>
    <t>mediastore-data</t>
  </si>
  <si>
    <t>meteringmarketplace</t>
  </si>
  <si>
    <t>mgh</t>
  </si>
  <si>
    <t>mobile</t>
  </si>
  <si>
    <t>mq</t>
  </si>
  <si>
    <t>mturk</t>
  </si>
  <si>
    <t>opsworks</t>
  </si>
  <si>
    <t>opsworks-cm</t>
  </si>
  <si>
    <t>organizations</t>
  </si>
  <si>
    <t>pinpoint</t>
  </si>
  <si>
    <t>polly</t>
  </si>
  <si>
    <t>pricing</t>
  </si>
  <si>
    <t>rds</t>
  </si>
  <si>
    <t>redshift</t>
  </si>
  <si>
    <t>rekognition</t>
  </si>
  <si>
    <t>resource-groups</t>
  </si>
  <si>
    <t>resourcegroupstaggingapi</t>
  </si>
  <si>
    <t>route53domains</t>
  </si>
  <si>
    <t>s3</t>
  </si>
  <si>
    <t>sagemaker</t>
  </si>
  <si>
    <t>sagemaker-runtime</t>
  </si>
  <si>
    <t>sdb</t>
  </si>
  <si>
    <t>serverlessrepo</t>
  </si>
  <si>
    <t>servicecatalog</t>
  </si>
  <si>
    <t>servicediscovery</t>
  </si>
  <si>
    <t>ses</t>
  </si>
  <si>
    <t>shield</t>
  </si>
  <si>
    <t>sms</t>
  </si>
  <si>
    <t>snowball</t>
  </si>
  <si>
    <t>sns</t>
  </si>
  <si>
    <t>sqs</t>
  </si>
  <si>
    <t>ssm</t>
  </si>
  <si>
    <t>stepfunctions</t>
  </si>
  <si>
    <t>storagegateway</t>
  </si>
  <si>
    <t>sts</t>
  </si>
  <si>
    <t>support</t>
  </si>
  <si>
    <t>swf</t>
  </si>
  <si>
    <t>transcribe</t>
  </si>
  <si>
    <t>translate</t>
  </si>
  <si>
    <t>waf-regional</t>
  </si>
  <si>
    <t>workdocs</t>
  </si>
  <si>
    <t>workmail</t>
  </si>
  <si>
    <t>workspaces</t>
  </si>
  <si>
    <t>xray</t>
  </si>
  <si>
    <t>parameter_source_table_multi_yn</t>
  </si>
  <si>
    <t>https://github.com/Enterprise-Group-Ltd/aws-services-snapshot</t>
  </si>
  <si>
    <t>To select which AWS services are snapshotted:</t>
  </si>
  <si>
    <t>Select the tab: 'aws_services'</t>
  </si>
  <si>
    <t>Edit the 'execute_yn' column to control snapshotting for that service</t>
  </si>
  <si>
    <t>To select which AWS CLI commands are snapshotted:</t>
  </si>
  <si>
    <t>Select the tab: 'aws_cli_commands'</t>
  </si>
  <si>
    <t>Edit the 'execute_yn' column to control snapshotting for that AWS CLI command</t>
  </si>
  <si>
    <t>Truncate the PostgreSQL table 'aws_snapshot.aws_sps_commands._driver_aws_services'</t>
  </si>
  <si>
    <t>Copy the contents of the tab 'aws_services' to the PostgreSQL table 'aws_snapshot.aws_sps_commands._driver_aws_services'</t>
  </si>
  <si>
    <t>Truncate the PostgreSQL table 'aws_snapshot.aws_sps_commands._driver_aws_cli_commands'</t>
  </si>
  <si>
    <t>Copy the contents of the tab 'aws_services' to the PostgreSQL table 'aws_snapshot.aws_sps_commands._driver_aws_cli_commands'</t>
  </si>
  <si>
    <t>Right-click on the table aws_snapshot.aws_sps_commands.target_table</t>
  </si>
  <si>
    <t>Select 'Truncate Table'</t>
  </si>
  <si>
    <t>Select 'Open Table'</t>
  </si>
  <si>
    <t>In the Excel workbook, select the source tab</t>
  </si>
  <si>
    <t>Select the range of data, beginning at row 2  &gt;&gt; Important: do not include row 1 with the column names &lt;&lt;</t>
  </si>
  <si>
    <t>Copy</t>
  </si>
  <si>
    <t>In Navicat, right-click on the table aws_snapshot.aws_sps_commands.target_table</t>
  </si>
  <si>
    <t>At the bottom of the window, select the '+' to add a row</t>
  </si>
  <si>
    <t>Select the 'key_id' column in the new row</t>
  </si>
  <si>
    <t>Paste</t>
  </si>
  <si>
    <t>At the bottom of the window, select the 'checkmark' to commit the data</t>
  </si>
  <si>
    <t>For Navicat, to paste the contents of the XL workbook tab into the PostgreSQL table:</t>
  </si>
  <si>
    <t>Version:</t>
  </si>
  <si>
    <t>2.0.50</t>
  </si>
  <si>
    <t xml:space="preserve">Source: </t>
  </si>
  <si>
    <t xml:space="preserve">Status: </t>
  </si>
  <si>
    <t>MVP, work-in-progress</t>
  </si>
  <si>
    <t>Services Tested and Supported:</t>
  </si>
  <si>
    <t>IAM</t>
  </si>
  <si>
    <t>Notes:</t>
  </si>
  <si>
    <t>AWS Services Snapshot utility</t>
  </si>
  <si>
    <t xml:space="preserve"> CLI commands driver XL workbook</t>
  </si>
  <si>
    <t>This Microsoft Excel workbook creates  the AWS CLI commands for the AWS Services Snapshot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</si>
</sst>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42" applyNumberFormat="1" applyFont="1"/>
    <xf numFmtId="0" fontId="6" fillId="2" borderId="10" xfId="6" applyNumberFormat="1" applyBorder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6" fillId="2" borderId="10" xfId="6" applyNumberFormat="1" applyBorder="1" applyAlignment="1">
      <alignment horizontal="center"/>
    </xf>
    <xf numFmtId="0" fontId="7" fillId="3" borderId="10" xfId="7" applyNumberFormat="1" applyBorder="1"/>
    <xf numFmtId="0" fontId="7" fillId="3" borderId="10" xfId="7" applyNumberFormat="1" applyBorder="1" applyAlignment="1"/>
    <xf numFmtId="0" fontId="16" fillId="0" borderId="0" xfId="0" applyFont="1"/>
    <xf numFmtId="0" fontId="18" fillId="0" borderId="0" xfId="0" applyFont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1"/>
  <sheetViews>
    <sheetView tabSelected="1" workbookViewId="0"/>
  </sheetViews>
  <sheetFormatPr defaultRowHeight="15" x14ac:dyDescent="0.25"/>
  <cols>
    <col min="1" max="1" width="10.28515625" customWidth="1"/>
    <col min="2" max="2" width="117.85546875" customWidth="1"/>
  </cols>
  <sheetData>
    <row r="2" spans="1:2" ht="15.75" x14ac:dyDescent="0.25">
      <c r="A2" s="12" t="s">
        <v>353</v>
      </c>
      <c r="B2" s="13"/>
    </row>
    <row r="3" spans="1:2" ht="15.75" x14ac:dyDescent="0.25">
      <c r="A3" s="14" t="s">
        <v>354</v>
      </c>
      <c r="B3" s="15"/>
    </row>
    <row r="5" spans="1:2" x14ac:dyDescent="0.25">
      <c r="A5" t="s">
        <v>345</v>
      </c>
      <c r="B5" t="s">
        <v>346</v>
      </c>
    </row>
    <row r="7" spans="1:2" x14ac:dyDescent="0.25">
      <c r="A7" t="s">
        <v>355</v>
      </c>
    </row>
    <row r="9" spans="1:2" x14ac:dyDescent="0.25">
      <c r="A9" t="s">
        <v>347</v>
      </c>
      <c r="B9" t="s">
        <v>322</v>
      </c>
    </row>
    <row r="11" spans="1:2" x14ac:dyDescent="0.25">
      <c r="A11" t="s">
        <v>348</v>
      </c>
      <c r="B11" t="s">
        <v>349</v>
      </c>
    </row>
    <row r="12" spans="1:2" x14ac:dyDescent="0.25">
      <c r="A12" s="16" t="s">
        <v>350</v>
      </c>
    </row>
    <row r="13" spans="1:2" x14ac:dyDescent="0.25">
      <c r="B13" t="s">
        <v>351</v>
      </c>
    </row>
    <row r="16" spans="1:2" x14ac:dyDescent="0.25">
      <c r="A16" s="10" t="s">
        <v>323</v>
      </c>
    </row>
    <row r="17" spans="1:2" x14ac:dyDescent="0.25">
      <c r="A17">
        <v>1</v>
      </c>
      <c r="B17" t="s">
        <v>324</v>
      </c>
    </row>
    <row r="18" spans="1:2" x14ac:dyDescent="0.25">
      <c r="A18">
        <v>2</v>
      </c>
      <c r="B18" t="s">
        <v>325</v>
      </c>
    </row>
    <row r="19" spans="1:2" x14ac:dyDescent="0.25">
      <c r="A19">
        <v>3</v>
      </c>
      <c r="B19" t="s">
        <v>329</v>
      </c>
    </row>
    <row r="20" spans="1:2" x14ac:dyDescent="0.25">
      <c r="A20">
        <v>4</v>
      </c>
      <c r="B20" t="s">
        <v>330</v>
      </c>
    </row>
    <row r="22" spans="1:2" x14ac:dyDescent="0.25">
      <c r="A22" s="10" t="s">
        <v>326</v>
      </c>
    </row>
    <row r="23" spans="1:2" x14ac:dyDescent="0.25">
      <c r="A23">
        <v>1</v>
      </c>
      <c r="B23" t="s">
        <v>327</v>
      </c>
    </row>
    <row r="24" spans="1:2" x14ac:dyDescent="0.25">
      <c r="A24">
        <v>2</v>
      </c>
      <c r="B24" t="s">
        <v>328</v>
      </c>
    </row>
    <row r="25" spans="1:2" x14ac:dyDescent="0.25">
      <c r="A25">
        <v>3</v>
      </c>
      <c r="B25" t="s">
        <v>331</v>
      </c>
    </row>
    <row r="26" spans="1:2" x14ac:dyDescent="0.25">
      <c r="A26">
        <v>4</v>
      </c>
      <c r="B26" t="s">
        <v>332</v>
      </c>
    </row>
    <row r="29" spans="1:2" ht="15.75" x14ac:dyDescent="0.25">
      <c r="A29" s="11" t="s">
        <v>352</v>
      </c>
    </row>
    <row r="30" spans="1:2" x14ac:dyDescent="0.25">
      <c r="A30" s="10" t="s">
        <v>344</v>
      </c>
    </row>
    <row r="31" spans="1:2" x14ac:dyDescent="0.25">
      <c r="A31">
        <v>1</v>
      </c>
      <c r="B31" t="s">
        <v>336</v>
      </c>
    </row>
    <row r="32" spans="1:2" x14ac:dyDescent="0.25">
      <c r="A32">
        <v>2</v>
      </c>
      <c r="B32" t="s">
        <v>337</v>
      </c>
    </row>
    <row r="33" spans="1:2" x14ac:dyDescent="0.25">
      <c r="A33">
        <v>3</v>
      </c>
      <c r="B33" t="s">
        <v>338</v>
      </c>
    </row>
    <row r="34" spans="1:2" x14ac:dyDescent="0.25">
      <c r="A34">
        <v>4</v>
      </c>
      <c r="B34" t="s">
        <v>339</v>
      </c>
    </row>
    <row r="35" spans="1:2" x14ac:dyDescent="0.25">
      <c r="A35">
        <v>5</v>
      </c>
      <c r="B35" t="s">
        <v>334</v>
      </c>
    </row>
    <row r="36" spans="1:2" x14ac:dyDescent="0.25">
      <c r="A36">
        <v>6</v>
      </c>
      <c r="B36" t="s">
        <v>333</v>
      </c>
    </row>
    <row r="37" spans="1:2" x14ac:dyDescent="0.25">
      <c r="A37">
        <v>7</v>
      </c>
      <c r="B37" t="s">
        <v>335</v>
      </c>
    </row>
    <row r="38" spans="1:2" x14ac:dyDescent="0.25">
      <c r="A38">
        <v>8</v>
      </c>
      <c r="B38" t="s">
        <v>340</v>
      </c>
    </row>
    <row r="39" spans="1:2" x14ac:dyDescent="0.25">
      <c r="A39">
        <v>9</v>
      </c>
      <c r="B39" t="s">
        <v>341</v>
      </c>
    </row>
    <row r="40" spans="1:2" x14ac:dyDescent="0.25">
      <c r="A40">
        <v>10</v>
      </c>
      <c r="B40" t="s">
        <v>342</v>
      </c>
    </row>
    <row r="41" spans="1:2" x14ac:dyDescent="0.25">
      <c r="A41">
        <v>11</v>
      </c>
      <c r="B41" t="s">
        <v>343</v>
      </c>
    </row>
  </sheetData>
  <mergeCells count="2"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29.7109375" bestFit="1" customWidth="1"/>
    <col min="3" max="3" width="11.28515625" bestFit="1" customWidth="1"/>
    <col min="4" max="4" width="21.7109375" bestFit="1" customWidth="1"/>
    <col min="5" max="5" width="10.140625" bestFit="1" customWidth="1"/>
    <col min="6" max="6" width="16.28515625" bestFit="1" customWidth="1"/>
    <col min="7" max="7" width="15.85546875" bestFit="1" customWidth="1"/>
    <col min="8" max="8" width="21.5703125" bestFit="1" customWidth="1"/>
  </cols>
  <sheetData>
    <row r="1" spans="1:8" x14ac:dyDescent="0.25">
      <c r="A1" t="s">
        <v>78</v>
      </c>
      <c r="B1" t="s">
        <v>84</v>
      </c>
      <c r="C1" t="s">
        <v>79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</row>
    <row r="2" spans="1:8" x14ac:dyDescent="0.25">
      <c r="A2">
        <v>1</v>
      </c>
      <c r="B2" t="s">
        <v>192</v>
      </c>
      <c r="C2" t="s">
        <v>72</v>
      </c>
      <c r="D2" t="s">
        <v>72</v>
      </c>
    </row>
    <row r="3" spans="1:8" x14ac:dyDescent="0.25">
      <c r="A3">
        <v>2</v>
      </c>
      <c r="B3" t="s">
        <v>193</v>
      </c>
      <c r="C3" t="s">
        <v>72</v>
      </c>
      <c r="D3" t="s">
        <v>72</v>
      </c>
    </row>
    <row r="4" spans="1:8" x14ac:dyDescent="0.25">
      <c r="A4">
        <v>3</v>
      </c>
      <c r="B4" t="s">
        <v>194</v>
      </c>
      <c r="C4" t="s">
        <v>72</v>
      </c>
      <c r="D4" t="s">
        <v>72</v>
      </c>
    </row>
    <row r="5" spans="1:8" x14ac:dyDescent="0.25">
      <c r="A5">
        <v>4</v>
      </c>
      <c r="B5" t="s">
        <v>195</v>
      </c>
      <c r="C5" t="s">
        <v>72</v>
      </c>
      <c r="D5" t="s">
        <v>72</v>
      </c>
    </row>
    <row r="6" spans="1:8" x14ac:dyDescent="0.25">
      <c r="A6">
        <v>5</v>
      </c>
      <c r="B6" t="s">
        <v>196</v>
      </c>
      <c r="C6" t="s">
        <v>72</v>
      </c>
      <c r="D6" t="s">
        <v>72</v>
      </c>
    </row>
    <row r="7" spans="1:8" x14ac:dyDescent="0.25">
      <c r="A7">
        <v>6</v>
      </c>
      <c r="B7" t="s">
        <v>197</v>
      </c>
      <c r="C7" t="s">
        <v>72</v>
      </c>
      <c r="D7" t="s">
        <v>72</v>
      </c>
    </row>
    <row r="8" spans="1:8" x14ac:dyDescent="0.25">
      <c r="A8">
        <v>7</v>
      </c>
      <c r="B8" t="s">
        <v>198</v>
      </c>
      <c r="C8" t="s">
        <v>72</v>
      </c>
      <c r="D8" t="s">
        <v>72</v>
      </c>
    </row>
    <row r="9" spans="1:8" x14ac:dyDescent="0.25">
      <c r="A9">
        <v>8</v>
      </c>
      <c r="B9" t="s">
        <v>199</v>
      </c>
      <c r="C9" t="s">
        <v>72</v>
      </c>
      <c r="D9" t="s">
        <v>72</v>
      </c>
    </row>
    <row r="10" spans="1:8" x14ac:dyDescent="0.25">
      <c r="A10">
        <v>9</v>
      </c>
      <c r="B10" t="s">
        <v>200</v>
      </c>
      <c r="C10" t="s">
        <v>72</v>
      </c>
      <c r="D10" t="s">
        <v>72</v>
      </c>
    </row>
    <row r="11" spans="1:8" x14ac:dyDescent="0.25">
      <c r="A11">
        <v>10</v>
      </c>
      <c r="B11" t="s">
        <v>201</v>
      </c>
      <c r="C11" t="s">
        <v>72</v>
      </c>
      <c r="D11" t="s">
        <v>72</v>
      </c>
    </row>
    <row r="12" spans="1:8" x14ac:dyDescent="0.25">
      <c r="A12">
        <v>11</v>
      </c>
      <c r="B12" t="s">
        <v>202</v>
      </c>
      <c r="C12" t="s">
        <v>72</v>
      </c>
      <c r="D12" t="s">
        <v>72</v>
      </c>
    </row>
    <row r="13" spans="1:8" x14ac:dyDescent="0.25">
      <c r="A13">
        <v>12</v>
      </c>
      <c r="B13" t="s">
        <v>203</v>
      </c>
      <c r="C13" t="s">
        <v>72</v>
      </c>
      <c r="D13" t="s">
        <v>72</v>
      </c>
    </row>
    <row r="14" spans="1:8" x14ac:dyDescent="0.25">
      <c r="A14">
        <v>13</v>
      </c>
      <c r="B14" t="s">
        <v>204</v>
      </c>
      <c r="C14" t="s">
        <v>72</v>
      </c>
      <c r="D14" t="s">
        <v>72</v>
      </c>
    </row>
    <row r="15" spans="1:8" x14ac:dyDescent="0.25">
      <c r="A15">
        <v>14</v>
      </c>
      <c r="B15" t="s">
        <v>205</v>
      </c>
      <c r="C15" t="s">
        <v>72</v>
      </c>
      <c r="D15" t="s">
        <v>72</v>
      </c>
    </row>
    <row r="16" spans="1:8" x14ac:dyDescent="0.25">
      <c r="A16">
        <v>15</v>
      </c>
      <c r="B16" t="s">
        <v>206</v>
      </c>
      <c r="C16" t="s">
        <v>72</v>
      </c>
      <c r="D16" t="s">
        <v>72</v>
      </c>
    </row>
    <row r="17" spans="1:4" x14ac:dyDescent="0.25">
      <c r="A17">
        <v>16</v>
      </c>
      <c r="B17" t="s">
        <v>182</v>
      </c>
      <c r="C17" t="s">
        <v>72</v>
      </c>
      <c r="D17" t="s">
        <v>71</v>
      </c>
    </row>
    <row r="18" spans="1:4" x14ac:dyDescent="0.25">
      <c r="A18">
        <v>17</v>
      </c>
      <c r="B18" t="s">
        <v>207</v>
      </c>
      <c r="C18" t="s">
        <v>72</v>
      </c>
      <c r="D18" t="s">
        <v>72</v>
      </c>
    </row>
    <row r="19" spans="1:4" x14ac:dyDescent="0.25">
      <c r="A19">
        <v>18</v>
      </c>
      <c r="B19" t="s">
        <v>208</v>
      </c>
      <c r="C19" t="s">
        <v>72</v>
      </c>
      <c r="D19" t="s">
        <v>72</v>
      </c>
    </row>
    <row r="20" spans="1:4" x14ac:dyDescent="0.25">
      <c r="A20">
        <v>19</v>
      </c>
      <c r="B20" t="s">
        <v>209</v>
      </c>
      <c r="C20" t="s">
        <v>72</v>
      </c>
      <c r="D20" t="s">
        <v>72</v>
      </c>
    </row>
    <row r="21" spans="1:4" x14ac:dyDescent="0.25">
      <c r="A21">
        <v>20</v>
      </c>
      <c r="B21" t="s">
        <v>210</v>
      </c>
      <c r="C21" t="s">
        <v>72</v>
      </c>
      <c r="D21" t="s">
        <v>72</v>
      </c>
    </row>
    <row r="22" spans="1:4" x14ac:dyDescent="0.25">
      <c r="A22">
        <v>21</v>
      </c>
      <c r="B22" t="s">
        <v>211</v>
      </c>
      <c r="C22" t="s">
        <v>72</v>
      </c>
      <c r="D22" t="s">
        <v>72</v>
      </c>
    </row>
    <row r="23" spans="1:4" x14ac:dyDescent="0.25">
      <c r="A23">
        <v>22</v>
      </c>
      <c r="B23" t="s">
        <v>212</v>
      </c>
      <c r="C23" t="s">
        <v>72</v>
      </c>
      <c r="D23" t="s">
        <v>72</v>
      </c>
    </row>
    <row r="24" spans="1:4" x14ac:dyDescent="0.25">
      <c r="A24">
        <v>23</v>
      </c>
      <c r="B24" t="s">
        <v>213</v>
      </c>
      <c r="C24" t="s">
        <v>72</v>
      </c>
      <c r="D24" t="s">
        <v>72</v>
      </c>
    </row>
    <row r="25" spans="1:4" x14ac:dyDescent="0.25">
      <c r="A25">
        <v>24</v>
      </c>
      <c r="B25" t="s">
        <v>214</v>
      </c>
      <c r="C25" t="s">
        <v>72</v>
      </c>
      <c r="D25" t="s">
        <v>72</v>
      </c>
    </row>
    <row r="26" spans="1:4" x14ac:dyDescent="0.25">
      <c r="A26">
        <v>25</v>
      </c>
      <c r="B26" t="s">
        <v>215</v>
      </c>
      <c r="C26" t="s">
        <v>72</v>
      </c>
      <c r="D26" t="s">
        <v>72</v>
      </c>
    </row>
    <row r="27" spans="1:4" x14ac:dyDescent="0.25">
      <c r="A27">
        <v>26</v>
      </c>
      <c r="B27" t="s">
        <v>216</v>
      </c>
      <c r="C27" t="s">
        <v>72</v>
      </c>
      <c r="D27" t="s">
        <v>72</v>
      </c>
    </row>
    <row r="28" spans="1:4" x14ac:dyDescent="0.25">
      <c r="A28">
        <v>27</v>
      </c>
      <c r="B28" t="s">
        <v>217</v>
      </c>
      <c r="C28" t="s">
        <v>72</v>
      </c>
      <c r="D28" t="s">
        <v>72</v>
      </c>
    </row>
    <row r="29" spans="1:4" x14ac:dyDescent="0.25">
      <c r="A29">
        <v>28</v>
      </c>
      <c r="B29" t="s">
        <v>218</v>
      </c>
      <c r="C29" t="s">
        <v>72</v>
      </c>
      <c r="D29" t="s">
        <v>72</v>
      </c>
    </row>
    <row r="30" spans="1:4" x14ac:dyDescent="0.25">
      <c r="A30">
        <v>29</v>
      </c>
      <c r="B30" t="s">
        <v>219</v>
      </c>
      <c r="C30" t="s">
        <v>72</v>
      </c>
      <c r="D30" t="s">
        <v>72</v>
      </c>
    </row>
    <row r="31" spans="1:4" x14ac:dyDescent="0.25">
      <c r="A31">
        <v>30</v>
      </c>
      <c r="B31" t="s">
        <v>220</v>
      </c>
      <c r="C31" t="s">
        <v>72</v>
      </c>
      <c r="D31" t="s">
        <v>72</v>
      </c>
    </row>
    <row r="32" spans="1:4" x14ac:dyDescent="0.25">
      <c r="A32">
        <v>31</v>
      </c>
      <c r="B32" t="s">
        <v>221</v>
      </c>
      <c r="C32" t="s">
        <v>72</v>
      </c>
      <c r="D32" t="s">
        <v>72</v>
      </c>
    </row>
    <row r="33" spans="1:4" x14ac:dyDescent="0.25">
      <c r="A33">
        <v>32</v>
      </c>
      <c r="B33" t="s">
        <v>222</v>
      </c>
      <c r="C33" t="s">
        <v>72</v>
      </c>
      <c r="D33" t="s">
        <v>72</v>
      </c>
    </row>
    <row r="34" spans="1:4" x14ac:dyDescent="0.25">
      <c r="A34">
        <v>33</v>
      </c>
      <c r="B34" t="s">
        <v>223</v>
      </c>
      <c r="C34" t="s">
        <v>72</v>
      </c>
      <c r="D34" t="s">
        <v>72</v>
      </c>
    </row>
    <row r="35" spans="1:4" x14ac:dyDescent="0.25">
      <c r="A35">
        <v>34</v>
      </c>
      <c r="B35" t="s">
        <v>224</v>
      </c>
      <c r="C35" t="s">
        <v>72</v>
      </c>
      <c r="D35" t="s">
        <v>72</v>
      </c>
    </row>
    <row r="36" spans="1:4" x14ac:dyDescent="0.25">
      <c r="A36">
        <v>35</v>
      </c>
      <c r="B36" t="s">
        <v>225</v>
      </c>
      <c r="C36" t="s">
        <v>72</v>
      </c>
      <c r="D36" t="s">
        <v>72</v>
      </c>
    </row>
    <row r="37" spans="1:4" x14ac:dyDescent="0.25">
      <c r="A37">
        <v>36</v>
      </c>
      <c r="B37" t="s">
        <v>226</v>
      </c>
      <c r="C37" t="s">
        <v>72</v>
      </c>
      <c r="D37" t="s">
        <v>72</v>
      </c>
    </row>
    <row r="38" spans="1:4" x14ac:dyDescent="0.25">
      <c r="A38">
        <v>37</v>
      </c>
      <c r="B38" t="s">
        <v>227</v>
      </c>
      <c r="C38" t="s">
        <v>72</v>
      </c>
      <c r="D38" t="s">
        <v>72</v>
      </c>
    </row>
    <row r="39" spans="1:4" x14ac:dyDescent="0.25">
      <c r="A39">
        <v>38</v>
      </c>
      <c r="B39" t="s">
        <v>228</v>
      </c>
      <c r="C39" t="s">
        <v>72</v>
      </c>
      <c r="D39" t="s">
        <v>72</v>
      </c>
    </row>
    <row r="40" spans="1:4" x14ac:dyDescent="0.25">
      <c r="A40">
        <v>39</v>
      </c>
      <c r="B40" t="s">
        <v>229</v>
      </c>
      <c r="C40" t="s">
        <v>72</v>
      </c>
      <c r="D40" t="s">
        <v>72</v>
      </c>
    </row>
    <row r="41" spans="1:4" x14ac:dyDescent="0.25">
      <c r="A41">
        <v>40</v>
      </c>
      <c r="B41" t="s">
        <v>230</v>
      </c>
      <c r="C41" t="s">
        <v>72</v>
      </c>
      <c r="D41" t="s">
        <v>72</v>
      </c>
    </row>
    <row r="42" spans="1:4" x14ac:dyDescent="0.25">
      <c r="A42">
        <v>41</v>
      </c>
      <c r="B42" t="s">
        <v>231</v>
      </c>
      <c r="C42" t="s">
        <v>72</v>
      </c>
      <c r="D42" t="s">
        <v>72</v>
      </c>
    </row>
    <row r="43" spans="1:4" x14ac:dyDescent="0.25">
      <c r="A43">
        <v>42</v>
      </c>
      <c r="B43" t="s">
        <v>232</v>
      </c>
      <c r="C43" t="s">
        <v>72</v>
      </c>
      <c r="D43" t="s">
        <v>72</v>
      </c>
    </row>
    <row r="44" spans="1:4" x14ac:dyDescent="0.25">
      <c r="A44">
        <v>43</v>
      </c>
      <c r="B44" t="s">
        <v>233</v>
      </c>
      <c r="C44" t="s">
        <v>72</v>
      </c>
      <c r="D44" t="s">
        <v>72</v>
      </c>
    </row>
    <row r="45" spans="1:4" x14ac:dyDescent="0.25">
      <c r="A45">
        <v>44</v>
      </c>
      <c r="B45" t="s">
        <v>234</v>
      </c>
      <c r="C45" t="s">
        <v>72</v>
      </c>
      <c r="D45" t="s">
        <v>72</v>
      </c>
    </row>
    <row r="46" spans="1:4" x14ac:dyDescent="0.25">
      <c r="A46">
        <v>45</v>
      </c>
      <c r="B46" t="s">
        <v>235</v>
      </c>
      <c r="C46" t="s">
        <v>72</v>
      </c>
      <c r="D46" t="s">
        <v>72</v>
      </c>
    </row>
    <row r="47" spans="1:4" x14ac:dyDescent="0.25">
      <c r="A47">
        <v>46</v>
      </c>
      <c r="B47" t="s">
        <v>236</v>
      </c>
      <c r="C47" t="s">
        <v>72</v>
      </c>
      <c r="D47" t="s">
        <v>72</v>
      </c>
    </row>
    <row r="48" spans="1:4" x14ac:dyDescent="0.25">
      <c r="A48">
        <v>47</v>
      </c>
      <c r="B48" t="s">
        <v>237</v>
      </c>
      <c r="C48" t="s">
        <v>72</v>
      </c>
      <c r="D48" t="s">
        <v>72</v>
      </c>
    </row>
    <row r="49" spans="1:4" x14ac:dyDescent="0.25">
      <c r="A49">
        <v>48</v>
      </c>
      <c r="B49" t="s">
        <v>238</v>
      </c>
      <c r="C49" t="s">
        <v>72</v>
      </c>
      <c r="D49" t="s">
        <v>72</v>
      </c>
    </row>
    <row r="50" spans="1:4" x14ac:dyDescent="0.25">
      <c r="A50">
        <v>49</v>
      </c>
      <c r="B50" t="s">
        <v>239</v>
      </c>
      <c r="C50" t="s">
        <v>72</v>
      </c>
      <c r="D50" t="s">
        <v>72</v>
      </c>
    </row>
    <row r="51" spans="1:4" x14ac:dyDescent="0.25">
      <c r="A51">
        <v>50</v>
      </c>
      <c r="B51" t="s">
        <v>240</v>
      </c>
      <c r="C51" t="s">
        <v>72</v>
      </c>
      <c r="D51" t="s">
        <v>72</v>
      </c>
    </row>
    <row r="52" spans="1:4" x14ac:dyDescent="0.25">
      <c r="A52">
        <v>51</v>
      </c>
      <c r="B52" t="s">
        <v>241</v>
      </c>
      <c r="C52" t="s">
        <v>72</v>
      </c>
      <c r="D52" t="s">
        <v>72</v>
      </c>
    </row>
    <row r="53" spans="1:4" x14ac:dyDescent="0.25">
      <c r="A53">
        <v>52</v>
      </c>
      <c r="B53" t="s">
        <v>242</v>
      </c>
      <c r="C53" t="s">
        <v>72</v>
      </c>
      <c r="D53" t="s">
        <v>72</v>
      </c>
    </row>
    <row r="54" spans="1:4" x14ac:dyDescent="0.25">
      <c r="A54">
        <v>53</v>
      </c>
      <c r="B54" t="s">
        <v>243</v>
      </c>
      <c r="C54" t="s">
        <v>72</v>
      </c>
      <c r="D54" t="s">
        <v>72</v>
      </c>
    </row>
    <row r="55" spans="1:4" x14ac:dyDescent="0.25">
      <c r="A55">
        <v>54</v>
      </c>
      <c r="B55" t="s">
        <v>244</v>
      </c>
      <c r="C55" t="s">
        <v>72</v>
      </c>
      <c r="D55" t="s">
        <v>72</v>
      </c>
    </row>
    <row r="56" spans="1:4" x14ac:dyDescent="0.25">
      <c r="A56">
        <v>55</v>
      </c>
      <c r="B56" t="s">
        <v>245</v>
      </c>
      <c r="C56" t="s">
        <v>72</v>
      </c>
      <c r="D56" t="s">
        <v>72</v>
      </c>
    </row>
    <row r="57" spans="1:4" x14ac:dyDescent="0.25">
      <c r="A57">
        <v>56</v>
      </c>
      <c r="B57" t="s">
        <v>246</v>
      </c>
      <c r="C57" t="s">
        <v>72</v>
      </c>
      <c r="D57" t="s">
        <v>72</v>
      </c>
    </row>
    <row r="58" spans="1:4" x14ac:dyDescent="0.25">
      <c r="A58">
        <v>57</v>
      </c>
      <c r="B58" t="s">
        <v>247</v>
      </c>
      <c r="C58" t="s">
        <v>72</v>
      </c>
      <c r="D58" t="s">
        <v>72</v>
      </c>
    </row>
    <row r="59" spans="1:4" x14ac:dyDescent="0.25">
      <c r="A59">
        <v>58</v>
      </c>
      <c r="B59" t="s">
        <v>248</v>
      </c>
      <c r="C59" t="s">
        <v>72</v>
      </c>
      <c r="D59" t="s">
        <v>72</v>
      </c>
    </row>
    <row r="60" spans="1:4" x14ac:dyDescent="0.25">
      <c r="A60">
        <v>59</v>
      </c>
      <c r="B60" t="s">
        <v>249</v>
      </c>
      <c r="C60" t="s">
        <v>72</v>
      </c>
      <c r="D60" t="s">
        <v>72</v>
      </c>
    </row>
    <row r="61" spans="1:4" x14ac:dyDescent="0.25">
      <c r="A61">
        <v>60</v>
      </c>
      <c r="B61" t="s">
        <v>250</v>
      </c>
      <c r="C61" t="s">
        <v>72</v>
      </c>
      <c r="D61" t="s">
        <v>72</v>
      </c>
    </row>
    <row r="62" spans="1:4" x14ac:dyDescent="0.25">
      <c r="A62">
        <v>61</v>
      </c>
      <c r="B62" t="s">
        <v>251</v>
      </c>
      <c r="C62" t="s">
        <v>72</v>
      </c>
      <c r="D62" t="s">
        <v>72</v>
      </c>
    </row>
    <row r="63" spans="1:4" x14ac:dyDescent="0.25">
      <c r="A63">
        <v>62</v>
      </c>
      <c r="B63" t="s">
        <v>252</v>
      </c>
      <c r="C63" t="s">
        <v>72</v>
      </c>
      <c r="D63" t="s">
        <v>72</v>
      </c>
    </row>
    <row r="64" spans="1:4" x14ac:dyDescent="0.25">
      <c r="A64">
        <v>63</v>
      </c>
      <c r="B64" t="s">
        <v>253</v>
      </c>
      <c r="C64" t="s">
        <v>72</v>
      </c>
      <c r="D64" t="s">
        <v>72</v>
      </c>
    </row>
    <row r="65" spans="1:4" x14ac:dyDescent="0.25">
      <c r="A65">
        <v>64</v>
      </c>
      <c r="B65" t="s">
        <v>0</v>
      </c>
      <c r="C65" t="s">
        <v>71</v>
      </c>
      <c r="D65" t="s">
        <v>71</v>
      </c>
    </row>
    <row r="66" spans="1:4" x14ac:dyDescent="0.25">
      <c r="A66">
        <v>65</v>
      </c>
      <c r="B66" t="s">
        <v>254</v>
      </c>
      <c r="C66" t="s">
        <v>72</v>
      </c>
      <c r="D66" t="s">
        <v>72</v>
      </c>
    </row>
    <row r="67" spans="1:4" x14ac:dyDescent="0.25">
      <c r="A67">
        <v>66</v>
      </c>
      <c r="B67" t="s">
        <v>255</v>
      </c>
      <c r="C67" t="s">
        <v>72</v>
      </c>
      <c r="D67" t="s">
        <v>72</v>
      </c>
    </row>
    <row r="68" spans="1:4" x14ac:dyDescent="0.25">
      <c r="A68">
        <v>67</v>
      </c>
      <c r="B68" t="s">
        <v>256</v>
      </c>
      <c r="C68" t="s">
        <v>72</v>
      </c>
      <c r="D68" t="s">
        <v>72</v>
      </c>
    </row>
    <row r="69" spans="1:4" x14ac:dyDescent="0.25">
      <c r="A69">
        <v>68</v>
      </c>
      <c r="B69" t="s">
        <v>257</v>
      </c>
      <c r="C69" t="s">
        <v>72</v>
      </c>
      <c r="D69" t="s">
        <v>72</v>
      </c>
    </row>
    <row r="70" spans="1:4" x14ac:dyDescent="0.25">
      <c r="A70">
        <v>69</v>
      </c>
      <c r="B70" t="s">
        <v>258</v>
      </c>
      <c r="C70" t="s">
        <v>72</v>
      </c>
      <c r="D70" t="s">
        <v>72</v>
      </c>
    </row>
    <row r="71" spans="1:4" x14ac:dyDescent="0.25">
      <c r="A71">
        <v>70</v>
      </c>
      <c r="B71" t="s">
        <v>259</v>
      </c>
      <c r="C71" t="s">
        <v>72</v>
      </c>
      <c r="D71" t="s">
        <v>72</v>
      </c>
    </row>
    <row r="72" spans="1:4" x14ac:dyDescent="0.25">
      <c r="A72">
        <v>71</v>
      </c>
      <c r="B72" t="s">
        <v>260</v>
      </c>
      <c r="C72" t="s">
        <v>72</v>
      </c>
      <c r="D72" t="s">
        <v>72</v>
      </c>
    </row>
    <row r="73" spans="1:4" x14ac:dyDescent="0.25">
      <c r="A73">
        <v>72</v>
      </c>
      <c r="B73" t="s">
        <v>261</v>
      </c>
      <c r="C73" t="s">
        <v>72</v>
      </c>
      <c r="D73" t="s">
        <v>72</v>
      </c>
    </row>
    <row r="74" spans="1:4" x14ac:dyDescent="0.25">
      <c r="A74">
        <v>73</v>
      </c>
      <c r="B74" t="s">
        <v>262</v>
      </c>
      <c r="C74" t="s">
        <v>72</v>
      </c>
      <c r="D74" t="s">
        <v>72</v>
      </c>
    </row>
    <row r="75" spans="1:4" x14ac:dyDescent="0.25">
      <c r="A75">
        <v>74</v>
      </c>
      <c r="B75" t="s">
        <v>263</v>
      </c>
      <c r="C75" t="s">
        <v>72</v>
      </c>
      <c r="D75" t="s">
        <v>72</v>
      </c>
    </row>
    <row r="76" spans="1:4" x14ac:dyDescent="0.25">
      <c r="A76">
        <v>75</v>
      </c>
      <c r="B76" t="s">
        <v>264</v>
      </c>
      <c r="C76" t="s">
        <v>72</v>
      </c>
      <c r="D76" t="s">
        <v>72</v>
      </c>
    </row>
    <row r="77" spans="1:4" x14ac:dyDescent="0.25">
      <c r="A77">
        <v>76</v>
      </c>
      <c r="B77" t="s">
        <v>265</v>
      </c>
      <c r="C77" t="s">
        <v>72</v>
      </c>
      <c r="D77" t="s">
        <v>72</v>
      </c>
    </row>
    <row r="78" spans="1:4" x14ac:dyDescent="0.25">
      <c r="A78">
        <v>77</v>
      </c>
      <c r="B78" t="s">
        <v>266</v>
      </c>
      <c r="C78" t="s">
        <v>72</v>
      </c>
      <c r="D78" t="s">
        <v>72</v>
      </c>
    </row>
    <row r="79" spans="1:4" x14ac:dyDescent="0.25">
      <c r="A79">
        <v>78</v>
      </c>
      <c r="B79" t="s">
        <v>267</v>
      </c>
      <c r="C79" t="s">
        <v>72</v>
      </c>
      <c r="D79" t="s">
        <v>72</v>
      </c>
    </row>
    <row r="80" spans="1:4" x14ac:dyDescent="0.25">
      <c r="A80">
        <v>79</v>
      </c>
      <c r="B80" t="s">
        <v>268</v>
      </c>
      <c r="C80" t="s">
        <v>72</v>
      </c>
      <c r="D80" t="s">
        <v>72</v>
      </c>
    </row>
    <row r="81" spans="1:4" x14ac:dyDescent="0.25">
      <c r="A81">
        <v>80</v>
      </c>
      <c r="B81" t="s">
        <v>269</v>
      </c>
      <c r="C81" t="s">
        <v>72</v>
      </c>
      <c r="D81" t="s">
        <v>72</v>
      </c>
    </row>
    <row r="82" spans="1:4" x14ac:dyDescent="0.25">
      <c r="A82">
        <v>81</v>
      </c>
      <c r="B82" t="s">
        <v>270</v>
      </c>
      <c r="C82" t="s">
        <v>72</v>
      </c>
      <c r="D82" t="s">
        <v>72</v>
      </c>
    </row>
    <row r="83" spans="1:4" x14ac:dyDescent="0.25">
      <c r="A83">
        <v>82</v>
      </c>
      <c r="B83" t="s">
        <v>271</v>
      </c>
      <c r="C83" t="s">
        <v>72</v>
      </c>
      <c r="D83" t="s">
        <v>72</v>
      </c>
    </row>
    <row r="84" spans="1:4" x14ac:dyDescent="0.25">
      <c r="A84">
        <v>83</v>
      </c>
      <c r="B84" t="s">
        <v>272</v>
      </c>
      <c r="C84" t="s">
        <v>72</v>
      </c>
      <c r="D84" t="s">
        <v>72</v>
      </c>
    </row>
    <row r="85" spans="1:4" x14ac:dyDescent="0.25">
      <c r="A85">
        <v>84</v>
      </c>
      <c r="B85" t="s">
        <v>273</v>
      </c>
      <c r="C85" t="s">
        <v>72</v>
      </c>
      <c r="D85" t="s">
        <v>72</v>
      </c>
    </row>
    <row r="86" spans="1:4" x14ac:dyDescent="0.25">
      <c r="A86">
        <v>85</v>
      </c>
      <c r="B86" t="s">
        <v>274</v>
      </c>
      <c r="C86" t="s">
        <v>72</v>
      </c>
      <c r="D86" t="s">
        <v>72</v>
      </c>
    </row>
    <row r="87" spans="1:4" x14ac:dyDescent="0.25">
      <c r="A87">
        <v>86</v>
      </c>
      <c r="B87" t="s">
        <v>275</v>
      </c>
      <c r="C87" t="s">
        <v>72</v>
      </c>
      <c r="D87" t="s">
        <v>72</v>
      </c>
    </row>
    <row r="88" spans="1:4" x14ac:dyDescent="0.25">
      <c r="A88">
        <v>87</v>
      </c>
      <c r="B88" t="s">
        <v>276</v>
      </c>
      <c r="C88" t="s">
        <v>72</v>
      </c>
      <c r="D88" t="s">
        <v>72</v>
      </c>
    </row>
    <row r="89" spans="1:4" x14ac:dyDescent="0.25">
      <c r="A89">
        <v>88</v>
      </c>
      <c r="B89" t="s">
        <v>277</v>
      </c>
      <c r="C89" t="s">
        <v>72</v>
      </c>
      <c r="D89" t="s">
        <v>72</v>
      </c>
    </row>
    <row r="90" spans="1:4" x14ac:dyDescent="0.25">
      <c r="A90">
        <v>89</v>
      </c>
      <c r="B90" t="s">
        <v>278</v>
      </c>
      <c r="C90" t="s">
        <v>72</v>
      </c>
      <c r="D90" t="s">
        <v>72</v>
      </c>
    </row>
    <row r="91" spans="1:4" x14ac:dyDescent="0.25">
      <c r="A91">
        <v>90</v>
      </c>
      <c r="B91" t="s">
        <v>279</v>
      </c>
      <c r="C91" t="s">
        <v>72</v>
      </c>
      <c r="D91" t="s">
        <v>72</v>
      </c>
    </row>
    <row r="92" spans="1:4" x14ac:dyDescent="0.25">
      <c r="A92">
        <v>91</v>
      </c>
      <c r="B92" t="s">
        <v>280</v>
      </c>
      <c r="C92" t="s">
        <v>72</v>
      </c>
      <c r="D92" t="s">
        <v>72</v>
      </c>
    </row>
    <row r="93" spans="1:4" x14ac:dyDescent="0.25">
      <c r="A93">
        <v>92</v>
      </c>
      <c r="B93" t="s">
        <v>281</v>
      </c>
      <c r="C93" t="s">
        <v>72</v>
      </c>
      <c r="D93" t="s">
        <v>72</v>
      </c>
    </row>
    <row r="94" spans="1:4" x14ac:dyDescent="0.25">
      <c r="A94">
        <v>93</v>
      </c>
      <c r="B94" t="s">
        <v>282</v>
      </c>
      <c r="C94" t="s">
        <v>72</v>
      </c>
      <c r="D94" t="s">
        <v>72</v>
      </c>
    </row>
    <row r="95" spans="1:4" x14ac:dyDescent="0.25">
      <c r="A95">
        <v>94</v>
      </c>
      <c r="B95" t="s">
        <v>283</v>
      </c>
      <c r="C95" t="s">
        <v>72</v>
      </c>
      <c r="D95" t="s">
        <v>72</v>
      </c>
    </row>
    <row r="96" spans="1:4" x14ac:dyDescent="0.25">
      <c r="A96">
        <v>95</v>
      </c>
      <c r="B96" t="s">
        <v>284</v>
      </c>
      <c r="C96" t="s">
        <v>72</v>
      </c>
      <c r="D96" t="s">
        <v>72</v>
      </c>
    </row>
    <row r="97" spans="1:4" x14ac:dyDescent="0.25">
      <c r="A97">
        <v>96</v>
      </c>
      <c r="B97" t="s">
        <v>285</v>
      </c>
      <c r="C97" t="s">
        <v>72</v>
      </c>
      <c r="D97" t="s">
        <v>72</v>
      </c>
    </row>
    <row r="98" spans="1:4" x14ac:dyDescent="0.25">
      <c r="A98">
        <v>97</v>
      </c>
      <c r="B98" t="s">
        <v>286</v>
      </c>
      <c r="C98" t="s">
        <v>72</v>
      </c>
      <c r="D98" t="s">
        <v>72</v>
      </c>
    </row>
    <row r="99" spans="1:4" x14ac:dyDescent="0.25">
      <c r="A99">
        <v>98</v>
      </c>
      <c r="B99" t="s">
        <v>287</v>
      </c>
      <c r="C99" t="s">
        <v>72</v>
      </c>
      <c r="D99" t="s">
        <v>72</v>
      </c>
    </row>
    <row r="100" spans="1:4" x14ac:dyDescent="0.25">
      <c r="A100">
        <v>99</v>
      </c>
      <c r="B100" t="s">
        <v>288</v>
      </c>
      <c r="C100" t="s">
        <v>72</v>
      </c>
      <c r="D100" t="s">
        <v>72</v>
      </c>
    </row>
    <row r="101" spans="1:4" x14ac:dyDescent="0.25">
      <c r="A101">
        <v>100</v>
      </c>
      <c r="B101" t="s">
        <v>289</v>
      </c>
      <c r="C101" t="s">
        <v>72</v>
      </c>
      <c r="D101" t="s">
        <v>72</v>
      </c>
    </row>
    <row r="102" spans="1:4" x14ac:dyDescent="0.25">
      <c r="A102">
        <v>101</v>
      </c>
      <c r="B102" t="s">
        <v>290</v>
      </c>
      <c r="C102" t="s">
        <v>72</v>
      </c>
      <c r="D102" t="s">
        <v>72</v>
      </c>
    </row>
    <row r="103" spans="1:4" x14ac:dyDescent="0.25">
      <c r="A103">
        <v>102</v>
      </c>
      <c r="B103" t="s">
        <v>291</v>
      </c>
      <c r="C103" t="s">
        <v>72</v>
      </c>
      <c r="D103" t="s">
        <v>72</v>
      </c>
    </row>
    <row r="104" spans="1:4" x14ac:dyDescent="0.25">
      <c r="A104">
        <v>103</v>
      </c>
      <c r="B104" t="s">
        <v>292</v>
      </c>
      <c r="C104" t="s">
        <v>72</v>
      </c>
      <c r="D104" t="s">
        <v>72</v>
      </c>
    </row>
    <row r="105" spans="1:4" x14ac:dyDescent="0.25">
      <c r="A105">
        <v>104</v>
      </c>
      <c r="B105" t="s">
        <v>293</v>
      </c>
      <c r="C105" t="s">
        <v>72</v>
      </c>
      <c r="D105" t="s">
        <v>72</v>
      </c>
    </row>
    <row r="106" spans="1:4" x14ac:dyDescent="0.25">
      <c r="A106">
        <v>105</v>
      </c>
      <c r="B106" t="s">
        <v>183</v>
      </c>
      <c r="C106" t="s">
        <v>72</v>
      </c>
      <c r="D106" t="s">
        <v>71</v>
      </c>
    </row>
    <row r="107" spans="1:4" x14ac:dyDescent="0.25">
      <c r="A107">
        <v>106</v>
      </c>
      <c r="B107" t="s">
        <v>294</v>
      </c>
      <c r="C107" t="s">
        <v>72</v>
      </c>
      <c r="D107" t="s">
        <v>72</v>
      </c>
    </row>
    <row r="108" spans="1:4" x14ac:dyDescent="0.25">
      <c r="A108">
        <v>107</v>
      </c>
      <c r="B108" t="s">
        <v>295</v>
      </c>
      <c r="C108" t="s">
        <v>72</v>
      </c>
      <c r="D108" t="s">
        <v>71</v>
      </c>
    </row>
    <row r="109" spans="1:4" x14ac:dyDescent="0.25">
      <c r="A109">
        <v>108</v>
      </c>
      <c r="B109" t="s">
        <v>184</v>
      </c>
      <c r="C109" t="s">
        <v>72</v>
      </c>
      <c r="D109" t="s">
        <v>71</v>
      </c>
    </row>
    <row r="110" spans="1:4" x14ac:dyDescent="0.25">
      <c r="A110">
        <v>109</v>
      </c>
      <c r="B110" t="s">
        <v>296</v>
      </c>
      <c r="C110" t="s">
        <v>72</v>
      </c>
      <c r="D110" t="s">
        <v>72</v>
      </c>
    </row>
    <row r="111" spans="1:4" x14ac:dyDescent="0.25">
      <c r="A111">
        <v>110</v>
      </c>
      <c r="B111" t="s">
        <v>297</v>
      </c>
      <c r="C111" t="s">
        <v>72</v>
      </c>
      <c r="D111" t="s">
        <v>72</v>
      </c>
    </row>
    <row r="112" spans="1:4" x14ac:dyDescent="0.25">
      <c r="A112">
        <v>111</v>
      </c>
      <c r="B112" t="s">
        <v>298</v>
      </c>
      <c r="C112" t="s">
        <v>72</v>
      </c>
      <c r="D112" t="s">
        <v>72</v>
      </c>
    </row>
    <row r="113" spans="1:4" x14ac:dyDescent="0.25">
      <c r="A113">
        <v>112</v>
      </c>
      <c r="B113" t="s">
        <v>299</v>
      </c>
      <c r="C113" t="s">
        <v>72</v>
      </c>
      <c r="D113" t="s">
        <v>72</v>
      </c>
    </row>
    <row r="114" spans="1:4" x14ac:dyDescent="0.25">
      <c r="A114">
        <v>113</v>
      </c>
      <c r="B114" t="s">
        <v>300</v>
      </c>
      <c r="C114" t="s">
        <v>72</v>
      </c>
      <c r="D114" t="s">
        <v>72</v>
      </c>
    </row>
    <row r="115" spans="1:4" x14ac:dyDescent="0.25">
      <c r="A115">
        <v>114</v>
      </c>
      <c r="B115" t="s">
        <v>301</v>
      </c>
      <c r="C115" t="s">
        <v>72</v>
      </c>
      <c r="D115" t="s">
        <v>72</v>
      </c>
    </row>
    <row r="116" spans="1:4" x14ac:dyDescent="0.25">
      <c r="A116">
        <v>115</v>
      </c>
      <c r="B116" t="s">
        <v>302</v>
      </c>
      <c r="C116" t="s">
        <v>72</v>
      </c>
      <c r="D116" t="s">
        <v>72</v>
      </c>
    </row>
    <row r="117" spans="1:4" x14ac:dyDescent="0.25">
      <c r="A117">
        <v>116</v>
      </c>
      <c r="B117" t="s">
        <v>303</v>
      </c>
      <c r="C117" t="s">
        <v>72</v>
      </c>
      <c r="D117" t="s">
        <v>72</v>
      </c>
    </row>
    <row r="118" spans="1:4" x14ac:dyDescent="0.25">
      <c r="A118">
        <v>117</v>
      </c>
      <c r="B118" t="s">
        <v>304</v>
      </c>
      <c r="C118" t="s">
        <v>72</v>
      </c>
      <c r="D118" t="s">
        <v>72</v>
      </c>
    </row>
    <row r="119" spans="1:4" x14ac:dyDescent="0.25">
      <c r="A119">
        <v>118</v>
      </c>
      <c r="B119" t="s">
        <v>305</v>
      </c>
      <c r="C119" t="s">
        <v>72</v>
      </c>
      <c r="D119" t="s">
        <v>72</v>
      </c>
    </row>
    <row r="120" spans="1:4" x14ac:dyDescent="0.25">
      <c r="A120">
        <v>119</v>
      </c>
      <c r="B120" t="s">
        <v>306</v>
      </c>
      <c r="C120" t="s">
        <v>72</v>
      </c>
      <c r="D120" t="s">
        <v>72</v>
      </c>
    </row>
    <row r="121" spans="1:4" x14ac:dyDescent="0.25">
      <c r="A121">
        <v>120</v>
      </c>
      <c r="B121" t="s">
        <v>307</v>
      </c>
      <c r="C121" t="s">
        <v>72</v>
      </c>
      <c r="D121" t="s">
        <v>72</v>
      </c>
    </row>
    <row r="122" spans="1:4" x14ac:dyDescent="0.25">
      <c r="A122">
        <v>121</v>
      </c>
      <c r="B122" t="s">
        <v>308</v>
      </c>
      <c r="C122" t="s">
        <v>72</v>
      </c>
      <c r="D122" t="s">
        <v>72</v>
      </c>
    </row>
    <row r="123" spans="1:4" x14ac:dyDescent="0.25">
      <c r="A123">
        <v>122</v>
      </c>
      <c r="B123" t="s">
        <v>309</v>
      </c>
      <c r="C123" t="s">
        <v>72</v>
      </c>
      <c r="D123" t="s">
        <v>72</v>
      </c>
    </row>
    <row r="124" spans="1:4" x14ac:dyDescent="0.25">
      <c r="A124">
        <v>123</v>
      </c>
      <c r="B124" t="s">
        <v>310</v>
      </c>
      <c r="C124" t="s">
        <v>72</v>
      </c>
      <c r="D124" t="s">
        <v>72</v>
      </c>
    </row>
    <row r="125" spans="1:4" x14ac:dyDescent="0.25">
      <c r="A125">
        <v>124</v>
      </c>
      <c r="B125" t="s">
        <v>311</v>
      </c>
      <c r="C125" t="s">
        <v>72</v>
      </c>
      <c r="D125" t="s">
        <v>72</v>
      </c>
    </row>
    <row r="126" spans="1:4" x14ac:dyDescent="0.25">
      <c r="A126">
        <v>125</v>
      </c>
      <c r="B126" t="s">
        <v>312</v>
      </c>
      <c r="C126" t="s">
        <v>72</v>
      </c>
      <c r="D126" t="s">
        <v>72</v>
      </c>
    </row>
    <row r="127" spans="1:4" x14ac:dyDescent="0.25">
      <c r="A127">
        <v>126</v>
      </c>
      <c r="B127" t="s">
        <v>313</v>
      </c>
      <c r="C127" t="s">
        <v>72</v>
      </c>
      <c r="D127" t="s">
        <v>72</v>
      </c>
    </row>
    <row r="128" spans="1:4" x14ac:dyDescent="0.25">
      <c r="A128">
        <v>127</v>
      </c>
      <c r="B128" t="s">
        <v>314</v>
      </c>
      <c r="C128" t="s">
        <v>72</v>
      </c>
      <c r="D128" t="s">
        <v>72</v>
      </c>
    </row>
    <row r="129" spans="1:4" x14ac:dyDescent="0.25">
      <c r="A129">
        <v>128</v>
      </c>
      <c r="B129" t="s">
        <v>315</v>
      </c>
      <c r="C129" t="s">
        <v>72</v>
      </c>
      <c r="D129" t="s">
        <v>72</v>
      </c>
    </row>
    <row r="130" spans="1:4" x14ac:dyDescent="0.25">
      <c r="A130">
        <v>129</v>
      </c>
      <c r="B130" t="s">
        <v>185</v>
      </c>
      <c r="C130" t="s">
        <v>72</v>
      </c>
      <c r="D130" t="s">
        <v>71</v>
      </c>
    </row>
    <row r="131" spans="1:4" x14ac:dyDescent="0.25">
      <c r="A131">
        <v>130</v>
      </c>
      <c r="B131" t="s">
        <v>316</v>
      </c>
      <c r="C131" t="s">
        <v>72</v>
      </c>
      <c r="D131" t="s">
        <v>72</v>
      </c>
    </row>
    <row r="132" spans="1:4" x14ac:dyDescent="0.25">
      <c r="A132">
        <v>131</v>
      </c>
      <c r="B132" t="s">
        <v>317</v>
      </c>
      <c r="C132" t="s">
        <v>72</v>
      </c>
      <c r="D132" t="s">
        <v>72</v>
      </c>
    </row>
    <row r="133" spans="1:4" x14ac:dyDescent="0.25">
      <c r="A133">
        <v>132</v>
      </c>
      <c r="B133" t="s">
        <v>318</v>
      </c>
      <c r="C133" t="s">
        <v>72</v>
      </c>
      <c r="D133" t="s">
        <v>72</v>
      </c>
    </row>
    <row r="134" spans="1:4" x14ac:dyDescent="0.25">
      <c r="A134">
        <v>133</v>
      </c>
      <c r="B134" t="s">
        <v>319</v>
      </c>
      <c r="C134" t="s">
        <v>72</v>
      </c>
      <c r="D134" t="s">
        <v>72</v>
      </c>
    </row>
    <row r="135" spans="1:4" x14ac:dyDescent="0.25">
      <c r="A135">
        <v>134</v>
      </c>
      <c r="B135" t="s">
        <v>320</v>
      </c>
      <c r="C135" t="s">
        <v>72</v>
      </c>
      <c r="D13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1.7109375" bestFit="1" customWidth="1"/>
    <col min="3" max="3" width="36.5703125" bestFit="1" customWidth="1"/>
    <col min="4" max="4" width="12.28515625" bestFit="1" customWidth="1"/>
    <col min="5" max="5" width="13.42578125" bestFit="1" customWidth="1"/>
    <col min="6" max="6" width="10.7109375" bestFit="1" customWidth="1"/>
    <col min="7" max="7" width="19.42578125" bestFit="1" customWidth="1"/>
  </cols>
  <sheetData>
    <row r="1" spans="1:7" x14ac:dyDescent="0.25">
      <c r="A1" t="s">
        <v>164</v>
      </c>
      <c r="B1" t="s">
        <v>84</v>
      </c>
      <c r="C1" t="s">
        <v>85</v>
      </c>
      <c r="D1" t="s">
        <v>79</v>
      </c>
      <c r="E1" t="s">
        <v>80</v>
      </c>
      <c r="F1" t="s">
        <v>82</v>
      </c>
      <c r="G1" t="s">
        <v>81</v>
      </c>
    </row>
    <row r="2" spans="1:7" x14ac:dyDescent="0.25">
      <c r="A2">
        <v>1</v>
      </c>
      <c r="B2" s="1" t="s">
        <v>0</v>
      </c>
      <c r="C2" s="1" t="s">
        <v>1</v>
      </c>
      <c r="D2" s="1" t="s">
        <v>72</v>
      </c>
      <c r="E2" s="1" t="s">
        <v>72</v>
      </c>
    </row>
    <row r="3" spans="1:7" x14ac:dyDescent="0.25">
      <c r="A3">
        <v>2</v>
      </c>
      <c r="B3" s="1" t="s">
        <v>0</v>
      </c>
      <c r="C3" s="1" t="s">
        <v>2</v>
      </c>
      <c r="D3" s="1" t="s">
        <v>72</v>
      </c>
      <c r="E3" s="1" t="s">
        <v>72</v>
      </c>
    </row>
    <row r="4" spans="1:7" x14ac:dyDescent="0.25">
      <c r="A4">
        <v>3</v>
      </c>
      <c r="B4" s="1" t="s">
        <v>0</v>
      </c>
      <c r="C4" s="1" t="s">
        <v>3</v>
      </c>
      <c r="D4" s="1" t="s">
        <v>72</v>
      </c>
      <c r="E4" s="1" t="s">
        <v>72</v>
      </c>
    </row>
    <row r="5" spans="1:7" x14ac:dyDescent="0.25">
      <c r="A5">
        <v>4</v>
      </c>
      <c r="B5" s="1" t="s">
        <v>0</v>
      </c>
      <c r="C5" s="1" t="s">
        <v>4</v>
      </c>
      <c r="D5" s="1" t="s">
        <v>72</v>
      </c>
      <c r="E5" s="1" t="s">
        <v>72</v>
      </c>
      <c r="G5" s="1" t="s">
        <v>88</v>
      </c>
    </row>
    <row r="6" spans="1:7" x14ac:dyDescent="0.25">
      <c r="A6">
        <v>5</v>
      </c>
      <c r="B6" s="1" t="s">
        <v>0</v>
      </c>
      <c r="C6" s="1" t="s">
        <v>11</v>
      </c>
      <c r="D6" s="1" t="s">
        <v>72</v>
      </c>
      <c r="E6" s="1" t="s">
        <v>72</v>
      </c>
    </row>
    <row r="7" spans="1:7" x14ac:dyDescent="0.25">
      <c r="A7">
        <v>6</v>
      </c>
      <c r="B7" s="1" t="s">
        <v>0</v>
      </c>
      <c r="C7" s="1" t="s">
        <v>5</v>
      </c>
      <c r="D7" s="1" t="s">
        <v>72</v>
      </c>
      <c r="E7" s="1" t="s">
        <v>72</v>
      </c>
    </row>
    <row r="8" spans="1:7" x14ac:dyDescent="0.25">
      <c r="A8">
        <v>7</v>
      </c>
      <c r="B8" s="1" t="s">
        <v>0</v>
      </c>
      <c r="C8" s="1" t="s">
        <v>15</v>
      </c>
      <c r="D8" s="1" t="s">
        <v>71</v>
      </c>
      <c r="E8" s="1" t="s">
        <v>72</v>
      </c>
    </row>
    <row r="9" spans="1:7" x14ac:dyDescent="0.25">
      <c r="A9">
        <v>8</v>
      </c>
      <c r="B9" s="1" t="s">
        <v>0</v>
      </c>
      <c r="C9" s="1" t="s">
        <v>21</v>
      </c>
      <c r="D9" s="1" t="s">
        <v>72</v>
      </c>
      <c r="E9" s="1" t="s">
        <v>72</v>
      </c>
    </row>
    <row r="10" spans="1:7" x14ac:dyDescent="0.25">
      <c r="A10">
        <v>9</v>
      </c>
      <c r="B10" s="1" t="s">
        <v>0</v>
      </c>
      <c r="C10" s="1" t="s">
        <v>6</v>
      </c>
      <c r="D10" s="1" t="s">
        <v>72</v>
      </c>
      <c r="E10" s="1" t="s">
        <v>72</v>
      </c>
    </row>
    <row r="11" spans="1:7" x14ac:dyDescent="0.25">
      <c r="A11">
        <v>10</v>
      </c>
      <c r="B11" s="1" t="s">
        <v>0</v>
      </c>
      <c r="C11" s="1" t="s">
        <v>25</v>
      </c>
      <c r="D11" s="1" t="s">
        <v>72</v>
      </c>
      <c r="E11" s="1" t="s">
        <v>72</v>
      </c>
    </row>
    <row r="12" spans="1:7" x14ac:dyDescent="0.25">
      <c r="A12">
        <v>11</v>
      </c>
      <c r="B12" s="1" t="s">
        <v>0</v>
      </c>
      <c r="C12" s="1" t="s">
        <v>29</v>
      </c>
      <c r="D12" s="1" t="s">
        <v>72</v>
      </c>
      <c r="E12" s="1" t="s">
        <v>72</v>
      </c>
    </row>
    <row r="13" spans="1:7" x14ac:dyDescent="0.25">
      <c r="A13">
        <v>12</v>
      </c>
      <c r="B13" s="1" t="s">
        <v>0</v>
      </c>
      <c r="C13" s="1" t="s">
        <v>34</v>
      </c>
      <c r="D13" s="1" t="s">
        <v>72</v>
      </c>
      <c r="E13" s="1" t="s">
        <v>72</v>
      </c>
    </row>
    <row r="14" spans="1:7" x14ac:dyDescent="0.25">
      <c r="A14">
        <v>13</v>
      </c>
      <c r="B14" s="1" t="s">
        <v>0</v>
      </c>
      <c r="C14" s="1" t="s">
        <v>41</v>
      </c>
      <c r="D14" s="1" t="s">
        <v>72</v>
      </c>
      <c r="E14" s="1" t="s">
        <v>72</v>
      </c>
    </row>
    <row r="15" spans="1:7" x14ac:dyDescent="0.25">
      <c r="A15">
        <v>14</v>
      </c>
      <c r="B15" s="1" t="s">
        <v>0</v>
      </c>
      <c r="C15" s="1" t="s">
        <v>44</v>
      </c>
      <c r="D15" s="1" t="s">
        <v>72</v>
      </c>
      <c r="E15" s="1" t="s">
        <v>72</v>
      </c>
    </row>
    <row r="16" spans="1:7" x14ac:dyDescent="0.25">
      <c r="A16">
        <v>15</v>
      </c>
      <c r="B16" s="1" t="s">
        <v>0</v>
      </c>
      <c r="C16" s="1" t="s">
        <v>7</v>
      </c>
      <c r="D16" s="1" t="s">
        <v>72</v>
      </c>
      <c r="E16" s="1" t="s">
        <v>72</v>
      </c>
    </row>
    <row r="17" spans="1:5" x14ac:dyDescent="0.25">
      <c r="A17">
        <v>16</v>
      </c>
      <c r="B17" s="1" t="s">
        <v>0</v>
      </c>
      <c r="C17" s="1" t="s">
        <v>8</v>
      </c>
      <c r="D17" s="1" t="s">
        <v>72</v>
      </c>
      <c r="E17" s="1" t="s">
        <v>72</v>
      </c>
    </row>
    <row r="18" spans="1:5" x14ac:dyDescent="0.25">
      <c r="A18">
        <v>17</v>
      </c>
      <c r="B18" s="1" t="s">
        <v>0</v>
      </c>
      <c r="C18" s="1" t="s">
        <v>9</v>
      </c>
      <c r="D18" s="1" t="s">
        <v>72</v>
      </c>
      <c r="E18" s="1" t="s">
        <v>72</v>
      </c>
    </row>
    <row r="19" spans="1:5" x14ac:dyDescent="0.25">
      <c r="A19">
        <v>18</v>
      </c>
      <c r="B19" s="1" t="s">
        <v>0</v>
      </c>
      <c r="C19" s="1" t="s">
        <v>48</v>
      </c>
      <c r="D19" s="1" t="s">
        <v>71</v>
      </c>
      <c r="E19" s="1" t="s">
        <v>72</v>
      </c>
    </row>
    <row r="20" spans="1:5" x14ac:dyDescent="0.25">
      <c r="A20">
        <v>19</v>
      </c>
      <c r="B20" s="1" t="s">
        <v>0</v>
      </c>
      <c r="C20" s="1" t="s">
        <v>10</v>
      </c>
      <c r="D20" s="1" t="s">
        <v>72</v>
      </c>
      <c r="E20" s="1" t="s">
        <v>72</v>
      </c>
    </row>
    <row r="21" spans="1:5" x14ac:dyDescent="0.25">
      <c r="A21">
        <v>20</v>
      </c>
      <c r="B21" s="1" t="s">
        <v>0</v>
      </c>
      <c r="C21" s="1" t="s">
        <v>12</v>
      </c>
      <c r="D21" s="1" t="s">
        <v>72</v>
      </c>
      <c r="E21" s="1" t="s">
        <v>71</v>
      </c>
    </row>
    <row r="22" spans="1:5" x14ac:dyDescent="0.25">
      <c r="A22">
        <v>21</v>
      </c>
      <c r="B22" s="1" t="s">
        <v>0</v>
      </c>
      <c r="C22" s="1" t="s">
        <v>56</v>
      </c>
      <c r="D22" s="1" t="s">
        <v>72</v>
      </c>
      <c r="E22" s="1" t="s">
        <v>71</v>
      </c>
    </row>
    <row r="23" spans="1:5" x14ac:dyDescent="0.25">
      <c r="A23">
        <v>22</v>
      </c>
      <c r="B23" s="1" t="s">
        <v>0</v>
      </c>
      <c r="C23" s="1" t="s">
        <v>58</v>
      </c>
      <c r="D23" s="1" t="s">
        <v>72</v>
      </c>
      <c r="E23" s="1" t="s">
        <v>71</v>
      </c>
    </row>
    <row r="24" spans="1:5" x14ac:dyDescent="0.25">
      <c r="A24">
        <v>23</v>
      </c>
      <c r="B24" s="1" t="s">
        <v>0</v>
      </c>
      <c r="C24" s="1" t="s">
        <v>16</v>
      </c>
      <c r="D24" s="1" t="s">
        <v>72</v>
      </c>
      <c r="E24" s="1" t="s">
        <v>71</v>
      </c>
    </row>
    <row r="25" spans="1:5" x14ac:dyDescent="0.25">
      <c r="A25">
        <v>24</v>
      </c>
      <c r="B25" s="1" t="s">
        <v>0</v>
      </c>
      <c r="C25" s="1" t="s">
        <v>60</v>
      </c>
      <c r="D25" s="1" t="s">
        <v>72</v>
      </c>
      <c r="E25" s="1" t="s">
        <v>71</v>
      </c>
    </row>
    <row r="26" spans="1:5" x14ac:dyDescent="0.25">
      <c r="A26">
        <v>25</v>
      </c>
      <c r="B26" s="1" t="s">
        <v>0</v>
      </c>
      <c r="C26" s="1" t="s">
        <v>22</v>
      </c>
      <c r="D26" s="1" t="s">
        <v>72</v>
      </c>
      <c r="E26" s="1" t="s">
        <v>71</v>
      </c>
    </row>
    <row r="27" spans="1:5" x14ac:dyDescent="0.25">
      <c r="A27">
        <v>26</v>
      </c>
      <c r="B27" s="1" t="s">
        <v>0</v>
      </c>
      <c r="C27" s="1" t="s">
        <v>49</v>
      </c>
      <c r="D27" s="1" t="s">
        <v>72</v>
      </c>
      <c r="E27" s="1" t="s">
        <v>71</v>
      </c>
    </row>
    <row r="28" spans="1:5" x14ac:dyDescent="0.25">
      <c r="A28">
        <v>27</v>
      </c>
      <c r="B28" s="1" t="s">
        <v>0</v>
      </c>
      <c r="C28" s="1" t="s">
        <v>26</v>
      </c>
      <c r="D28" s="1" t="s">
        <v>72</v>
      </c>
      <c r="E28" s="1" t="s">
        <v>71</v>
      </c>
    </row>
    <row r="29" spans="1:5" x14ac:dyDescent="0.25">
      <c r="A29">
        <v>28</v>
      </c>
      <c r="B29" s="1" t="s">
        <v>0</v>
      </c>
      <c r="C29" s="1" t="s">
        <v>30</v>
      </c>
      <c r="D29" s="1" t="s">
        <v>72</v>
      </c>
      <c r="E29" s="1" t="s">
        <v>71</v>
      </c>
    </row>
    <row r="30" spans="1:5" x14ac:dyDescent="0.25">
      <c r="A30">
        <v>29</v>
      </c>
      <c r="B30" s="1" t="s">
        <v>0</v>
      </c>
      <c r="C30" s="1" t="s">
        <v>61</v>
      </c>
      <c r="D30" s="1" t="s">
        <v>72</v>
      </c>
      <c r="E30" s="1" t="s">
        <v>71</v>
      </c>
    </row>
    <row r="31" spans="1:5" x14ac:dyDescent="0.25">
      <c r="A31">
        <v>30</v>
      </c>
      <c r="B31" s="1" t="s">
        <v>0</v>
      </c>
      <c r="C31" s="1" t="s">
        <v>35</v>
      </c>
      <c r="D31" s="1" t="s">
        <v>71</v>
      </c>
      <c r="E31" s="1" t="s">
        <v>71</v>
      </c>
    </row>
    <row r="32" spans="1:5" x14ac:dyDescent="0.25">
      <c r="A32">
        <v>31</v>
      </c>
      <c r="B32" s="1" t="s">
        <v>0</v>
      </c>
      <c r="C32" s="1" t="s">
        <v>62</v>
      </c>
      <c r="D32" s="1" t="s">
        <v>72</v>
      </c>
      <c r="E32" s="1" t="s">
        <v>71</v>
      </c>
    </row>
    <row r="33" spans="1:7" x14ac:dyDescent="0.25">
      <c r="A33">
        <v>32</v>
      </c>
      <c r="B33" s="1" t="s">
        <v>0</v>
      </c>
      <c r="C33" s="1" t="s">
        <v>42</v>
      </c>
      <c r="D33" s="1" t="s">
        <v>72</v>
      </c>
      <c r="E33" s="1" t="s">
        <v>71</v>
      </c>
    </row>
    <row r="34" spans="1:7" x14ac:dyDescent="0.25">
      <c r="A34">
        <v>33</v>
      </c>
      <c r="B34" s="1" t="s">
        <v>0</v>
      </c>
      <c r="C34" s="1" t="s">
        <v>45</v>
      </c>
      <c r="D34" s="1" t="s">
        <v>72</v>
      </c>
      <c r="E34" s="1" t="s">
        <v>71</v>
      </c>
    </row>
    <row r="35" spans="1:7" x14ac:dyDescent="0.25">
      <c r="A35">
        <v>34</v>
      </c>
      <c r="B35" s="1" t="s">
        <v>0</v>
      </c>
      <c r="C35" s="1" t="s">
        <v>63</v>
      </c>
      <c r="D35" s="1" t="s">
        <v>72</v>
      </c>
      <c r="E35" s="1" t="s">
        <v>71</v>
      </c>
    </row>
    <row r="36" spans="1:7" x14ac:dyDescent="0.25">
      <c r="A36">
        <v>35</v>
      </c>
      <c r="B36" s="1" t="s">
        <v>0</v>
      </c>
      <c r="C36" s="1" t="s">
        <v>65</v>
      </c>
      <c r="D36" s="1" t="s">
        <v>72</v>
      </c>
      <c r="E36" s="1" t="s">
        <v>71</v>
      </c>
      <c r="G36" s="1" t="s">
        <v>186</v>
      </c>
    </row>
    <row r="37" spans="1:7" x14ac:dyDescent="0.25">
      <c r="A37">
        <v>36</v>
      </c>
      <c r="B37" s="1" t="s">
        <v>0</v>
      </c>
      <c r="C37" s="1" t="s">
        <v>55</v>
      </c>
      <c r="D37" s="1" t="s">
        <v>71</v>
      </c>
      <c r="E37" s="1" t="s">
        <v>71</v>
      </c>
    </row>
    <row r="38" spans="1:7" x14ac:dyDescent="0.25">
      <c r="A38">
        <v>37</v>
      </c>
      <c r="B38" s="1" t="s">
        <v>0</v>
      </c>
      <c r="C38" s="1" t="s">
        <v>66</v>
      </c>
      <c r="D38" s="1" t="s">
        <v>72</v>
      </c>
      <c r="E38" s="1" t="s">
        <v>71</v>
      </c>
    </row>
    <row r="39" spans="1:7" x14ac:dyDescent="0.25">
      <c r="A39">
        <v>38</v>
      </c>
      <c r="B39" s="1" t="s">
        <v>0</v>
      </c>
      <c r="C39" s="1" t="s">
        <v>19</v>
      </c>
      <c r="D39" s="1" t="s">
        <v>72</v>
      </c>
      <c r="E39" s="1" t="s">
        <v>71</v>
      </c>
    </row>
    <row r="40" spans="1:7" x14ac:dyDescent="0.25">
      <c r="A40">
        <v>39</v>
      </c>
      <c r="B40" s="1" t="s">
        <v>0</v>
      </c>
      <c r="C40" s="1" t="s">
        <v>38</v>
      </c>
      <c r="D40" s="1" t="s">
        <v>72</v>
      </c>
      <c r="E40" s="1" t="s">
        <v>71</v>
      </c>
    </row>
    <row r="41" spans="1:7" x14ac:dyDescent="0.25">
      <c r="A41">
        <v>40</v>
      </c>
      <c r="B41" s="1" t="s">
        <v>0</v>
      </c>
      <c r="C41" s="1" t="s">
        <v>53</v>
      </c>
      <c r="D41" s="1" t="s">
        <v>72</v>
      </c>
      <c r="E41" s="1" t="s">
        <v>71</v>
      </c>
    </row>
    <row r="42" spans="1:7" x14ac:dyDescent="0.25">
      <c r="A42">
        <v>41</v>
      </c>
      <c r="B42" s="1" t="s">
        <v>0</v>
      </c>
      <c r="C42" s="1" t="s">
        <v>32</v>
      </c>
      <c r="D42" s="1" t="s">
        <v>72</v>
      </c>
      <c r="E42" s="1" t="s">
        <v>71</v>
      </c>
    </row>
    <row r="43" spans="1:7" x14ac:dyDescent="0.25">
      <c r="A43">
        <v>42</v>
      </c>
      <c r="B43" s="1" t="s">
        <v>0</v>
      </c>
      <c r="C43" s="1" t="s">
        <v>20</v>
      </c>
      <c r="D43" s="1" t="s">
        <v>72</v>
      </c>
      <c r="E43" s="1" t="s">
        <v>71</v>
      </c>
    </row>
    <row r="44" spans="1:7" x14ac:dyDescent="0.25">
      <c r="A44">
        <v>43</v>
      </c>
      <c r="B44" s="1" t="s">
        <v>0</v>
      </c>
      <c r="C44" s="1" t="s">
        <v>54</v>
      </c>
      <c r="D44" s="1" t="s">
        <v>72</v>
      </c>
      <c r="E44" s="1" t="s">
        <v>71</v>
      </c>
    </row>
    <row r="45" spans="1:7" x14ac:dyDescent="0.25">
      <c r="A45">
        <v>44</v>
      </c>
      <c r="B45" s="1" t="s">
        <v>0</v>
      </c>
      <c r="C45" s="1" t="s">
        <v>39</v>
      </c>
      <c r="D45" s="1" t="s">
        <v>72</v>
      </c>
      <c r="E45" s="1" t="s">
        <v>71</v>
      </c>
    </row>
    <row r="46" spans="1:7" x14ac:dyDescent="0.25">
      <c r="A46">
        <v>45</v>
      </c>
      <c r="B46" s="1" t="s">
        <v>0</v>
      </c>
      <c r="C46" s="1" t="s">
        <v>33</v>
      </c>
      <c r="D46" s="1" t="s">
        <v>72</v>
      </c>
      <c r="E46" s="1" t="s">
        <v>71</v>
      </c>
    </row>
    <row r="47" spans="1:7" x14ac:dyDescent="0.25">
      <c r="A47">
        <v>46</v>
      </c>
      <c r="B47" s="1" t="s">
        <v>0</v>
      </c>
      <c r="C47" s="1" t="s">
        <v>40</v>
      </c>
      <c r="D47" s="1" t="s">
        <v>72</v>
      </c>
      <c r="E47" s="1" t="s">
        <v>71</v>
      </c>
    </row>
    <row r="48" spans="1:7" x14ac:dyDescent="0.25">
      <c r="A48">
        <v>47</v>
      </c>
      <c r="B48" s="1" t="s">
        <v>0</v>
      </c>
      <c r="C48" s="1" t="s">
        <v>52</v>
      </c>
      <c r="D48" s="1" t="s">
        <v>72</v>
      </c>
      <c r="E48" s="1" t="s">
        <v>71</v>
      </c>
    </row>
    <row r="49" spans="1:5" x14ac:dyDescent="0.25">
      <c r="A49">
        <v>48</v>
      </c>
      <c r="B49" s="1" t="s">
        <v>0</v>
      </c>
      <c r="C49" s="1" t="s">
        <v>52</v>
      </c>
      <c r="D49" s="1" t="s">
        <v>72</v>
      </c>
      <c r="E49" s="1" t="s">
        <v>71</v>
      </c>
    </row>
  </sheetData>
  <sortState ref="B2:E49">
    <sortCondition ref="B2:B49"/>
    <sortCondition ref="E2:E49"/>
    <sortCondition ref="C2:C49"/>
  </sortState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20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36.5703125" bestFit="1" customWidth="1"/>
    <col min="4" max="4" width="29.42578125" bestFit="1" customWidth="1"/>
    <col min="5" max="5" width="35.140625" bestFit="1" customWidth="1"/>
    <col min="6" max="6" width="21.7109375" bestFit="1" customWidth="1"/>
    <col min="7" max="7" width="23.5703125" style="5" bestFit="1" customWidth="1"/>
    <col min="8" max="8" width="19.42578125" style="5" bestFit="1" customWidth="1"/>
    <col min="9" max="9" width="16.42578125" style="6" bestFit="1" customWidth="1"/>
    <col min="10" max="10" width="31.5703125" style="5" bestFit="1" customWidth="1"/>
    <col min="11" max="11" width="29.28515625" style="6" bestFit="1" customWidth="1"/>
    <col min="12" max="12" width="29.7109375" bestFit="1" customWidth="1"/>
    <col min="13" max="13" width="27.42578125" style="5" bestFit="1" customWidth="1"/>
    <col min="14" max="14" width="30.28515625" bestFit="1" customWidth="1"/>
    <col min="15" max="15" width="10.7109375" style="5" bestFit="1" customWidth="1"/>
    <col min="16" max="16" width="28.85546875" bestFit="1" customWidth="1"/>
    <col min="17" max="17" width="13.42578125" bestFit="1" customWidth="1"/>
    <col min="18" max="18" width="12.28515625" bestFit="1" customWidth="1"/>
    <col min="19" max="19" width="12.28515625" customWidth="1"/>
    <col min="20" max="20" width="40.5703125" bestFit="1" customWidth="1"/>
    <col min="21" max="21" width="31.85546875" style="2" bestFit="1" customWidth="1"/>
    <col min="22" max="22" width="26.5703125" style="2" bestFit="1" customWidth="1"/>
    <col min="23" max="23" width="26.5703125" style="2" customWidth="1"/>
    <col min="24" max="26" width="5.85546875" customWidth="1"/>
    <col min="27" max="27" width="9.42578125" bestFit="1" customWidth="1"/>
    <col min="28" max="28" width="60" customWidth="1"/>
    <col min="29" max="53" width="8.42578125" customWidth="1"/>
    <col min="54" max="54" width="97.7109375" customWidth="1"/>
    <col min="55" max="55" width="15.28515625" customWidth="1"/>
    <col min="56" max="56" width="25.5703125" bestFit="1" customWidth="1"/>
    <col min="57" max="57" width="25.5703125" customWidth="1"/>
    <col min="58" max="58" width="13.85546875" bestFit="1" customWidth="1"/>
    <col min="59" max="59" width="19.5703125" customWidth="1"/>
    <col min="61" max="61" width="26.5703125" bestFit="1" customWidth="1"/>
    <col min="62" max="62" width="10.5703125" customWidth="1"/>
    <col min="70" max="70" width="29.7109375" customWidth="1"/>
    <col min="71" max="71" width="23.85546875" customWidth="1"/>
    <col min="72" max="80" width="16.28515625" customWidth="1"/>
    <col min="81" max="81" width="18.5703125" customWidth="1"/>
    <col min="82" max="82" width="16.28515625" customWidth="1"/>
    <col min="90" max="90" width="26.5703125" customWidth="1"/>
    <col min="91" max="91" width="20.140625" customWidth="1"/>
    <col min="92" max="92" width="15" customWidth="1"/>
  </cols>
  <sheetData>
    <row r="1" spans="1:202" x14ac:dyDescent="0.25">
      <c r="A1" t="s">
        <v>164</v>
      </c>
      <c r="B1" t="s">
        <v>84</v>
      </c>
      <c r="C1" t="s">
        <v>85</v>
      </c>
      <c r="D1" t="s">
        <v>87</v>
      </c>
      <c r="E1" t="s">
        <v>86</v>
      </c>
      <c r="F1" t="s">
        <v>163</v>
      </c>
      <c r="G1" s="5" t="s">
        <v>156</v>
      </c>
      <c r="H1" s="5" t="s">
        <v>95</v>
      </c>
      <c r="I1" s="6" t="s">
        <v>93</v>
      </c>
      <c r="J1" s="5" t="s">
        <v>321</v>
      </c>
      <c r="K1" s="6" t="s">
        <v>94</v>
      </c>
      <c r="L1" t="s">
        <v>160</v>
      </c>
      <c r="M1" s="5" t="s">
        <v>128</v>
      </c>
      <c r="N1" t="s">
        <v>129</v>
      </c>
      <c r="O1" s="5" t="s">
        <v>82</v>
      </c>
      <c r="P1" t="s">
        <v>83</v>
      </c>
      <c r="Q1" t="s">
        <v>80</v>
      </c>
      <c r="R1" t="s">
        <v>79</v>
      </c>
      <c r="S1" t="s">
        <v>155</v>
      </c>
      <c r="T1" t="s">
        <v>90</v>
      </c>
      <c r="U1" s="2" t="s">
        <v>89</v>
      </c>
      <c r="V1" s="2" t="s">
        <v>92</v>
      </c>
      <c r="W1" s="2" t="s">
        <v>125</v>
      </c>
      <c r="X1" t="s">
        <v>159</v>
      </c>
      <c r="Y1" t="s">
        <v>157</v>
      </c>
      <c r="Z1" t="s">
        <v>158</v>
      </c>
      <c r="AA1" t="s">
        <v>126</v>
      </c>
      <c r="AB1" t="s">
        <v>145</v>
      </c>
      <c r="AC1" t="s">
        <v>154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162</v>
      </c>
      <c r="BC1" t="s">
        <v>161</v>
      </c>
      <c r="BD1" t="s">
        <v>96</v>
      </c>
      <c r="BE1" t="s">
        <v>98</v>
      </c>
      <c r="BF1" t="s">
        <v>97</v>
      </c>
      <c r="BG1" t="s">
        <v>110</v>
      </c>
      <c r="BH1" t="s">
        <v>106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108</v>
      </c>
      <c r="BQ1" t="s">
        <v>107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140</v>
      </c>
      <c r="BZ1" t="s">
        <v>141</v>
      </c>
      <c r="CA1" t="s">
        <v>142</v>
      </c>
      <c r="CB1" t="s">
        <v>143</v>
      </c>
      <c r="CC1" t="s">
        <v>144</v>
      </c>
      <c r="CD1" t="s">
        <v>132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131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123</v>
      </c>
      <c r="CS1" t="s">
        <v>124</v>
      </c>
      <c r="CT1" t="s">
        <v>109</v>
      </c>
    </row>
    <row r="2" spans="1:202" x14ac:dyDescent="0.25">
      <c r="A2">
        <v>1</v>
      </c>
      <c r="B2" s="4" t="s">
        <v>0</v>
      </c>
      <c r="C2" s="4" t="s">
        <v>12</v>
      </c>
      <c r="D2" s="4" t="s">
        <v>0</v>
      </c>
      <c r="E2" s="4" t="s">
        <v>11</v>
      </c>
      <c r="F2" s="4" t="s">
        <v>14</v>
      </c>
      <c r="G2" s="7" t="s">
        <v>72</v>
      </c>
      <c r="H2" s="7" t="s">
        <v>72</v>
      </c>
      <c r="I2" s="7">
        <v>1</v>
      </c>
      <c r="J2" s="7" t="s">
        <v>72</v>
      </c>
      <c r="K2" s="7">
        <v>1</v>
      </c>
      <c r="L2" s="4" t="s">
        <v>13</v>
      </c>
      <c r="M2" s="7" t="s">
        <v>72</v>
      </c>
      <c r="N2" s="4"/>
      <c r="O2" s="7"/>
      <c r="P2" s="4"/>
      <c r="Q2" s="8" t="str">
        <f>VLOOKUP($C2,aws_cli_commands!$C$2:$E$10000,2,FALSE)</f>
        <v>n</v>
      </c>
      <c r="R2" s="8" t="str">
        <f>VLOOKUP($C2,aws_cli_commands!$C$2:$E$10000,3,FALSE)</f>
        <v>y</v>
      </c>
      <c r="S2" s="8" t="str">
        <f>IF(OR($C2=$C1,$C2=$C3),"y","n")</f>
        <v>n</v>
      </c>
      <c r="T2" s="8" t="str">
        <f>B2&amp;"___"&amp;SUBSTITUTE(RIGHT(C2,LEN(C2)-FIND("-",C2)),"-","_")</f>
        <v>iam___access_key_last_used</v>
      </c>
      <c r="U2" s="8" t="str">
        <f>SUBSTITUTE(D2&amp;"___"&amp;RIGHT($E2,LEN($E2)-FIND("-",$E2)),"-","_")</f>
        <v>iam___access_keys</v>
      </c>
      <c r="V2" s="8" t="str">
        <f>SUBSTITUTE(RIGHT($E2,LEN($E2)-FIND("-",$E2)),"-","_")</f>
        <v>access_keys</v>
      </c>
      <c r="W2" s="8" t="str">
        <f>IF(G2="y",V2&amp;"_"&amp;LOWER(F2),IF(M2="y","**hardcoded**",LOWER(F2)))</f>
        <v>accesskeyid</v>
      </c>
      <c r="X2" s="8" t="str">
        <f>IF(OR(Y2=1,Z2=1),"y","n")</f>
        <v>n</v>
      </c>
      <c r="Y2" s="8">
        <f>IF(AND($C2=$C2,$M2="y"),1,0)+IF(AND($C1=$C2,$M1="y"),1,0)</f>
        <v>0</v>
      </c>
      <c r="Z2" s="8">
        <f>IF(AND($C2=$C2,$M2="y"),1,0)+IF(AND($C2=$C3,$M3="y"),1,0)+IF(AND($C2=$C4,$M4="y"),1,0)+IF(AND($C2=$C5,$M5="y"),1,0)+IF(AND($C2=$C6,$M6="y"),1,0)+IF(AND($C2=$C7,$M7="y"),1,0)+IF(AND($C2=$C8,$M8="y"),1,0)+IF(AND($C2=$C9,$M9="y"),1,0)+IF(AND($C2=$C10,$M10="y"),1,0)</f>
        <v>0</v>
      </c>
      <c r="AA2" s="8" t="s">
        <v>127</v>
      </c>
      <c r="AB2" s="9" t="str">
        <f>IF(AND($H2="y",$C2&lt;&gt;$C1),B2&amp;" "&amp;AC2&amp;AD2&amp;AE2&amp;AF2&amp;AG2&amp;AH2&amp;AI2&amp;AJ2&amp;AK2,IF(H2="n",B2&amp;" "&amp;AC2&amp;AD2&amp;AE2&amp;AF2&amp;AG2&amp;AH2&amp;AI2&amp;AJ2&amp;AK2,""))</f>
        <v>iam get-access-key-last-used --access-key-id</v>
      </c>
      <c r="AC2" s="8" t="str">
        <f>$C2</f>
        <v>get-access-key-last-used</v>
      </c>
      <c r="AD2" s="8" t="str">
        <f>IF($I2&gt;=1," "&amp;$L2,"")</f>
        <v xml:space="preserve"> --access-key-id</v>
      </c>
      <c r="AE2" s="8" t="str">
        <f>IF($I2&gt;=2," "&amp;$L3,"")</f>
        <v/>
      </c>
      <c r="AF2" s="8" t="str">
        <f>IF($I2&gt;=3," "&amp;$L4,"")</f>
        <v/>
      </c>
      <c r="AG2" s="8" t="str">
        <f>IF($I2&gt;=4," "&amp;$L5,"")</f>
        <v/>
      </c>
      <c r="AH2" s="8" t="str">
        <f>IF($I2&gt;=5," "&amp;$L6,"")</f>
        <v/>
      </c>
      <c r="AI2" s="8" t="str">
        <f>IF($I2&gt;=6," "&amp;$L7,"")</f>
        <v/>
      </c>
      <c r="AJ2" s="8" t="str">
        <f>IF($I2&gt;=7," "&amp;$L8,"")</f>
        <v/>
      </c>
      <c r="AK2" s="8" t="str">
        <f>IF($I2&gt;=8," "&amp;$L9,"")</f>
        <v/>
      </c>
      <c r="AL2" s="8" t="str">
        <f>U2</f>
        <v>iam___access_keys</v>
      </c>
      <c r="AM2" s="8" t="str">
        <f>IF($I2&gt;=2,$U3,"")</f>
        <v/>
      </c>
      <c r="AN2" s="8" t="str">
        <f>IF($I2&gt;=3,$U4,"")</f>
        <v/>
      </c>
      <c r="AO2" s="8" t="str">
        <f>IF(I2&gt;=4,$U5,"")</f>
        <v/>
      </c>
      <c r="AP2" s="8" t="str">
        <f>IF($I2&gt;=5,$U6,"")</f>
        <v/>
      </c>
      <c r="AQ2" s="8" t="str">
        <f>IF($I2&gt;=6,$U7,"")</f>
        <v/>
      </c>
      <c r="AR2" s="8" t="str">
        <f>IF($I2&gt;=7,$U8,"")</f>
        <v/>
      </c>
      <c r="AS2" s="8" t="str">
        <f>IF(I2&gt;=8,$U9,"")</f>
        <v/>
      </c>
      <c r="AT2" s="8" t="str">
        <f>F2</f>
        <v>AccessKeyId</v>
      </c>
      <c r="AU2" s="8" t="str">
        <f>IF($I2&gt;=2,$F3,"")</f>
        <v/>
      </c>
      <c r="AV2" s="8" t="str">
        <f>IF($I2&gt;=3,$F4,"")</f>
        <v/>
      </c>
      <c r="AW2" s="8" t="str">
        <f>IF($I2&gt;=4,$F5,"")</f>
        <v/>
      </c>
      <c r="AX2" s="8" t="str">
        <f>IF($I2&gt;=5,$F6,"")</f>
        <v/>
      </c>
      <c r="AY2" s="8" t="str">
        <f>IF($I2&gt;=6,$F7,"")</f>
        <v/>
      </c>
      <c r="AZ2" s="8" t="str">
        <f>IF($I2&gt;=7,$F8,"")</f>
        <v/>
      </c>
      <c r="BA2" s="8" t="str">
        <f>IF($I2&gt;=8,$F9,"")</f>
        <v/>
      </c>
      <c r="BB2" s="9" t="str">
        <f>IF(OR(R2&lt;&gt;"y",I2&lt;&gt;1),"","SELECT aws_command::text || ' ' || command_parameter::text AS aws_command_string, parameter_source_table, parameter_source_key FROM (SELECT  "&amp;"'"&amp;AB2&amp;"'"&amp;" AS aws_command,"&amp;U2&amp;"."&amp;V2&amp;" -&gt;&gt; "&amp;"'"&amp;F2&amp;"'"&amp;" AS command_parameter, "&amp;"'"&amp;AL2&amp;"'"&amp;" AS parameter_source_table, "&amp;"'"&amp;AT2&amp;"'"&amp;" AS parameter_source_key FROM "&amp;U2&amp;") AS f")</f>
        <v>SELECT aws_command::text || ' ' || command_parameter::text AS aws_command_string, parameter_source_table, parameter_source_key FROM (SELECT  'iam get-access-key-last-used --access-key-id' AS aws_command,iam___access_keys.access_keys -&gt;&gt; 'AccessKeyId' AS command_parameter, 'iam___access_keys' AS parameter_source_table, 'AccessKeyId' AS parameter_source_key FROM iam___access_keys) AS f</v>
      </c>
      <c r="BC2" s="9" t="str">
        <f>IF(AND($H2="y",$H1&lt;&gt;"y"),BE2&amp;BF2&amp;BG2&amp;BR2&amp;CC2,"")</f>
        <v/>
      </c>
      <c r="BD2" s="8" t="str">
        <f>"/* recursive command: "&amp;$C2&amp;" */ DROP TABLE IF EXISTS "&amp;$T2&amp;"; CREATE TABLE "&amp;$T2&amp;"(  id SERIAL PRIMARY KEY, "&amp;$F2&amp;" TEXT); SELECT "&amp;$U2&amp;"."&amp;$V2&amp;" -&gt;&gt; '"&amp;$F2&amp;"' AS "&amp;$V2&amp;" FROM "&amp;$U2&amp;" ;"</f>
        <v>/* recursive command: get-access-key-last-used */ DROP TABLE IF EXISTS iam___access_key_last_used; CREATE TABLE iam___access_key_last_used(  id SERIAL PRIMARY KEY, AccessKeyId TEXT); SELECT iam___access_keys.access_keys -&gt;&gt; 'AccessKeyId' AS access_keys FROM iam___access_keys ;</v>
      </c>
      <c r="BE2" s="8" t="str">
        <f>"/* recursive command multi: "&amp;$C2&amp;" */ "</f>
        <v xml:space="preserve">/* recursive command multi: get-access-key-last-used */ </v>
      </c>
      <c r="BF2" s="8" t="str">
        <f>"DROP TABLE IF EXISTS "&amp;$T2&amp;"; "</f>
        <v xml:space="preserve">DROP TABLE IF EXISTS iam___access_key_last_used; </v>
      </c>
      <c r="BG2" s="8" t="str">
        <f>BH2&amp;BI2&amp;BJ2&amp;BK2&amp;BL2&amp;BM2&amp;BN2&amp;BO2&amp;BP2&amp;BQ2</f>
        <v>CREATE TABLE iam___access_key_last_used(  id SERIAL PRIMARY KEY, accesskeyid TEXT );</v>
      </c>
      <c r="BH2" s="8" t="str">
        <f>"CREATE TABLE "&amp;$T2&amp;"(  id SERIAL PRIMARY KEY, "</f>
        <v xml:space="preserve">CREATE TABLE iam___access_key_last_used(  id SERIAL PRIMARY KEY, </v>
      </c>
      <c r="BI2" s="8" t="str">
        <f>IF($I2&gt;=1,$W2&amp;" TEXT","")</f>
        <v>accesskeyid TEXT</v>
      </c>
      <c r="BJ2" s="8" t="str">
        <f>IF($I2&gt;=2,", "&amp;$W3&amp;" TEXT","")</f>
        <v/>
      </c>
      <c r="BK2" s="8" t="str">
        <f>IF($I2&gt;=3,", "&amp;$W4&amp;" TEXT","")</f>
        <v/>
      </c>
      <c r="BL2" s="8" t="str">
        <f>IF($I2&gt;=4,", "&amp;$W5&amp;" TEXT","")</f>
        <v/>
      </c>
      <c r="BM2" s="8" t="str">
        <f>IF($I2&gt;=5,", "&amp;$W6&amp;" TEXT","")</f>
        <v/>
      </c>
      <c r="BN2" s="8" t="str">
        <f>IF($I2&gt;=6,", "&amp;$W7&amp;" TEXT","")</f>
        <v/>
      </c>
      <c r="BO2" s="8" t="str">
        <f>IF($I2&gt;=7,", "&amp;$W8&amp;" TEXT","")</f>
        <v/>
      </c>
      <c r="BP2" s="8" t="str">
        <f>IF($I2&gt;=8,", "&amp;$W9&amp;" TEXT","")</f>
        <v/>
      </c>
      <c r="BQ2" s="8" t="str">
        <f>" );"</f>
        <v xml:space="preserve"> );</v>
      </c>
      <c r="BR2" s="9" t="str">
        <f>BS2&amp;BT2&amp;BU2&amp;BV2&amp;BW2&amp;BX2&amp;BY2&amp;BZ2&amp;CA2&amp;CB2</f>
        <v xml:space="preserve"> INSERT INTO iam___access_key_last_used(accesskeyid)</v>
      </c>
      <c r="BS2" s="9" t="str">
        <f>" INSERT INTO "&amp;$T2&amp;"("</f>
        <v xml:space="preserve"> INSERT INTO iam___access_key_last_used(</v>
      </c>
      <c r="BT2" s="9" t="str">
        <f>IF($I2&gt;=1,$W2,"")</f>
        <v>accesskeyid</v>
      </c>
      <c r="BU2" s="9" t="str">
        <f>IF($I2&gt;=2,", "&amp;$W3,"")</f>
        <v/>
      </c>
      <c r="BV2" s="9" t="str">
        <f>IF($I2&gt;=3,", "&amp;$W4,"")</f>
        <v/>
      </c>
      <c r="BW2" s="9" t="str">
        <f>IF($I2&gt;=4,", "&amp;$W5,"")</f>
        <v/>
      </c>
      <c r="BX2" s="9" t="str">
        <f>IF($I2&gt;=5,", "&amp;$W6,"")</f>
        <v/>
      </c>
      <c r="BY2" s="9" t="str">
        <f>IF($I2&gt;=6,", "&amp;$W7,"")</f>
        <v/>
      </c>
      <c r="BZ2" s="9" t="str">
        <f>IF($I2&gt;=7,", "&amp;$W8,"")</f>
        <v/>
      </c>
      <c r="CA2" s="9" t="str">
        <f>IF($I2&gt;=8,", "&amp;$W9,"")</f>
        <v/>
      </c>
      <c r="CB2" s="9" t="str">
        <f>")"</f>
        <v>)</v>
      </c>
      <c r="CC2" s="9" t="str">
        <f t="shared" ref="CC2:CC37" si="0">CD2&amp;CE2&amp;CF2&amp;CG2&amp;CH2&amp;CI2&amp;CJ2&amp;CK2&amp;CL2&amp;CM2&amp;CN2&amp;CO2&amp;CP2&amp;CQ2&amp;CR2&amp;CS2&amp;CT2</f>
        <v xml:space="preserve"> SELECT iam___access_keys.access_keys -&gt;&gt; 'AccessKeyId' AS access_keys_accesskeyid FROM iam___access_keys ;</v>
      </c>
      <c r="CD2" s="8" t="str">
        <f>" SELECT "&amp;$U2&amp;"."&amp;$V2&amp;" -&gt;&gt; '"&amp;$F2&amp;"' AS "&amp;$V2&amp;"_"&amp;LOWER(F2)</f>
        <v xml:space="preserve"> SELECT iam___access_keys.access_keys -&gt;&gt; 'AccessKeyId' AS access_keys_accesskeyid</v>
      </c>
      <c r="CE2" s="8" t="str">
        <f>IF($I2&gt;=2,", "&amp;$U3&amp;"."&amp;$V3&amp;" -&gt;&gt; '"&amp;$F3&amp;"' AS "&amp;$V3&amp;"_"&amp;LOWER(F3),"")</f>
        <v/>
      </c>
      <c r="CF2" s="8" t="str">
        <f>IF($I2&gt;=3,", "&amp;$U4&amp;"."&amp;$V4&amp;" -&gt;&gt; '"&amp;$F4&amp;"' AS "&amp;$V4&amp;"_"&amp;LOWER(F4),"")</f>
        <v/>
      </c>
      <c r="CG2" s="8" t="str">
        <f>IF($I2&gt;=4,", "&amp;$U5&amp;"."&amp;$V5&amp;" -&gt;&gt; '"&amp;$F5&amp;"' AS "&amp;$V5&amp;"_"&amp;LOWER(F5),"")</f>
        <v/>
      </c>
      <c r="CH2" s="8" t="str">
        <f>IF($I2&gt;=5,", "&amp;$U6&amp;"."&amp;$V6&amp;" -&gt;&gt; '"&amp;$F6&amp;"' AS "&amp;$V6&amp;"_"&amp;LOWER(F6),"")</f>
        <v/>
      </c>
      <c r="CI2" s="8" t="str">
        <f>IF($I2&gt;=6,", "&amp;$U7&amp;"."&amp;$V7&amp;" -&gt;&gt; '"&amp;$F7&amp;"' AS "&amp;$V7&amp;"_"&amp;LOWER(F7),"")</f>
        <v/>
      </c>
      <c r="CJ2" s="8" t="str">
        <f>IF($I2&gt;=7,", "&amp;$U8&amp;"."&amp;$V8&amp;" -&gt;&gt; '"&amp;$F8&amp;"' AS "&amp;$V8&amp;"_"&amp;LOWER(F8),"")</f>
        <v/>
      </c>
      <c r="CK2" s="8" t="str">
        <f>IF($I2&gt;=8,", "&amp;$U9&amp;"."&amp;$V9&amp;" -&gt;&gt; '"&amp;$F9&amp;"' AS "&amp;$V9&amp;"_"&amp;LOWER(F9),"")</f>
        <v/>
      </c>
      <c r="CL2" s="8" t="str">
        <f>IF($I2&gt;=1," FROM "&amp;$U2,"")</f>
        <v xml:space="preserve"> FROM iam___access_keys</v>
      </c>
      <c r="CM2" s="9" t="str">
        <f>IF($I2&gt;=2," "&amp;$AA2&amp;" JOIN "&amp;$U2&amp;" USING ("&amp;$T2&amp;"."&amp;$W2&amp;", "&amp;$U2&amp;"."&amp;$V2&amp;" -&gt;&gt; '"&amp;$F2&amp;"')","")</f>
        <v/>
      </c>
      <c r="CN2" s="9" t="str">
        <f>IF($I2&gt;=3," "&amp;$AA3&amp;" JOIN "&amp;$U3&amp;" USING ("&amp;$T3&amp;"."&amp;$W3&amp;", "&amp;$U3&amp;"."&amp;$V3&amp;" -&gt;&gt; '"&amp;$F3&amp;"')","")</f>
        <v/>
      </c>
      <c r="CO2" s="9" t="str">
        <f>IF($I2&gt;=4," "&amp;$AA4&amp;" JOIN "&amp;$U4&amp;" USING ("&amp;$T4&amp;"."&amp;$W4&amp;", "&amp;$U4&amp;"."&amp;$V4&amp;" -&gt;&gt; '"&amp;$F4&amp;"')","")</f>
        <v/>
      </c>
      <c r="CP2" s="9" t="str">
        <f>IF($I2&gt;=5," "&amp;$AA5&amp;" JOIN "&amp;$U5&amp;" USING ("&amp;$T5&amp;"."&amp;$W5&amp;", "&amp;$U5&amp;"."&amp;$V5&amp;" -&gt;&gt; '"&amp;$F5&amp;"')","")</f>
        <v/>
      </c>
      <c r="CQ2" s="9" t="str">
        <f>IF($I2&gt;=6," "&amp;$AA6&amp;" JOIN "&amp;$U6&amp;" USING ("&amp;$T6&amp;"."&amp;$W6&amp;", "&amp;$U6&amp;"."&amp;$V6&amp;" -&gt;&gt; '"&amp;$F6&amp;"')","")</f>
        <v/>
      </c>
      <c r="CR2" s="8" t="str">
        <f>IF($I2&gt;=7," "&amp;$AA7&amp;" JOIN "&amp;$U7&amp;" USING ("&amp;$T7&amp;"."&amp;$W7&amp;", "&amp;$U7&amp;"."&amp;$V7&amp;" -&gt;&gt; '"&amp;$F7&amp;"')","")</f>
        <v/>
      </c>
      <c r="CS2" s="8" t="str">
        <f>IF($I2&gt;=8," "&amp;$AA8&amp;" JOIN "&amp;$U8&amp;" USING ("&amp;$T8&amp;"."&amp;$W8&amp;", "&amp;$U8&amp;"."&amp;$V8&amp;" -&gt;&gt; '"&amp;$F8&amp;"')","")</f>
        <v/>
      </c>
      <c r="CT2" s="8" t="str">
        <f>" ;"</f>
        <v xml:space="preserve"> ;</v>
      </c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</row>
    <row r="3" spans="1:202" x14ac:dyDescent="0.25">
      <c r="A3">
        <v>2</v>
      </c>
      <c r="B3" s="4" t="s">
        <v>0</v>
      </c>
      <c r="C3" s="4" t="s">
        <v>56</v>
      </c>
      <c r="D3" s="4" t="s">
        <v>0</v>
      </c>
      <c r="E3" s="4" t="s">
        <v>91</v>
      </c>
      <c r="F3" s="4" t="s">
        <v>130</v>
      </c>
      <c r="G3" s="7" t="s">
        <v>72</v>
      </c>
      <c r="H3" s="7" t="s">
        <v>72</v>
      </c>
      <c r="I3" s="7">
        <v>1</v>
      </c>
      <c r="J3" s="7" t="s">
        <v>72</v>
      </c>
      <c r="K3" s="7">
        <v>1</v>
      </c>
      <c r="L3" s="4" t="s">
        <v>57</v>
      </c>
      <c r="M3" s="7" t="s">
        <v>72</v>
      </c>
      <c r="N3" s="4"/>
      <c r="O3" s="7"/>
      <c r="P3" s="4"/>
      <c r="Q3" s="8" t="str">
        <f>VLOOKUP($C3,aws_cli_commands!$C$2:$E$10000,2,FALSE)</f>
        <v>n</v>
      </c>
      <c r="R3" s="8" t="str">
        <f>VLOOKUP($C3,aws_cli_commands!$C$2:$E$10000,3,FALSE)</f>
        <v>y</v>
      </c>
      <c r="S3" s="8" t="str">
        <f>IF(OR(C3=C2,C3=C4),"y","n")</f>
        <v>n</v>
      </c>
      <c r="T3" s="8" t="str">
        <f>B3&amp;"___"&amp;SUBSTITUTE(RIGHT(C3,LEN(C3)-FIND("-",C3)),"-","_")</f>
        <v>iam___context_keys_for_custom_policy</v>
      </c>
      <c r="U3" s="8" t="str">
        <f>SUBSTITUTE(D3&amp;"___"&amp;RIGHT(E3,LEN(E3)-FIND("-",E3)),"-","_")</f>
        <v>iam___command_unknown</v>
      </c>
      <c r="V3" s="8" t="str">
        <f>SUBSTITUTE(RIGHT($E3,LEN($E3)-FIND("-",$E3)),"-","_")</f>
        <v>command_unknown</v>
      </c>
      <c r="W3" s="8" t="str">
        <f>IF(G3="y",V3&amp;"_"&amp;LOWER(F3),IF(M3="y","**hardcoded**",LOWER(F3)))</f>
        <v>*unknown*</v>
      </c>
      <c r="X3" s="8" t="str">
        <f t="shared" ref="X3:X37" si="1">IF(OR(Y3=1,Z3=1),"y","n")</f>
        <v>n</v>
      </c>
      <c r="Y3" s="8">
        <f>IF(AND($C3=$C3,$M3="y"),1,0)+IF(AND($C2=$C3,$M2="y"),1,0)+IF(AND($C1=$C3,$M1="y"),1,0)</f>
        <v>0</v>
      </c>
      <c r="Z3" s="8">
        <f>IF(AND($C3=$C3,$M3="y"),1,0)+IF(AND($C3=$C4,$M4="y"),1,0)+IF(AND($C3=$C5,$M5="y"),1,0)+IF(AND($C3=$C6,$M6="y"),1,0)+IF(AND($C3=$C7,$M7="y"),1,0)+IF(AND($C3=$C8,$M8="y"),1,0)+IF(AND($C3=$C9,$M9="y"),1,0)+IF(AND($C3=$C10,$M10="y"),1,0)+IF(AND($C3=$C11,$M11="y"),1,0)</f>
        <v>0</v>
      </c>
      <c r="AA3" s="8" t="s">
        <v>127</v>
      </c>
      <c r="AB3" s="9" t="str">
        <f>IF(AND($H3="y",$C3&lt;&gt;$C2),B3&amp;" "&amp;AC3&amp;AD3&amp;AE3&amp;AF3&amp;AG3&amp;AH3&amp;AI3&amp;AJ3&amp;AK3,IF(H3="n",B3&amp;" "&amp;AC3&amp;AD3&amp;AE3&amp;AF3&amp;AG3&amp;AH3&amp;AI3&amp;AJ3&amp;AK3,""))</f>
        <v>iam get-context-keys-for-custom-policy --policy-input-list</v>
      </c>
      <c r="AC3" s="8" t="str">
        <f t="shared" ref="AC3:AC37" si="2">$C3</f>
        <v>get-context-keys-for-custom-policy</v>
      </c>
      <c r="AD3" s="8" t="str">
        <f>IF($I3&gt;=1," "&amp;$L3,"")</f>
        <v xml:space="preserve"> --policy-input-list</v>
      </c>
      <c r="AE3" s="8" t="str">
        <f>IF($I3&gt;=2," "&amp;$L4,"")</f>
        <v/>
      </c>
      <c r="AF3" s="8" t="str">
        <f>IF($I3&gt;=3," "&amp;$L5,"")</f>
        <v/>
      </c>
      <c r="AG3" s="8" t="str">
        <f>IF($I3&gt;=4," "&amp;$L6,"")</f>
        <v/>
      </c>
      <c r="AH3" s="8" t="str">
        <f>IF($I3&gt;=5," "&amp;$L7,"")</f>
        <v/>
      </c>
      <c r="AI3" s="8" t="str">
        <f>IF($I3&gt;=6," "&amp;$L8,"")</f>
        <v/>
      </c>
      <c r="AJ3" s="8" t="str">
        <f>IF($I3&gt;=7," "&amp;$L9,"")</f>
        <v/>
      </c>
      <c r="AK3" s="8" t="str">
        <f>IF($I3&gt;=8," "&amp;$L10,"")</f>
        <v/>
      </c>
      <c r="AL3" s="8" t="str">
        <f>U3</f>
        <v>iam___command_unknown</v>
      </c>
      <c r="AM3" s="8" t="str">
        <f>IF($I3&gt;=2,$U4,"")</f>
        <v/>
      </c>
      <c r="AN3" s="8" t="str">
        <f>IF($I3&gt;=3,$U5,"")</f>
        <v/>
      </c>
      <c r="AO3" s="8" t="str">
        <f>IF(I3&gt;=4,$U6,"")</f>
        <v/>
      </c>
      <c r="AP3" s="8" t="str">
        <f>IF($I3&gt;=5,$U7,"")</f>
        <v/>
      </c>
      <c r="AQ3" s="8" t="str">
        <f>IF($I3&gt;=6,$U8,"")</f>
        <v/>
      </c>
      <c r="AR3" s="8" t="str">
        <f>IF($I3&gt;=7,$U9,"")</f>
        <v/>
      </c>
      <c r="AS3" s="8" t="str">
        <f>IF(I3&gt;=8,$U10,"")</f>
        <v/>
      </c>
      <c r="AT3" s="8" t="str">
        <f>F3</f>
        <v>*unknown*</v>
      </c>
      <c r="AU3" s="8" t="str">
        <f>IF($I3&gt;=2,$F4,"")</f>
        <v/>
      </c>
      <c r="AV3" s="8" t="str">
        <f>IF($I3&gt;=3,$F5,"")</f>
        <v/>
      </c>
      <c r="AW3" s="8" t="str">
        <f>IF($I3&gt;=4,$F6,"")</f>
        <v/>
      </c>
      <c r="AX3" s="8" t="str">
        <f>IF($I3&gt;=5,$F7,"")</f>
        <v/>
      </c>
      <c r="AY3" s="8" t="str">
        <f>IF($I3&gt;=6,$F8,"")</f>
        <v/>
      </c>
      <c r="AZ3" s="8" t="str">
        <f>IF($I3&gt;=7,$F9,"")</f>
        <v/>
      </c>
      <c r="BA3" s="8" t="str">
        <f>IF($I3&gt;=8,$F10,"")</f>
        <v/>
      </c>
      <c r="BB3" s="9" t="str">
        <f>IF(OR(R3&lt;&gt;"y",I3&lt;&gt;1),"","SELECT aws_command::text || ' ' || command_parameter::text AS aws_command_string, parameter_source_table, parameter_source_key FROM (SELECT  "&amp;"'"&amp;AB3&amp;"'"&amp;" AS aws_command,"&amp;U3&amp;"."&amp;V3&amp;" -&gt;&gt; "&amp;"'"&amp;F3&amp;"'"&amp;" AS command_parameter, "&amp;"'"&amp;AL3&amp;"'"&amp;" AS parameter_source_table, "&amp;"'"&amp;AT3&amp;"'"&amp;" AS parameter_source_key FROM "&amp;U3&amp;") AS f")</f>
        <v>SELECT aws_command::text || ' ' || command_parameter::text AS aws_command_string, parameter_source_table, parameter_source_key FROM (SELECT  'iam get-context-keys-for-custom-policy --policy-input-list' AS aws_command,iam___command_unknown.command_unknown -&gt;&gt; '*unknown*' AS command_parameter, 'iam___command_unknown' AS parameter_source_table, '*unknown*' AS parameter_source_key FROM iam___command_unknown) AS f</v>
      </c>
      <c r="BC3" s="9" t="str">
        <f>IF(AND(H3="y",H2&lt;&gt;"y"),BE3&amp;BF3&amp;BG3&amp;BR3&amp;CC3,"")</f>
        <v/>
      </c>
      <c r="BD3" s="8" t="str">
        <f>"/* recursive command: "&amp;C3&amp;" */ DROP TABLE IF EXISTS "&amp;T3&amp;"; CREATE TABLE "&amp;T3&amp;"(  id SERIAL PRIMARY KEY, "&amp;F3&amp;" TEXT); SELECT "&amp;U3&amp;"."&amp;V3&amp;" -&gt;&gt; '"&amp;F3&amp;"' AS "&amp;V3&amp;" FROM "&amp;U3&amp;" ;"</f>
        <v>/* recursive command: get-context-keys-for-custom-policy */ DROP TABLE IF EXISTS iam___context_keys_for_custom_policy; CREATE TABLE iam___context_keys_for_custom_policy(  id SERIAL PRIMARY KEY, *unknown* TEXT); SELECT iam___command_unknown.command_unknown -&gt;&gt; '*unknown*' AS command_unknown FROM iam___command_unknown ;</v>
      </c>
      <c r="BE3" s="8" t="str">
        <f t="shared" ref="BE3:BE37" si="3">"/* recursive command multi: "&amp;$C3&amp;" */ "</f>
        <v xml:space="preserve">/* recursive command multi: get-context-keys-for-custom-policy */ </v>
      </c>
      <c r="BF3" s="8" t="str">
        <f t="shared" ref="BF3:BF37" si="4">"DROP TABLE IF EXISTS "&amp;$T3&amp;"; "</f>
        <v xml:space="preserve">DROP TABLE IF EXISTS iam___context_keys_for_custom_policy; </v>
      </c>
      <c r="BG3" s="8" t="str">
        <f t="shared" ref="BG3:BG37" si="5">BH3&amp;BI3&amp;BJ3&amp;BK3&amp;BL3&amp;BM3&amp;BN3&amp;BO3&amp;BP3&amp;BQ3</f>
        <v>CREATE TABLE iam___context_keys_for_custom_policy(  id SERIAL PRIMARY KEY, *unknown* TEXT );</v>
      </c>
      <c r="BH3" s="8" t="str">
        <f t="shared" ref="BH3:BH37" si="6">"CREATE TABLE "&amp;$T3&amp;"(  id SERIAL PRIMARY KEY, "</f>
        <v xml:space="preserve">CREATE TABLE iam___context_keys_for_custom_policy(  id SERIAL PRIMARY KEY, </v>
      </c>
      <c r="BI3" s="8" t="str">
        <f>IF($I3&gt;=1,$W3&amp;" TEXT","")</f>
        <v>*unknown* TEXT</v>
      </c>
      <c r="BJ3" s="8" t="str">
        <f>IF($I3&gt;=2,", "&amp;$W4&amp;" TEXT","")</f>
        <v/>
      </c>
      <c r="BK3" s="8" t="str">
        <f>IF($I3&gt;=3,", "&amp;$W5&amp;" TEXT","")</f>
        <v/>
      </c>
      <c r="BL3" s="8" t="str">
        <f>IF($I3&gt;=4,", "&amp;$W6&amp;" TEXT","")</f>
        <v/>
      </c>
      <c r="BM3" s="8" t="str">
        <f>IF($I3&gt;=5,", "&amp;$W7&amp;" TEXT","")</f>
        <v/>
      </c>
      <c r="BN3" s="8" t="str">
        <f>IF($I3&gt;=6,", "&amp;$W8&amp;" TEXT","")</f>
        <v/>
      </c>
      <c r="BO3" s="8" t="str">
        <f>IF($I3&gt;=7,", "&amp;$W9&amp;" TEXT","")</f>
        <v/>
      </c>
      <c r="BP3" s="8" t="str">
        <f>IF($I3&gt;=8,", "&amp;$W10&amp;" TEXT","")</f>
        <v/>
      </c>
      <c r="BQ3" s="8" t="str">
        <f t="shared" ref="BQ3:BQ37" si="7">" );"</f>
        <v xml:space="preserve"> );</v>
      </c>
      <c r="BR3" s="9" t="str">
        <f t="shared" ref="BR3:BR37" si="8">BS3&amp;BT3&amp;BU3&amp;BV3&amp;BW3&amp;BX3&amp;BY3&amp;BZ3&amp;CA3&amp;CB3</f>
        <v xml:space="preserve"> INSERT INTO iam___context_keys_for_custom_policy(*unknown*)</v>
      </c>
      <c r="BS3" s="9" t="str">
        <f t="shared" ref="BS3:BS37" si="9">" INSERT INTO "&amp;$T3&amp;"("</f>
        <v xml:space="preserve"> INSERT INTO iam___context_keys_for_custom_policy(</v>
      </c>
      <c r="BT3" s="9" t="str">
        <f>IF($I3&gt;=1,$W3,"")</f>
        <v>*unknown*</v>
      </c>
      <c r="BU3" s="9" t="str">
        <f>IF($I3&gt;=2,", "&amp;$W4,"")</f>
        <v/>
      </c>
      <c r="BV3" s="9" t="str">
        <f>IF($I3&gt;=3,", "&amp;$W5,"")</f>
        <v/>
      </c>
      <c r="BW3" s="9" t="str">
        <f>IF($I3&gt;=4,", "&amp;$W6,"")</f>
        <v/>
      </c>
      <c r="BX3" s="9" t="str">
        <f>IF($I3&gt;=5,", "&amp;$W7,"")</f>
        <v/>
      </c>
      <c r="BY3" s="9" t="str">
        <f>IF($I3&gt;=6,", "&amp;$W8,"")</f>
        <v/>
      </c>
      <c r="BZ3" s="9" t="str">
        <f>IF($I3&gt;=7,", "&amp;$W9,"")</f>
        <v/>
      </c>
      <c r="CA3" s="9" t="str">
        <f>IF($I3&gt;=8,", "&amp;$W10,"")</f>
        <v/>
      </c>
      <c r="CB3" s="9" t="str">
        <f t="shared" ref="CB3:CB37" si="10">")"</f>
        <v>)</v>
      </c>
      <c r="CC3" s="9" t="str">
        <f t="shared" si="0"/>
        <v xml:space="preserve"> SELECT iam___command_unknown.command_unknown -&gt;&gt; '*unknown*' AS command_unknown_*unknown* FROM iam___command_unknown ;</v>
      </c>
      <c r="CD3" s="8" t="str">
        <f>" SELECT "&amp;$U3&amp;"."&amp;$V3&amp;" -&gt;&gt; '"&amp;$F3&amp;"' AS "&amp;$V3&amp;"_"&amp;LOWER(F3)</f>
        <v xml:space="preserve"> SELECT iam___command_unknown.command_unknown -&gt;&gt; '*unknown*' AS command_unknown_*unknown*</v>
      </c>
      <c r="CE3" s="8" t="str">
        <f>IF($I3&gt;=2,", "&amp;$U4&amp;"."&amp;$V4&amp;" -&gt;&gt; '"&amp;$F4&amp;"' AS "&amp;$V4&amp;"_"&amp;LOWER(F4),"")</f>
        <v/>
      </c>
      <c r="CF3" s="8" t="str">
        <f>IF($I3&gt;=3,", "&amp;$U5&amp;"."&amp;$V5&amp;" -&gt;&gt; '"&amp;$F5&amp;"' AS "&amp;$V5&amp;"_"&amp;LOWER(F5),"")</f>
        <v/>
      </c>
      <c r="CG3" s="8" t="str">
        <f>IF($I3&gt;=4,", "&amp;$U6&amp;"."&amp;$V6&amp;" -&gt;&gt; '"&amp;$F6&amp;"' AS "&amp;$V6&amp;"_"&amp;LOWER(F6),"")</f>
        <v/>
      </c>
      <c r="CH3" s="8" t="str">
        <f>IF($I3&gt;=5,", "&amp;$U7&amp;"."&amp;$V7&amp;" -&gt;&gt; '"&amp;$F7&amp;"' AS "&amp;$V7&amp;"_"&amp;LOWER(F7),"")</f>
        <v/>
      </c>
      <c r="CI3" s="8" t="str">
        <f>IF($I3&gt;=6,", "&amp;$U8&amp;"."&amp;$V8&amp;" -&gt;&gt; '"&amp;$F8&amp;"' AS "&amp;$V8&amp;"_"&amp;LOWER(F8),"")</f>
        <v/>
      </c>
      <c r="CJ3" s="8" t="str">
        <f>IF($I3&gt;=7,", "&amp;$U9&amp;"."&amp;$V9&amp;" -&gt;&gt; '"&amp;$F9&amp;"' AS "&amp;$V9&amp;"_"&amp;LOWER(F9),"")</f>
        <v/>
      </c>
      <c r="CK3" s="8" t="str">
        <f>IF($I3&gt;=8,", "&amp;$U10&amp;"."&amp;$V10&amp;" -&gt;&gt; '"&amp;$F10&amp;"' AS "&amp;$V10&amp;"_"&amp;LOWER(F10),"")</f>
        <v/>
      </c>
      <c r="CL3" s="8" t="str">
        <f>IF($I3&gt;=1," FROM "&amp;$U3,"")</f>
        <v xml:space="preserve"> FROM iam___command_unknown</v>
      </c>
      <c r="CM3" s="9" t="str">
        <f>IF($I3&gt;=2," "&amp;$AA3&amp;" JOIN "&amp;$U3&amp;" USING ("&amp;$T3&amp;"."&amp;$W3&amp;", "&amp;$U3&amp;"."&amp;$V3&amp;" -&gt;&gt; '"&amp;$F3&amp;"')","")</f>
        <v/>
      </c>
      <c r="CN3" s="9" t="str">
        <f>IF($I3&gt;=3," "&amp;$AA4&amp;" JOIN "&amp;$U4&amp;" USING ("&amp;$T4&amp;"."&amp;$W4&amp;", "&amp;$U4&amp;"."&amp;$V4&amp;" -&gt;&gt; '"&amp;$F4&amp;"')","")</f>
        <v/>
      </c>
      <c r="CO3" s="9" t="str">
        <f>IF($I3&gt;=4," "&amp;$AA5&amp;" JOIN "&amp;$U5&amp;" USING ("&amp;$T5&amp;"."&amp;$W5&amp;", "&amp;$U5&amp;"."&amp;$V5&amp;" -&gt;&gt; '"&amp;$F5&amp;"')","")</f>
        <v/>
      </c>
      <c r="CP3" s="9" t="str">
        <f>IF($I3&gt;=5," "&amp;$AA6&amp;" JOIN "&amp;$U6&amp;" USING ("&amp;$T6&amp;"."&amp;$W6&amp;", "&amp;$U6&amp;"."&amp;$V6&amp;" -&gt;&gt; '"&amp;$F6&amp;"')","")</f>
        <v/>
      </c>
      <c r="CQ3" s="9" t="str">
        <f>IF($I3&gt;=6," "&amp;$AA7&amp;" JOIN "&amp;$U7&amp;" USING ("&amp;$T7&amp;"."&amp;$W7&amp;", "&amp;$U7&amp;"."&amp;$V7&amp;" -&gt;&gt; '"&amp;$F7&amp;"')","")</f>
        <v/>
      </c>
      <c r="CR3" s="8" t="str">
        <f>IF($I3&gt;=7," "&amp;$AA8&amp;" JOIN "&amp;$U8&amp;" USING ("&amp;$T8&amp;"."&amp;$W8&amp;", "&amp;$U8&amp;"."&amp;$V8&amp;" -&gt;&gt; '"&amp;$F8&amp;"')","")</f>
        <v/>
      </c>
      <c r="CS3" s="8" t="str">
        <f>IF($I3&gt;=8," "&amp;$AA9&amp;" JOIN "&amp;$U9&amp;" USING ("&amp;$T9&amp;"."&amp;$W9&amp;", "&amp;$U9&amp;"."&amp;$V9&amp;" -&gt;&gt; '"&amp;$F9&amp;"')","")</f>
        <v/>
      </c>
      <c r="CT3" s="8" t="str">
        <f t="shared" ref="CT3:CT37" si="11">" ;"</f>
        <v xml:space="preserve"> ;</v>
      </c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</row>
    <row r="4" spans="1:202" x14ac:dyDescent="0.25">
      <c r="A4">
        <v>3</v>
      </c>
      <c r="B4" s="4" t="s">
        <v>0</v>
      </c>
      <c r="C4" s="4" t="s">
        <v>58</v>
      </c>
      <c r="D4" s="4" t="s">
        <v>0</v>
      </c>
      <c r="E4" s="4" t="s">
        <v>48</v>
      </c>
      <c r="F4" s="4" t="s">
        <v>28</v>
      </c>
      <c r="G4" s="7" t="s">
        <v>72</v>
      </c>
      <c r="H4" s="7" t="s">
        <v>72</v>
      </c>
      <c r="I4" s="7">
        <v>1</v>
      </c>
      <c r="J4" s="7" t="s">
        <v>72</v>
      </c>
      <c r="K4" s="7">
        <v>1</v>
      </c>
      <c r="L4" s="4" t="s">
        <v>59</v>
      </c>
      <c r="M4" s="7" t="s">
        <v>72</v>
      </c>
      <c r="N4" s="4"/>
      <c r="O4" s="7"/>
      <c r="P4" s="4"/>
      <c r="Q4" s="8" t="str">
        <f>VLOOKUP($C4,aws_cli_commands!$C$2:$E$10000,2,FALSE)</f>
        <v>n</v>
      </c>
      <c r="R4" s="8" t="str">
        <f>VLOOKUP($C4,aws_cli_commands!$C$2:$E$10000,3,FALSE)</f>
        <v>y</v>
      </c>
      <c r="S4" s="8" t="str">
        <f>IF(OR(C4=C3,C4=C5),"y","n")</f>
        <v>y</v>
      </c>
      <c r="T4" s="8" t="str">
        <f>B4&amp;"___"&amp;SUBSTITUTE(RIGHT(C4,LEN(C4)-FIND("-",C4)),"-","_")</f>
        <v>iam___context_keys_for_principal_policy</v>
      </c>
      <c r="U4" s="8" t="str">
        <f>SUBSTITUTE(D4&amp;"___"&amp;RIGHT(E4,LEN(E4)-FIND("-",E4)),"-","_")</f>
        <v>iam___users</v>
      </c>
      <c r="V4" s="8" t="str">
        <f>SUBSTITUTE(RIGHT($E4,LEN($E4)-FIND("-",$E4)),"-","_")</f>
        <v>users</v>
      </c>
      <c r="W4" s="8" t="str">
        <f>IF(G4="y",V4&amp;"_"&amp;LOWER(F4),IF(M4="y","**hardcoded**",LOWER(F4)))</f>
        <v>arn</v>
      </c>
      <c r="X4" s="8" t="str">
        <f t="shared" si="1"/>
        <v>n</v>
      </c>
      <c r="Y4" s="8">
        <f>IF(AND($C4=$C4,$M4="y"),1,0)+IF(AND($C3=$C4,$M3="y"),1,0)+IF(AND($C2=$C4,$M2="y"),1,0)+IF(AND($C1=$C4,$M1="y"),1,0)</f>
        <v>0</v>
      </c>
      <c r="Z4" s="8">
        <f>IF(AND($C4=$C4,$M4="y"),1,0)+IF(AND($C4=$C5,$M5="y"),1,0)+IF(AND($C4=$C6,$M6="y"),1,0)+IF(AND($C4=$C7,$M7="y"),1,0)+IF(AND($C4=$C8,$M8="y"),1,0)+IF(AND($C4=$C9,$M9="y"),1,0)+IF(AND($C4=$C10,$M10="y"),1,0)+IF(AND($C4=$C11,$M11="y"),1,0)+IF(AND($C4=$C12,$M12="y"),1,0)</f>
        <v>0</v>
      </c>
      <c r="AA4" s="8" t="s">
        <v>127</v>
      </c>
      <c r="AB4" s="9" t="str">
        <f>IF(AND($H4="y",$C4&lt;&gt;$C3),B4&amp;" "&amp;AC4&amp;AD4&amp;AE4&amp;AF4&amp;AG4&amp;AH4&amp;AI4&amp;AJ4&amp;AK4,IF(H4="n",B4&amp;" "&amp;AC4&amp;AD4&amp;AE4&amp;AF4&amp;AG4&amp;AH4&amp;AI4&amp;AJ4&amp;AK4,""))</f>
        <v>iam get-context-keys-for-principal-policy --policy-source-arn</v>
      </c>
      <c r="AC4" s="8" t="str">
        <f t="shared" si="2"/>
        <v>get-context-keys-for-principal-policy</v>
      </c>
      <c r="AD4" s="8" t="str">
        <f>IF($I4&gt;=1," "&amp;$L4,"")</f>
        <v xml:space="preserve"> --policy-source-arn</v>
      </c>
      <c r="AE4" s="8" t="str">
        <f>IF($I4&gt;=2," "&amp;$L5,"")</f>
        <v/>
      </c>
      <c r="AF4" s="8" t="str">
        <f>IF($I4&gt;=3," "&amp;$L6,"")</f>
        <v/>
      </c>
      <c r="AG4" s="8" t="str">
        <f>IF($I4&gt;=4," "&amp;$L7,"")</f>
        <v/>
      </c>
      <c r="AH4" s="8" t="str">
        <f>IF($I4&gt;=5," "&amp;$L8,"")</f>
        <v/>
      </c>
      <c r="AI4" s="8" t="str">
        <f>IF($I4&gt;=6," "&amp;$L9,"")</f>
        <v/>
      </c>
      <c r="AJ4" s="8" t="str">
        <f>IF($I4&gt;=7," "&amp;$L10,"")</f>
        <v/>
      </c>
      <c r="AK4" s="8" t="str">
        <f>IF($I4&gt;=8," "&amp;$L11,"")</f>
        <v/>
      </c>
      <c r="AL4" s="8" t="str">
        <f>U4</f>
        <v>iam___users</v>
      </c>
      <c r="AM4" s="8" t="str">
        <f>IF($I4&gt;=2,$U5,"")</f>
        <v/>
      </c>
      <c r="AN4" s="8" t="str">
        <f>IF($I4&gt;=3,$U6,"")</f>
        <v/>
      </c>
      <c r="AO4" s="8" t="str">
        <f>IF(I4&gt;=4,$U7,"")</f>
        <v/>
      </c>
      <c r="AP4" s="8" t="str">
        <f>IF($I4&gt;=5,$U8,"")</f>
        <v/>
      </c>
      <c r="AQ4" s="8" t="str">
        <f>IF($I4&gt;=6,$U9,"")</f>
        <v/>
      </c>
      <c r="AR4" s="8" t="str">
        <f>IF($I4&gt;=7,$U10,"")</f>
        <v/>
      </c>
      <c r="AS4" s="8" t="str">
        <f>IF(I4&gt;=8,$U11,"")</f>
        <v/>
      </c>
      <c r="AT4" s="8" t="str">
        <f>F4</f>
        <v>Arn</v>
      </c>
      <c r="AU4" s="8" t="str">
        <f>IF($I4&gt;=2,$F5,"")</f>
        <v/>
      </c>
      <c r="AV4" s="8" t="str">
        <f>IF($I4&gt;=3,$F6,"")</f>
        <v/>
      </c>
      <c r="AW4" s="8" t="str">
        <f>IF($I4&gt;=4,$F7,"")</f>
        <v/>
      </c>
      <c r="AX4" s="8" t="str">
        <f>IF($I4&gt;=5,$F8,"")</f>
        <v/>
      </c>
      <c r="AY4" s="8" t="str">
        <f>IF($I4&gt;=6,$F9,"")</f>
        <v/>
      </c>
      <c r="AZ4" s="8" t="str">
        <f>IF($I4&gt;=7,$F10,"")</f>
        <v/>
      </c>
      <c r="BA4" s="8" t="str">
        <f>IF($I4&gt;=8,$F11,"")</f>
        <v/>
      </c>
      <c r="BB4" s="9" t="str">
        <f>IF(OR(R4&lt;&gt;"y",I4&lt;&gt;1),"","SELECT aws_command::text || ' ' || command_parameter::text AS aws_command_string, parameter_source_table, parameter_source_key FROM (SELECT  "&amp;"'"&amp;AB4&amp;"'"&amp;" AS aws_command,"&amp;U4&amp;"."&amp;V4&amp;" -&gt;&gt; "&amp;"'"&amp;F4&amp;"'"&amp;" AS command_parameter, "&amp;"'"&amp;AL4&amp;"'"&amp;" AS parameter_source_table, "&amp;"'"&amp;AT4&amp;"'"&amp;" AS parameter_source_key FROM "&amp;U4&amp;") AS f")</f>
        <v>SELECT aws_command::text || ' ' || command_parameter::text AS aws_command_string, parameter_source_table, parameter_source_key FROM (SELECT  'iam get-context-keys-for-principal-policy --policy-source-arn' AS aws_command,iam___users.users -&gt;&gt; 'Arn' AS command_parameter, 'iam___users' AS parameter_source_table, 'Arn' AS parameter_source_key FROM iam___users) AS f</v>
      </c>
      <c r="BC4" s="9" t="str">
        <f>IF(AND(H4="y",H3&lt;&gt;"y"),BE4&amp;BF4&amp;BG4&amp;BR4&amp;CC4,"")</f>
        <v/>
      </c>
      <c r="BD4" s="8" t="str">
        <f>"/* recursive command: "&amp;C4&amp;" */ DROP TABLE IF EXISTS "&amp;T4&amp;"; CREATE TABLE "&amp;T4&amp;"(  id SERIAL PRIMARY KEY, "&amp;F4&amp;" TEXT); SELECT "&amp;U4&amp;"."&amp;V4&amp;" -&gt;&gt; '"&amp;F4&amp;"' AS "&amp;V4&amp;" FROM "&amp;U4&amp;" ;"</f>
        <v>/* recursive command: get-context-keys-for-principal-policy */ DROP TABLE IF EXISTS iam___context_keys_for_principal_policy; CREATE TABLE iam___context_keys_for_principal_policy(  id SERIAL PRIMARY KEY, Arn TEXT); SELECT iam___users.users -&gt;&gt; 'Arn' AS users FROM iam___users ;</v>
      </c>
      <c r="BE4" s="8" t="str">
        <f t="shared" si="3"/>
        <v xml:space="preserve">/* recursive command multi: get-context-keys-for-principal-policy */ </v>
      </c>
      <c r="BF4" s="8" t="str">
        <f t="shared" si="4"/>
        <v xml:space="preserve">DROP TABLE IF EXISTS iam___context_keys_for_principal_policy; </v>
      </c>
      <c r="BG4" s="8" t="str">
        <f t="shared" si="5"/>
        <v>CREATE TABLE iam___context_keys_for_principal_policy(  id SERIAL PRIMARY KEY, arn TEXT );</v>
      </c>
      <c r="BH4" s="8" t="str">
        <f t="shared" si="6"/>
        <v xml:space="preserve">CREATE TABLE iam___context_keys_for_principal_policy(  id SERIAL PRIMARY KEY, </v>
      </c>
      <c r="BI4" s="8" t="str">
        <f>IF($I4&gt;=1,$W4&amp;" TEXT","")</f>
        <v>arn TEXT</v>
      </c>
      <c r="BJ4" s="8" t="str">
        <f>IF($I4&gt;=2,", "&amp;$W5&amp;" TEXT","")</f>
        <v/>
      </c>
      <c r="BK4" s="8" t="str">
        <f>IF($I4&gt;=3,", "&amp;$W6&amp;" TEXT","")</f>
        <v/>
      </c>
      <c r="BL4" s="8" t="str">
        <f>IF($I4&gt;=4,", "&amp;$W7&amp;" TEXT","")</f>
        <v/>
      </c>
      <c r="BM4" s="8" t="str">
        <f>IF($I4&gt;=5,", "&amp;$W8&amp;" TEXT","")</f>
        <v/>
      </c>
      <c r="BN4" s="8" t="str">
        <f>IF($I4&gt;=6,", "&amp;$W9&amp;" TEXT","")</f>
        <v/>
      </c>
      <c r="BO4" s="8" t="str">
        <f>IF($I4&gt;=7,", "&amp;$W10&amp;" TEXT","")</f>
        <v/>
      </c>
      <c r="BP4" s="8" t="str">
        <f>IF($I4&gt;=8,", "&amp;$W11&amp;" TEXT","")</f>
        <v/>
      </c>
      <c r="BQ4" s="8" t="str">
        <f t="shared" si="7"/>
        <v xml:space="preserve"> );</v>
      </c>
      <c r="BR4" s="9" t="str">
        <f t="shared" si="8"/>
        <v xml:space="preserve"> INSERT INTO iam___context_keys_for_principal_policy(arn)</v>
      </c>
      <c r="BS4" s="9" t="str">
        <f t="shared" si="9"/>
        <v xml:space="preserve"> INSERT INTO iam___context_keys_for_principal_policy(</v>
      </c>
      <c r="BT4" s="9" t="str">
        <f>IF($I4&gt;=1,$W4,"")</f>
        <v>arn</v>
      </c>
      <c r="BU4" s="9" t="str">
        <f>IF($I4&gt;=2,", "&amp;$W5,"")</f>
        <v/>
      </c>
      <c r="BV4" s="9" t="str">
        <f>IF($I4&gt;=3,", "&amp;$W6,"")</f>
        <v/>
      </c>
      <c r="BW4" s="9" t="str">
        <f>IF($I4&gt;=4,", "&amp;$W7,"")</f>
        <v/>
      </c>
      <c r="BX4" s="9" t="str">
        <f>IF($I4&gt;=5,", "&amp;$W8,"")</f>
        <v/>
      </c>
      <c r="BY4" s="9" t="str">
        <f>IF($I4&gt;=6,", "&amp;$W9,"")</f>
        <v/>
      </c>
      <c r="BZ4" s="9" t="str">
        <f>IF($I4&gt;=7,", "&amp;$W10,"")</f>
        <v/>
      </c>
      <c r="CA4" s="9" t="str">
        <f>IF($I4&gt;=8,", "&amp;$W11,"")</f>
        <v/>
      </c>
      <c r="CB4" s="9" t="str">
        <f t="shared" si="10"/>
        <v>)</v>
      </c>
      <c r="CC4" s="9" t="str">
        <f t="shared" si="0"/>
        <v xml:space="preserve"> SELECT iam___users.users -&gt;&gt; 'Arn' AS users_arn FROM iam___users ;</v>
      </c>
      <c r="CD4" s="8" t="str">
        <f>" SELECT "&amp;$U4&amp;"."&amp;$V4&amp;" -&gt;&gt; '"&amp;$F4&amp;"' AS "&amp;$V4&amp;"_"&amp;LOWER(F4)</f>
        <v xml:space="preserve"> SELECT iam___users.users -&gt;&gt; 'Arn' AS users_arn</v>
      </c>
      <c r="CE4" s="8" t="str">
        <f>IF($I4&gt;=2,", "&amp;$U5&amp;"."&amp;$V5&amp;" -&gt;&gt; '"&amp;$F5&amp;"' AS "&amp;$V5&amp;"_"&amp;LOWER(F5),"")</f>
        <v/>
      </c>
      <c r="CF4" s="8" t="str">
        <f>IF($I4&gt;=3,", "&amp;$U6&amp;"."&amp;$V6&amp;" -&gt;&gt; '"&amp;$F6&amp;"' AS "&amp;$V6&amp;"_"&amp;LOWER(F6),"")</f>
        <v/>
      </c>
      <c r="CG4" s="8" t="str">
        <f>IF($I4&gt;=4,", "&amp;$U7&amp;"."&amp;$V7&amp;" -&gt;&gt; '"&amp;$F7&amp;"' AS "&amp;$V7&amp;"_"&amp;LOWER(F7),"")</f>
        <v/>
      </c>
      <c r="CH4" s="8" t="str">
        <f>IF($I4&gt;=5,", "&amp;$U8&amp;"."&amp;$V8&amp;" -&gt;&gt; '"&amp;$F8&amp;"' AS "&amp;$V8&amp;"_"&amp;LOWER(F8),"")</f>
        <v/>
      </c>
      <c r="CI4" s="8" t="str">
        <f>IF($I4&gt;=6,", "&amp;$U9&amp;"."&amp;$V9&amp;" -&gt;&gt; '"&amp;$F9&amp;"' AS "&amp;$V9&amp;"_"&amp;LOWER(F9),"")</f>
        <v/>
      </c>
      <c r="CJ4" s="8" t="str">
        <f>IF($I4&gt;=7,", "&amp;$U10&amp;"."&amp;$V10&amp;" -&gt;&gt; '"&amp;$F10&amp;"' AS "&amp;$V10&amp;"_"&amp;LOWER(F10),"")</f>
        <v/>
      </c>
      <c r="CK4" s="8" t="str">
        <f>IF($I4&gt;=8,", "&amp;$U11&amp;"."&amp;$V11&amp;" -&gt;&gt; '"&amp;$F11&amp;"' AS "&amp;$V11&amp;"_"&amp;LOWER(F11),"")</f>
        <v/>
      </c>
      <c r="CL4" s="8" t="str">
        <f>IF($I4&gt;=1," FROM "&amp;$U4,"")</f>
        <v xml:space="preserve"> FROM iam___users</v>
      </c>
      <c r="CM4" s="9" t="str">
        <f>IF($I4&gt;=2," "&amp;$AA4&amp;" JOIN "&amp;$U4&amp;" USING ("&amp;$T4&amp;"."&amp;$W4&amp;", "&amp;$U4&amp;"."&amp;$V4&amp;" -&gt;&gt; '"&amp;$F4&amp;"')","")</f>
        <v/>
      </c>
      <c r="CN4" s="9" t="str">
        <f>IF($I4&gt;=3," "&amp;$AA5&amp;" JOIN "&amp;$U5&amp;" USING ("&amp;$T5&amp;"."&amp;$W5&amp;", "&amp;$U5&amp;"."&amp;$V5&amp;" -&gt;&gt; '"&amp;$F5&amp;"')","")</f>
        <v/>
      </c>
      <c r="CO4" s="9" t="str">
        <f>IF($I4&gt;=4," "&amp;$AA6&amp;" JOIN "&amp;$U6&amp;" USING ("&amp;$T6&amp;"."&amp;$W6&amp;", "&amp;$U6&amp;"."&amp;$V6&amp;" -&gt;&gt; '"&amp;$F6&amp;"')","")</f>
        <v/>
      </c>
      <c r="CP4" s="9" t="str">
        <f>IF($I4&gt;=5," "&amp;$AA7&amp;" JOIN "&amp;$U7&amp;" USING ("&amp;$T7&amp;"."&amp;$W7&amp;", "&amp;$U7&amp;"."&amp;$V7&amp;" -&gt;&gt; '"&amp;$F7&amp;"')","")</f>
        <v/>
      </c>
      <c r="CQ4" s="9" t="str">
        <f>IF($I4&gt;=6," "&amp;$AA8&amp;" JOIN "&amp;$U8&amp;" USING ("&amp;$T8&amp;"."&amp;$W8&amp;", "&amp;$U8&amp;"."&amp;$V8&amp;" -&gt;&gt; '"&amp;$F8&amp;"')","")</f>
        <v/>
      </c>
      <c r="CR4" s="8" t="str">
        <f>IF($I4&gt;=7," "&amp;$AA9&amp;" JOIN "&amp;$U9&amp;" USING ("&amp;$T9&amp;"."&amp;$W9&amp;", "&amp;$U9&amp;"."&amp;$V9&amp;" -&gt;&gt; '"&amp;$F9&amp;"')","")</f>
        <v/>
      </c>
      <c r="CS4" s="8" t="str">
        <f>IF($I4&gt;=8," "&amp;$AA10&amp;" JOIN "&amp;$U10&amp;" USING ("&amp;$T10&amp;"."&amp;$W10&amp;", "&amp;$U10&amp;"."&amp;$V10&amp;" -&gt;&gt; '"&amp;$F10&amp;"')","")</f>
        <v/>
      </c>
      <c r="CT4" s="8" t="str">
        <f t="shared" si="11"/>
        <v xml:space="preserve"> ;</v>
      </c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</row>
    <row r="5" spans="1:202" x14ac:dyDescent="0.25">
      <c r="A5">
        <v>4</v>
      </c>
      <c r="B5" s="4" t="s">
        <v>0</v>
      </c>
      <c r="C5" s="4" t="s">
        <v>58</v>
      </c>
      <c r="D5" s="4" t="s">
        <v>0</v>
      </c>
      <c r="E5" s="4" t="s">
        <v>15</v>
      </c>
      <c r="F5" s="4" t="s">
        <v>28</v>
      </c>
      <c r="G5" s="7" t="s">
        <v>72</v>
      </c>
      <c r="H5" s="7" t="s">
        <v>72</v>
      </c>
      <c r="I5" s="7">
        <v>1</v>
      </c>
      <c r="J5" s="7" t="s">
        <v>72</v>
      </c>
      <c r="K5" s="7">
        <v>1</v>
      </c>
      <c r="L5" s="4" t="s">
        <v>59</v>
      </c>
      <c r="M5" s="7" t="s">
        <v>72</v>
      </c>
      <c r="N5" s="4"/>
      <c r="O5" s="7"/>
      <c r="P5" s="4"/>
      <c r="Q5" s="8" t="str">
        <f>VLOOKUP($C5,aws_cli_commands!$C$2:$E$10000,2,FALSE)</f>
        <v>n</v>
      </c>
      <c r="R5" s="8" t="str">
        <f>VLOOKUP($C5,aws_cli_commands!$C$2:$E$10000,3,FALSE)</f>
        <v>y</v>
      </c>
      <c r="S5" s="8" t="str">
        <f>IF(OR(C5=C4,C5=C6),"y","n")</f>
        <v>y</v>
      </c>
      <c r="T5" s="8" t="str">
        <f>B5&amp;"___"&amp;SUBSTITUTE(RIGHT(C5,LEN(C5)-FIND("-",C5)),"-","_")</f>
        <v>iam___context_keys_for_principal_policy</v>
      </c>
      <c r="U5" s="8" t="str">
        <f>SUBSTITUTE(D5&amp;"___"&amp;RIGHT(E5,LEN(E5)-FIND("-",E5)),"-","_")</f>
        <v>iam___groups</v>
      </c>
      <c r="V5" s="8" t="str">
        <f>SUBSTITUTE(RIGHT($E5,LEN($E5)-FIND("-",$E5)),"-","_")</f>
        <v>groups</v>
      </c>
      <c r="W5" s="8" t="str">
        <f>IF(G5="y",V5&amp;"_"&amp;LOWER(F5),IF(M5="y","**hardcoded**",LOWER(F5)))</f>
        <v>arn</v>
      </c>
      <c r="X5" s="8" t="str">
        <f t="shared" si="1"/>
        <v>n</v>
      </c>
      <c r="Y5" s="8">
        <f>IF(AND($C5=$C5,$M5="y"),1,0)+IF(AND($C4=$C5,$M4="y"),1,0)+IF(AND($C3=$C5,$M3="y"),1,0)+IF(AND($C2=$C5,$M2="y"),1,0)+IF(AND($C1=$C5,$M1="y"),1,0)</f>
        <v>0</v>
      </c>
      <c r="Z5" s="8">
        <f>IF(AND($C5=$C5,$M5="y"),1,0)+IF(AND($C5=$C6,$M6="y"),1,0)+IF(AND($C5=$C7,$M7="y"),1,0)+IF(AND($C5=$C8,$M8="y"),1,0)+IF(AND($C5=$C9,$M9="y"),1,0)+IF(AND($C5=$C10,$M10="y"),1,0)+IF(AND($C5=$C11,$M11="y"),1,0)+IF(AND($C5=$C12,$M12="y"),1,0)+IF(AND($C5=$C13,$M13="y"),1,0)</f>
        <v>0</v>
      </c>
      <c r="AA5" s="8" t="s">
        <v>127</v>
      </c>
      <c r="AB5" s="9" t="str">
        <f>IF(AND($H5="y",$C5&lt;&gt;$C4),B5&amp;" "&amp;AC5&amp;AD5&amp;AE5&amp;AF5&amp;AG5&amp;AH5&amp;AI5&amp;AJ5&amp;AK5,IF(H5="n",B5&amp;" "&amp;AC5&amp;AD5&amp;AE5&amp;AF5&amp;AG5&amp;AH5&amp;AI5&amp;AJ5&amp;AK5,""))</f>
        <v>iam get-context-keys-for-principal-policy --policy-source-arn</v>
      </c>
      <c r="AC5" s="8" t="str">
        <f t="shared" si="2"/>
        <v>get-context-keys-for-principal-policy</v>
      </c>
      <c r="AD5" s="8" t="str">
        <f>IF($I5&gt;=1," "&amp;$L5,"")</f>
        <v xml:space="preserve"> --policy-source-arn</v>
      </c>
      <c r="AE5" s="8" t="str">
        <f>IF($I5&gt;=2," "&amp;$L6,"")</f>
        <v/>
      </c>
      <c r="AF5" s="8" t="str">
        <f>IF($I5&gt;=3," "&amp;$L7,"")</f>
        <v/>
      </c>
      <c r="AG5" s="8" t="str">
        <f>IF($I5&gt;=4," "&amp;$L8,"")</f>
        <v/>
      </c>
      <c r="AH5" s="8" t="str">
        <f>IF($I5&gt;=5," "&amp;$L9,"")</f>
        <v/>
      </c>
      <c r="AI5" s="8" t="str">
        <f>IF($I5&gt;=6," "&amp;$L10,"")</f>
        <v/>
      </c>
      <c r="AJ5" s="8" t="str">
        <f>IF($I5&gt;=7," "&amp;$L11,"")</f>
        <v/>
      </c>
      <c r="AK5" s="8" t="str">
        <f>IF($I5&gt;=8," "&amp;$L12,"")</f>
        <v/>
      </c>
      <c r="AL5" s="8" t="str">
        <f>U5</f>
        <v>iam___groups</v>
      </c>
      <c r="AM5" s="8" t="str">
        <f>IF($I5&gt;=2,$U6,"")</f>
        <v/>
      </c>
      <c r="AN5" s="8" t="str">
        <f>IF($I5&gt;=3,$U7,"")</f>
        <v/>
      </c>
      <c r="AO5" s="8" t="str">
        <f>IF(I5&gt;=4,$U8,"")</f>
        <v/>
      </c>
      <c r="AP5" s="8" t="str">
        <f>IF($I5&gt;=5,$U9,"")</f>
        <v/>
      </c>
      <c r="AQ5" s="8" t="str">
        <f>IF($I5&gt;=6,$U10,"")</f>
        <v/>
      </c>
      <c r="AR5" s="8" t="str">
        <f>IF($I5&gt;=7,$U11,"")</f>
        <v/>
      </c>
      <c r="AS5" s="8" t="str">
        <f>IF(I5&gt;=8,$U12,"")</f>
        <v/>
      </c>
      <c r="AT5" s="8" t="str">
        <f>F5</f>
        <v>Arn</v>
      </c>
      <c r="AU5" s="8" t="str">
        <f>IF($I5&gt;=2,$F6,"")</f>
        <v/>
      </c>
      <c r="AV5" s="8" t="str">
        <f>IF($I5&gt;=3,$F7,"")</f>
        <v/>
      </c>
      <c r="AW5" s="8" t="str">
        <f>IF($I5&gt;=4,$F8,"")</f>
        <v/>
      </c>
      <c r="AX5" s="8" t="str">
        <f>IF($I5&gt;=5,$F9,"")</f>
        <v/>
      </c>
      <c r="AY5" s="8" t="str">
        <f>IF($I5&gt;=6,$F10,"")</f>
        <v/>
      </c>
      <c r="AZ5" s="8" t="str">
        <f>IF($I5&gt;=7,$F11,"")</f>
        <v/>
      </c>
      <c r="BA5" s="8" t="str">
        <f>IF($I5&gt;=8,$F12,"")</f>
        <v/>
      </c>
      <c r="BB5" s="9" t="str">
        <f>IF(OR(R5&lt;&gt;"y",I5&lt;&gt;1),"","SELECT aws_command::text || ' ' || command_parameter::text AS aws_command_string, parameter_source_table, parameter_source_key FROM (SELECT  "&amp;"'"&amp;AB5&amp;"'"&amp;" AS aws_command,"&amp;U5&amp;"."&amp;V5&amp;" -&gt;&gt; "&amp;"'"&amp;F5&amp;"'"&amp;" AS command_parameter, "&amp;"'"&amp;AL5&amp;"'"&amp;" AS parameter_source_table, "&amp;"'"&amp;AT5&amp;"'"&amp;" AS parameter_source_key FROM "&amp;U5&amp;") AS f")</f>
        <v>SELECT aws_command::text || ' ' || command_parameter::text AS aws_command_string, parameter_source_table, parameter_source_key FROM (SELECT  'iam get-context-keys-for-principal-policy --policy-source-arn' AS aws_command,iam___groups.groups -&gt;&gt; 'Arn' AS command_parameter, 'iam___groups' AS parameter_source_table, 'Arn' AS parameter_source_key FROM iam___groups) AS f</v>
      </c>
      <c r="BC5" s="9" t="str">
        <f>IF(AND(H5="y",H4&lt;&gt;"y"),BE5&amp;BF5&amp;BG5&amp;BR5&amp;CC5,"")</f>
        <v/>
      </c>
      <c r="BD5" s="8" t="str">
        <f>"/* recursive command: "&amp;C5&amp;" */ DROP TABLE IF EXISTS "&amp;T5&amp;"; CREATE TABLE "&amp;T5&amp;"(  id SERIAL PRIMARY KEY, "&amp;F5&amp;" TEXT); SELECT "&amp;U5&amp;"."&amp;V5&amp;" -&gt;&gt; '"&amp;F5&amp;"' AS "&amp;V5&amp;" FROM "&amp;U5&amp;" ;"</f>
        <v>/* recursive command: get-context-keys-for-principal-policy */ DROP TABLE IF EXISTS iam___context_keys_for_principal_policy; CREATE TABLE iam___context_keys_for_principal_policy(  id SERIAL PRIMARY KEY, Arn TEXT); SELECT iam___groups.groups -&gt;&gt; 'Arn' AS groups FROM iam___groups ;</v>
      </c>
      <c r="BE5" s="8" t="str">
        <f t="shared" si="3"/>
        <v xml:space="preserve">/* recursive command multi: get-context-keys-for-principal-policy */ </v>
      </c>
      <c r="BF5" s="8" t="str">
        <f t="shared" si="4"/>
        <v xml:space="preserve">DROP TABLE IF EXISTS iam___context_keys_for_principal_policy; </v>
      </c>
      <c r="BG5" s="8" t="str">
        <f t="shared" si="5"/>
        <v>CREATE TABLE iam___context_keys_for_principal_policy(  id SERIAL PRIMARY KEY, arn TEXT );</v>
      </c>
      <c r="BH5" s="8" t="str">
        <f t="shared" si="6"/>
        <v xml:space="preserve">CREATE TABLE iam___context_keys_for_principal_policy(  id SERIAL PRIMARY KEY, </v>
      </c>
      <c r="BI5" s="8" t="str">
        <f>IF($I5&gt;=1,$W5&amp;" TEXT","")</f>
        <v>arn TEXT</v>
      </c>
      <c r="BJ5" s="8" t="str">
        <f>IF($I5&gt;=2,", "&amp;$W6&amp;" TEXT","")</f>
        <v/>
      </c>
      <c r="BK5" s="8" t="str">
        <f>IF($I5&gt;=3,", "&amp;$W7&amp;" TEXT","")</f>
        <v/>
      </c>
      <c r="BL5" s="8" t="str">
        <f>IF($I5&gt;=4,", "&amp;$W8&amp;" TEXT","")</f>
        <v/>
      </c>
      <c r="BM5" s="8" t="str">
        <f>IF($I5&gt;=5,", "&amp;$W9&amp;" TEXT","")</f>
        <v/>
      </c>
      <c r="BN5" s="8" t="str">
        <f>IF($I5&gt;=6,", "&amp;$W10&amp;" TEXT","")</f>
        <v/>
      </c>
      <c r="BO5" s="8" t="str">
        <f>IF($I5&gt;=7,", "&amp;$W11&amp;" TEXT","")</f>
        <v/>
      </c>
      <c r="BP5" s="8" t="str">
        <f>IF($I5&gt;=8,", "&amp;$W12&amp;" TEXT","")</f>
        <v/>
      </c>
      <c r="BQ5" s="8" t="str">
        <f t="shared" si="7"/>
        <v xml:space="preserve"> );</v>
      </c>
      <c r="BR5" s="9" t="str">
        <f t="shared" si="8"/>
        <v xml:space="preserve"> INSERT INTO iam___context_keys_for_principal_policy(arn)</v>
      </c>
      <c r="BS5" s="9" t="str">
        <f t="shared" si="9"/>
        <v xml:space="preserve"> INSERT INTO iam___context_keys_for_principal_policy(</v>
      </c>
      <c r="BT5" s="9" t="str">
        <f>IF($I5&gt;=1,$W5,"")</f>
        <v>arn</v>
      </c>
      <c r="BU5" s="9" t="str">
        <f>IF($I5&gt;=2,", "&amp;$W6,"")</f>
        <v/>
      </c>
      <c r="BV5" s="9" t="str">
        <f>IF($I5&gt;=3,", "&amp;$W7,"")</f>
        <v/>
      </c>
      <c r="BW5" s="9" t="str">
        <f>IF($I5&gt;=4,", "&amp;$W8,"")</f>
        <v/>
      </c>
      <c r="BX5" s="9" t="str">
        <f>IF($I5&gt;=5,", "&amp;$W9,"")</f>
        <v/>
      </c>
      <c r="BY5" s="9" t="str">
        <f>IF($I5&gt;=6,", "&amp;$W10,"")</f>
        <v/>
      </c>
      <c r="BZ5" s="9" t="str">
        <f>IF($I5&gt;=7,", "&amp;$W11,"")</f>
        <v/>
      </c>
      <c r="CA5" s="9" t="str">
        <f>IF($I5&gt;=8,", "&amp;$W12,"")</f>
        <v/>
      </c>
      <c r="CB5" s="9" t="str">
        <f t="shared" si="10"/>
        <v>)</v>
      </c>
      <c r="CC5" s="9" t="str">
        <f t="shared" si="0"/>
        <v xml:space="preserve"> SELECT iam___groups.groups -&gt;&gt; 'Arn' AS groups_arn FROM iam___groups ;</v>
      </c>
      <c r="CD5" s="8" t="str">
        <f>" SELECT "&amp;$U5&amp;"."&amp;$V5&amp;" -&gt;&gt; '"&amp;$F5&amp;"' AS "&amp;$V5&amp;"_"&amp;LOWER(F5)</f>
        <v xml:space="preserve"> SELECT iam___groups.groups -&gt;&gt; 'Arn' AS groups_arn</v>
      </c>
      <c r="CE5" s="8" t="str">
        <f>IF($I5&gt;=2,", "&amp;$U6&amp;"."&amp;$V6&amp;" -&gt;&gt; '"&amp;$F6&amp;"' AS "&amp;$V6&amp;"_"&amp;LOWER(F6),"")</f>
        <v/>
      </c>
      <c r="CF5" s="8" t="str">
        <f>IF($I5&gt;=3,", "&amp;$U7&amp;"."&amp;$V7&amp;" -&gt;&gt; '"&amp;$F7&amp;"' AS "&amp;$V7&amp;"_"&amp;LOWER(F7),"")</f>
        <v/>
      </c>
      <c r="CG5" s="8" t="str">
        <f>IF($I5&gt;=4,", "&amp;$U8&amp;"."&amp;$V8&amp;" -&gt;&gt; '"&amp;$F8&amp;"' AS "&amp;$V8&amp;"_"&amp;LOWER(F8),"")</f>
        <v/>
      </c>
      <c r="CH5" s="8" t="str">
        <f>IF($I5&gt;=5,", "&amp;$U9&amp;"."&amp;$V9&amp;" -&gt;&gt; '"&amp;$F9&amp;"' AS "&amp;$V9&amp;"_"&amp;LOWER(F9),"")</f>
        <v/>
      </c>
      <c r="CI5" s="8" t="str">
        <f>IF($I5&gt;=6,", "&amp;$U10&amp;"."&amp;$V10&amp;" -&gt;&gt; '"&amp;$F10&amp;"' AS "&amp;$V10&amp;"_"&amp;LOWER(F10),"")</f>
        <v/>
      </c>
      <c r="CJ5" s="8" t="str">
        <f>IF($I5&gt;=7,", "&amp;$U11&amp;"."&amp;$V11&amp;" -&gt;&gt; '"&amp;$F11&amp;"' AS "&amp;$V11&amp;"_"&amp;LOWER(F11),"")</f>
        <v/>
      </c>
      <c r="CK5" s="8" t="str">
        <f>IF($I5&gt;=8,", "&amp;$U12&amp;"."&amp;$V12&amp;" -&gt;&gt; '"&amp;$F12&amp;"' AS "&amp;$V12&amp;"_"&amp;LOWER(F12),"")</f>
        <v/>
      </c>
      <c r="CL5" s="8" t="str">
        <f>IF($I5&gt;=1," FROM "&amp;$U5,"")</f>
        <v xml:space="preserve"> FROM iam___groups</v>
      </c>
      <c r="CM5" s="9" t="str">
        <f>IF($I5&gt;=2," "&amp;$AA5&amp;" JOIN "&amp;$U5&amp;" USING ("&amp;$T5&amp;"."&amp;$W5&amp;", "&amp;$U5&amp;"."&amp;$V5&amp;" -&gt;&gt; '"&amp;$F5&amp;"')","")</f>
        <v/>
      </c>
      <c r="CN5" s="9" t="str">
        <f>IF($I5&gt;=3," "&amp;$AA6&amp;" JOIN "&amp;$U6&amp;" USING ("&amp;$T6&amp;"."&amp;$W6&amp;", "&amp;$U6&amp;"."&amp;$V6&amp;" -&gt;&gt; '"&amp;$F6&amp;"')","")</f>
        <v/>
      </c>
      <c r="CO5" s="9" t="str">
        <f>IF($I5&gt;=4," "&amp;$AA7&amp;" JOIN "&amp;$U7&amp;" USING ("&amp;$T7&amp;"."&amp;$W7&amp;", "&amp;$U7&amp;"."&amp;$V7&amp;" -&gt;&gt; '"&amp;$F7&amp;"')","")</f>
        <v/>
      </c>
      <c r="CP5" s="9" t="str">
        <f>IF($I5&gt;=5," "&amp;$AA8&amp;" JOIN "&amp;$U8&amp;" USING ("&amp;$T8&amp;"."&amp;$W8&amp;", "&amp;$U8&amp;"."&amp;$V8&amp;" -&gt;&gt; '"&amp;$F8&amp;"')","")</f>
        <v/>
      </c>
      <c r="CQ5" s="9" t="str">
        <f>IF($I5&gt;=6," "&amp;$AA9&amp;" JOIN "&amp;$U9&amp;" USING ("&amp;$T9&amp;"."&amp;$W9&amp;", "&amp;$U9&amp;"."&amp;$V9&amp;" -&gt;&gt; '"&amp;$F9&amp;"')","")</f>
        <v/>
      </c>
      <c r="CR5" s="8" t="str">
        <f>IF($I5&gt;=7," "&amp;$AA10&amp;" JOIN "&amp;$U10&amp;" USING ("&amp;$T10&amp;"."&amp;$W10&amp;", "&amp;$U10&amp;"."&amp;$V10&amp;" -&gt;&gt; '"&amp;$F10&amp;"')","")</f>
        <v/>
      </c>
      <c r="CS5" s="8" t="str">
        <f>IF($I5&gt;=8," "&amp;$AA11&amp;" JOIN "&amp;$U11&amp;" USING ("&amp;$T11&amp;"."&amp;$W11&amp;", "&amp;$U11&amp;"."&amp;$V11&amp;" -&gt;&gt; '"&amp;$F11&amp;"')","")</f>
        <v/>
      </c>
      <c r="CT5" s="8" t="str">
        <f t="shared" si="11"/>
        <v xml:space="preserve"> ;</v>
      </c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</row>
    <row r="6" spans="1:202" x14ac:dyDescent="0.25">
      <c r="A6">
        <v>5</v>
      </c>
      <c r="B6" s="4" t="s">
        <v>0</v>
      </c>
      <c r="C6" s="4" t="s">
        <v>58</v>
      </c>
      <c r="D6" s="4" t="s">
        <v>0</v>
      </c>
      <c r="E6" s="4" t="s">
        <v>34</v>
      </c>
      <c r="F6" s="4" t="s">
        <v>28</v>
      </c>
      <c r="G6" s="7" t="s">
        <v>72</v>
      </c>
      <c r="H6" s="7" t="s">
        <v>72</v>
      </c>
      <c r="I6" s="7">
        <v>1</v>
      </c>
      <c r="J6" s="7" t="s">
        <v>72</v>
      </c>
      <c r="K6" s="7">
        <v>1</v>
      </c>
      <c r="L6" s="4" t="s">
        <v>59</v>
      </c>
      <c r="M6" s="7" t="s">
        <v>72</v>
      </c>
      <c r="N6" s="4"/>
      <c r="O6" s="7"/>
      <c r="P6" s="4"/>
      <c r="Q6" s="8" t="str">
        <f>VLOOKUP($C6,aws_cli_commands!$C$2:$E$10000,2,FALSE)</f>
        <v>n</v>
      </c>
      <c r="R6" s="8" t="str">
        <f>VLOOKUP($C6,aws_cli_commands!$C$2:$E$10000,3,FALSE)</f>
        <v>y</v>
      </c>
      <c r="S6" s="8" t="str">
        <f>IF(OR(C6=C5,C6=C7),"y","n")</f>
        <v>y</v>
      </c>
      <c r="T6" s="8" t="str">
        <f>B6&amp;"___"&amp;SUBSTITUTE(RIGHT(C6,LEN(C6)-FIND("-",C6)),"-","_")</f>
        <v>iam___context_keys_for_principal_policy</v>
      </c>
      <c r="U6" s="8" t="str">
        <f>SUBSTITUTE(D6&amp;"___"&amp;RIGHT(E6,LEN(E6)-FIND("-",E6)),"-","_")</f>
        <v>iam___roles</v>
      </c>
      <c r="V6" s="8" t="str">
        <f>SUBSTITUTE(RIGHT($E6,LEN($E6)-FIND("-",$E6)),"-","_")</f>
        <v>roles</v>
      </c>
      <c r="W6" s="8" t="str">
        <f>IF(G6="y",V6&amp;"_"&amp;LOWER(F6),IF(M6="y","**hardcoded**",LOWER(F6)))</f>
        <v>arn</v>
      </c>
      <c r="X6" s="8" t="str">
        <f t="shared" si="1"/>
        <v>n</v>
      </c>
      <c r="Y6" s="8">
        <f>IF(AND($C6=$C6,$M6="y"),1,0)+IF(AND($C5=$C6,$M5="y"),1,0)+IF(AND($C4=$C6,$M4="y"),1,0)+IF(AND($C3=$C6,$M3="y"),1,0)+IF(AND($C2=$C6,$M2="y"),1,0)+IF(AND($C1=$C6,$M1="y"),1,0)</f>
        <v>0</v>
      </c>
      <c r="Z6" s="8">
        <f>IF(AND($C6=$C6,$M6="y"),1,0)+IF(AND($C6=$C7,$M7="y"),1,0)+IF(AND($C6=$C8,$M8="y"),1,0)+IF(AND($C6=$C9,$M9="y"),1,0)+IF(AND($C6=$C10,$M10="y"),1,0)+IF(AND($C6=$C11,$M11="y"),1,0)+IF(AND($C6=$C12,$M12="y"),1,0)+IF(AND($C6=$C13,$M13="y"),1,0)+IF(AND($C6=$C14,$M14="y"),1,0)</f>
        <v>0</v>
      </c>
      <c r="AA6" s="8" t="s">
        <v>127</v>
      </c>
      <c r="AB6" s="9" t="str">
        <f>IF(AND($H6="y",$C6&lt;&gt;$C5),B6&amp;" "&amp;AC6&amp;AD6&amp;AE6&amp;AF6&amp;AG6&amp;AH6&amp;AI6&amp;AJ6&amp;AK6,IF(H6="n",B6&amp;" "&amp;AC6&amp;AD6&amp;AE6&amp;AF6&amp;AG6&amp;AH6&amp;AI6&amp;AJ6&amp;AK6,""))</f>
        <v>iam get-context-keys-for-principal-policy --policy-source-arn</v>
      </c>
      <c r="AC6" s="8" t="str">
        <f t="shared" si="2"/>
        <v>get-context-keys-for-principal-policy</v>
      </c>
      <c r="AD6" s="8" t="str">
        <f>IF($I6&gt;=1," "&amp;$L6,"")</f>
        <v xml:space="preserve"> --policy-source-arn</v>
      </c>
      <c r="AE6" s="8" t="str">
        <f>IF($I6&gt;=2," "&amp;$L7,"")</f>
        <v/>
      </c>
      <c r="AF6" s="8" t="str">
        <f>IF($I6&gt;=3," "&amp;$L8,"")</f>
        <v/>
      </c>
      <c r="AG6" s="8" t="str">
        <f>IF($I6&gt;=4," "&amp;$L9,"")</f>
        <v/>
      </c>
      <c r="AH6" s="8" t="str">
        <f>IF($I6&gt;=5," "&amp;$L10,"")</f>
        <v/>
      </c>
      <c r="AI6" s="8" t="str">
        <f>IF($I6&gt;=6," "&amp;$L11,"")</f>
        <v/>
      </c>
      <c r="AJ6" s="8" t="str">
        <f>IF($I6&gt;=7," "&amp;$L12,"")</f>
        <v/>
      </c>
      <c r="AK6" s="8" t="str">
        <f>IF($I6&gt;=8," "&amp;$L13,"")</f>
        <v/>
      </c>
      <c r="AL6" s="8" t="str">
        <f>U6</f>
        <v>iam___roles</v>
      </c>
      <c r="AM6" s="8" t="str">
        <f>IF($I6&gt;=2,$U7,"")</f>
        <v/>
      </c>
      <c r="AN6" s="8" t="str">
        <f>IF($I6&gt;=3,$U8,"")</f>
        <v/>
      </c>
      <c r="AO6" s="8" t="str">
        <f>IF(I6&gt;=4,$U9,"")</f>
        <v/>
      </c>
      <c r="AP6" s="8" t="str">
        <f>IF($I6&gt;=5,$U10,"")</f>
        <v/>
      </c>
      <c r="AQ6" s="8" t="str">
        <f>IF($I6&gt;=6,$U11,"")</f>
        <v/>
      </c>
      <c r="AR6" s="8" t="str">
        <f>IF($I6&gt;=7,$U12,"")</f>
        <v/>
      </c>
      <c r="AS6" s="8" t="str">
        <f>IF(I6&gt;=8,$U13,"")</f>
        <v/>
      </c>
      <c r="AT6" s="8" t="str">
        <f>F6</f>
        <v>Arn</v>
      </c>
      <c r="AU6" s="8" t="str">
        <f>IF($I6&gt;=2,$F7,"")</f>
        <v/>
      </c>
      <c r="AV6" s="8" t="str">
        <f>IF($I6&gt;=3,$F8,"")</f>
        <v/>
      </c>
      <c r="AW6" s="8" t="str">
        <f>IF($I6&gt;=4,$F9,"")</f>
        <v/>
      </c>
      <c r="AX6" s="8" t="str">
        <f>IF($I6&gt;=5,$F10,"")</f>
        <v/>
      </c>
      <c r="AY6" s="8" t="str">
        <f>IF($I6&gt;=6,$F11,"")</f>
        <v/>
      </c>
      <c r="AZ6" s="8" t="str">
        <f>IF($I6&gt;=7,$F12,"")</f>
        <v/>
      </c>
      <c r="BA6" s="8" t="str">
        <f>IF($I6&gt;=8,$F13,"")</f>
        <v/>
      </c>
      <c r="BB6" s="9" t="str">
        <f>IF(OR(R6&lt;&gt;"y",I6&lt;&gt;1),"","SELECT aws_command::text || ' ' || command_parameter::text AS aws_command_string, parameter_source_table, parameter_source_key FROM (SELECT  "&amp;"'"&amp;AB6&amp;"'"&amp;" AS aws_command,"&amp;U6&amp;"."&amp;V6&amp;" -&gt;&gt; "&amp;"'"&amp;F6&amp;"'"&amp;" AS command_parameter, "&amp;"'"&amp;AL6&amp;"'"&amp;" AS parameter_source_table, "&amp;"'"&amp;AT6&amp;"'"&amp;" AS parameter_source_key FROM "&amp;U6&amp;") AS f")</f>
        <v>SELECT aws_command::text || ' ' || command_parameter::text AS aws_command_string, parameter_source_table, parameter_source_key FROM (SELECT  'iam get-context-keys-for-principal-policy --policy-source-arn' AS aws_command,iam___roles.roles -&gt;&gt; 'Arn' AS command_parameter, 'iam___roles' AS parameter_source_table, 'Arn' AS parameter_source_key FROM iam___roles) AS f</v>
      </c>
      <c r="BC6" s="9" t="str">
        <f>IF(AND(H6="y",H5&lt;&gt;"y"),BE6&amp;BF6&amp;BG6&amp;BR6&amp;CC6,"")</f>
        <v/>
      </c>
      <c r="BD6" s="8" t="str">
        <f>"/* recursive command: "&amp;C6&amp;" */ DROP TABLE IF EXISTS "&amp;T6&amp;"; CREATE TABLE "&amp;T6&amp;"(  id SERIAL PRIMARY KEY, "&amp;F6&amp;" TEXT); SELECT "&amp;U6&amp;"."&amp;V6&amp;" -&gt;&gt; '"&amp;F6&amp;"' AS "&amp;V6&amp;" FROM "&amp;U6&amp;" ;"</f>
        <v>/* recursive command: get-context-keys-for-principal-policy */ DROP TABLE IF EXISTS iam___context_keys_for_principal_policy; CREATE TABLE iam___context_keys_for_principal_policy(  id SERIAL PRIMARY KEY, Arn TEXT); SELECT iam___roles.roles -&gt;&gt; 'Arn' AS roles FROM iam___roles ;</v>
      </c>
      <c r="BE6" s="8" t="str">
        <f t="shared" si="3"/>
        <v xml:space="preserve">/* recursive command multi: get-context-keys-for-principal-policy */ </v>
      </c>
      <c r="BF6" s="8" t="str">
        <f t="shared" si="4"/>
        <v xml:space="preserve">DROP TABLE IF EXISTS iam___context_keys_for_principal_policy; </v>
      </c>
      <c r="BG6" s="8" t="str">
        <f t="shared" si="5"/>
        <v>CREATE TABLE iam___context_keys_for_principal_policy(  id SERIAL PRIMARY KEY, arn TEXT );</v>
      </c>
      <c r="BH6" s="8" t="str">
        <f t="shared" si="6"/>
        <v xml:space="preserve">CREATE TABLE iam___context_keys_for_principal_policy(  id SERIAL PRIMARY KEY, </v>
      </c>
      <c r="BI6" s="8" t="str">
        <f>IF($I6&gt;=1,$W6&amp;" TEXT","")</f>
        <v>arn TEXT</v>
      </c>
      <c r="BJ6" s="8" t="str">
        <f>IF($I6&gt;=2,", "&amp;$W7&amp;" TEXT","")</f>
        <v/>
      </c>
      <c r="BK6" s="8" t="str">
        <f>IF($I6&gt;=3,", "&amp;$W8&amp;" TEXT","")</f>
        <v/>
      </c>
      <c r="BL6" s="8" t="str">
        <f>IF($I6&gt;=4,", "&amp;$W9&amp;" TEXT","")</f>
        <v/>
      </c>
      <c r="BM6" s="8" t="str">
        <f>IF($I6&gt;=5,", "&amp;$W10&amp;" TEXT","")</f>
        <v/>
      </c>
      <c r="BN6" s="8" t="str">
        <f>IF($I6&gt;=6,", "&amp;$W11&amp;" TEXT","")</f>
        <v/>
      </c>
      <c r="BO6" s="8" t="str">
        <f>IF($I6&gt;=7,", "&amp;$W12&amp;" TEXT","")</f>
        <v/>
      </c>
      <c r="BP6" s="8" t="str">
        <f>IF($I6&gt;=8,", "&amp;$W13&amp;" TEXT","")</f>
        <v/>
      </c>
      <c r="BQ6" s="8" t="str">
        <f t="shared" si="7"/>
        <v xml:space="preserve"> );</v>
      </c>
      <c r="BR6" s="9" t="str">
        <f t="shared" si="8"/>
        <v xml:space="preserve"> INSERT INTO iam___context_keys_for_principal_policy(arn)</v>
      </c>
      <c r="BS6" s="9" t="str">
        <f t="shared" si="9"/>
        <v xml:space="preserve"> INSERT INTO iam___context_keys_for_principal_policy(</v>
      </c>
      <c r="BT6" s="9" t="str">
        <f>IF($I6&gt;=1,$W6,"")</f>
        <v>arn</v>
      </c>
      <c r="BU6" s="9" t="str">
        <f>IF($I6&gt;=2,", "&amp;$W7,"")</f>
        <v/>
      </c>
      <c r="BV6" s="9" t="str">
        <f>IF($I6&gt;=3,", "&amp;$W8,"")</f>
        <v/>
      </c>
      <c r="BW6" s="9" t="str">
        <f>IF($I6&gt;=4,", "&amp;$W9,"")</f>
        <v/>
      </c>
      <c r="BX6" s="9" t="str">
        <f>IF($I6&gt;=5,", "&amp;$W10,"")</f>
        <v/>
      </c>
      <c r="BY6" s="9" t="str">
        <f>IF($I6&gt;=6,", "&amp;$W11,"")</f>
        <v/>
      </c>
      <c r="BZ6" s="9" t="str">
        <f>IF($I6&gt;=7,", "&amp;$W12,"")</f>
        <v/>
      </c>
      <c r="CA6" s="9" t="str">
        <f>IF($I6&gt;=8,", "&amp;$W13,"")</f>
        <v/>
      </c>
      <c r="CB6" s="9" t="str">
        <f t="shared" si="10"/>
        <v>)</v>
      </c>
      <c r="CC6" s="9" t="str">
        <f t="shared" si="0"/>
        <v xml:space="preserve"> SELECT iam___roles.roles -&gt;&gt; 'Arn' AS roles_arn FROM iam___roles ;</v>
      </c>
      <c r="CD6" s="8" t="str">
        <f>" SELECT "&amp;$U6&amp;"."&amp;$V6&amp;" -&gt;&gt; '"&amp;$F6&amp;"' AS "&amp;$V6&amp;"_"&amp;LOWER(F6)</f>
        <v xml:space="preserve"> SELECT iam___roles.roles -&gt;&gt; 'Arn' AS roles_arn</v>
      </c>
      <c r="CE6" s="8" t="str">
        <f>IF($I6&gt;=2,", "&amp;$U7&amp;"."&amp;$V7&amp;" -&gt;&gt; '"&amp;$F7&amp;"' AS "&amp;$V7&amp;"_"&amp;LOWER(F7),"")</f>
        <v/>
      </c>
      <c r="CF6" s="8" t="str">
        <f>IF($I6&gt;=3,", "&amp;$U8&amp;"."&amp;$V8&amp;" -&gt;&gt; '"&amp;$F8&amp;"' AS "&amp;$V8&amp;"_"&amp;LOWER(F8),"")</f>
        <v/>
      </c>
      <c r="CG6" s="8" t="str">
        <f>IF($I6&gt;=4,", "&amp;$U9&amp;"."&amp;$V9&amp;" -&gt;&gt; '"&amp;$F9&amp;"' AS "&amp;$V9&amp;"_"&amp;LOWER(F9),"")</f>
        <v/>
      </c>
      <c r="CH6" s="8" t="str">
        <f>IF($I6&gt;=5,", "&amp;$U10&amp;"."&amp;$V10&amp;" -&gt;&gt; '"&amp;$F10&amp;"' AS "&amp;$V10&amp;"_"&amp;LOWER(F10),"")</f>
        <v/>
      </c>
      <c r="CI6" s="8" t="str">
        <f>IF($I6&gt;=6,", "&amp;$U11&amp;"."&amp;$V11&amp;" -&gt;&gt; '"&amp;$F11&amp;"' AS "&amp;$V11&amp;"_"&amp;LOWER(F11),"")</f>
        <v/>
      </c>
      <c r="CJ6" s="8" t="str">
        <f>IF($I6&gt;=7,", "&amp;$U12&amp;"."&amp;$V12&amp;" -&gt;&gt; '"&amp;$F12&amp;"' AS "&amp;$V12&amp;"_"&amp;LOWER(F12),"")</f>
        <v/>
      </c>
      <c r="CK6" s="8" t="str">
        <f>IF($I6&gt;=8,", "&amp;$U13&amp;"."&amp;$V13&amp;" -&gt;&gt; '"&amp;$F13&amp;"' AS "&amp;$V13&amp;"_"&amp;LOWER(F13),"")</f>
        <v/>
      </c>
      <c r="CL6" s="8" t="str">
        <f>IF($I6&gt;=1," FROM "&amp;$U6,"")</f>
        <v xml:space="preserve"> FROM iam___roles</v>
      </c>
      <c r="CM6" s="9" t="str">
        <f>IF($I6&gt;=2," "&amp;$AA6&amp;" JOIN "&amp;$U6&amp;" USING ("&amp;$T6&amp;"."&amp;$W6&amp;", "&amp;$U6&amp;"."&amp;$V6&amp;" -&gt;&gt; '"&amp;$F6&amp;"')","")</f>
        <v/>
      </c>
      <c r="CN6" s="9" t="str">
        <f>IF($I6&gt;=3," "&amp;$AA7&amp;" JOIN "&amp;$U7&amp;" USING ("&amp;$T7&amp;"."&amp;$W7&amp;", "&amp;$U7&amp;"."&amp;$V7&amp;" -&gt;&gt; '"&amp;$F7&amp;"')","")</f>
        <v/>
      </c>
      <c r="CO6" s="9" t="str">
        <f>IF($I6&gt;=4," "&amp;$AA8&amp;" JOIN "&amp;$U8&amp;" USING ("&amp;$T8&amp;"."&amp;$W8&amp;", "&amp;$U8&amp;"."&amp;$V8&amp;" -&gt;&gt; '"&amp;$F8&amp;"')","")</f>
        <v/>
      </c>
      <c r="CP6" s="9" t="str">
        <f>IF($I6&gt;=5," "&amp;$AA9&amp;" JOIN "&amp;$U9&amp;" USING ("&amp;$T9&amp;"."&amp;$W9&amp;", "&amp;$U9&amp;"."&amp;$V9&amp;" -&gt;&gt; '"&amp;$F9&amp;"')","")</f>
        <v/>
      </c>
      <c r="CQ6" s="9" t="str">
        <f>IF($I6&gt;=6," "&amp;$AA10&amp;" JOIN "&amp;$U10&amp;" USING ("&amp;$T10&amp;"."&amp;$W10&amp;", "&amp;$U10&amp;"."&amp;$V10&amp;" -&gt;&gt; '"&amp;$F10&amp;"')","")</f>
        <v/>
      </c>
      <c r="CR6" s="8" t="str">
        <f>IF($I6&gt;=7," "&amp;$AA11&amp;" JOIN "&amp;$U11&amp;" USING ("&amp;$T11&amp;"."&amp;$W11&amp;", "&amp;$U11&amp;"."&amp;$V11&amp;" -&gt;&gt; '"&amp;$F11&amp;"')","")</f>
        <v/>
      </c>
      <c r="CS6" s="8" t="str">
        <f>IF($I6&gt;=8," "&amp;$AA12&amp;" JOIN "&amp;$U12&amp;" USING ("&amp;$T12&amp;"."&amp;$W12&amp;", "&amp;$U12&amp;"."&amp;$V12&amp;" -&gt;&gt; '"&amp;$F12&amp;"')","")</f>
        <v/>
      </c>
      <c r="CT6" s="8" t="str">
        <f t="shared" si="11"/>
        <v xml:space="preserve"> ;</v>
      </c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</row>
    <row r="7" spans="1:202" x14ac:dyDescent="0.25">
      <c r="A7">
        <v>6</v>
      </c>
      <c r="B7" s="4" t="s">
        <v>0</v>
      </c>
      <c r="C7" s="4" t="s">
        <v>16</v>
      </c>
      <c r="D7" s="4" t="s">
        <v>0</v>
      </c>
      <c r="E7" s="4" t="s">
        <v>15</v>
      </c>
      <c r="F7" s="4" t="s">
        <v>18</v>
      </c>
      <c r="G7" s="7" t="s">
        <v>72</v>
      </c>
      <c r="H7" s="7" t="s">
        <v>72</v>
      </c>
      <c r="I7" s="7">
        <v>1</v>
      </c>
      <c r="J7" s="7" t="s">
        <v>72</v>
      </c>
      <c r="K7" s="7">
        <v>1</v>
      </c>
      <c r="L7" s="4" t="s">
        <v>17</v>
      </c>
      <c r="M7" s="7" t="s">
        <v>72</v>
      </c>
      <c r="N7" s="4"/>
      <c r="O7" s="7"/>
      <c r="P7" s="4"/>
      <c r="Q7" s="8" t="str">
        <f>VLOOKUP($C7,aws_cli_commands!$C$2:$E$10000,2,FALSE)</f>
        <v>n</v>
      </c>
      <c r="R7" s="8" t="str">
        <f>VLOOKUP($C7,aws_cli_commands!$C$2:$E$10000,3,FALSE)</f>
        <v>y</v>
      </c>
      <c r="S7" s="8" t="str">
        <f>IF(OR(C7=C6,C7=C8),"y","n")</f>
        <v>n</v>
      </c>
      <c r="T7" s="8" t="str">
        <f>B7&amp;"___"&amp;SUBSTITUTE(RIGHT(C7,LEN(C7)-FIND("-",C7)),"-","_")</f>
        <v>iam___group</v>
      </c>
      <c r="U7" s="8" t="str">
        <f>SUBSTITUTE(D7&amp;"___"&amp;RIGHT(E7,LEN(E7)-FIND("-",E7)),"-","_")</f>
        <v>iam___groups</v>
      </c>
      <c r="V7" s="8" t="str">
        <f>SUBSTITUTE(RIGHT($E7,LEN($E7)-FIND("-",$E7)),"-","_")</f>
        <v>groups</v>
      </c>
      <c r="W7" s="8" t="str">
        <f>IF(G7="y",V7&amp;"_"&amp;LOWER(F7),IF(M7="y","**hardcoded**",LOWER(F7)))</f>
        <v>groupname</v>
      </c>
      <c r="X7" s="8" t="str">
        <f t="shared" si="1"/>
        <v>n</v>
      </c>
      <c r="Y7" s="8">
        <f>IF(AND($C7=$C7,$M7="y"),1,0)+IF(AND($C6=$C7,$M6="y"),1,0)+IF(AND($C5=$C7,$M5="y"),1,0)+IF(AND($C4=$C7,$M4="y"),1,0)+IF(AND($C3=$C7,$M3="y"),1,0)+IF(AND($C2=$C7,$M2="y"),1,0)+IF(AND($C1=$C7,$M1="y"),1,0)</f>
        <v>0</v>
      </c>
      <c r="Z7" s="8">
        <f>IF(AND($C7=$C7,$M7="y"),1,0)+IF(AND($C7=$C8,$M8="y"),1,0)+IF(AND($C7=$C9,$M9="y"),1,0)+IF(AND($C7=$C10,$M10="y"),1,0)+IF(AND($C7=$C11,$M11="y"),1,0)+IF(AND($C7=$C12,$M12="y"),1,0)+IF(AND($C7=$C13,$M13="y"),1,0)+IF(AND($C7=$C14,$M14="y"),1,0)+IF(AND($C7=$C15,$M15="y"),1,0)</f>
        <v>0</v>
      </c>
      <c r="AA7" s="8" t="s">
        <v>127</v>
      </c>
      <c r="AB7" s="9" t="str">
        <f>IF(AND($H7="y",$C7&lt;&gt;$C6),B7&amp;" "&amp;AC7&amp;AD7&amp;AE7&amp;AF7&amp;AG7&amp;AH7&amp;AI7&amp;AJ7&amp;AK7,IF(H7="n",B7&amp;" "&amp;AC7&amp;AD7&amp;AE7&amp;AF7&amp;AG7&amp;AH7&amp;AI7&amp;AJ7&amp;AK7,""))</f>
        <v>iam get-group --group-name</v>
      </c>
      <c r="AC7" s="8" t="str">
        <f t="shared" si="2"/>
        <v>get-group</v>
      </c>
      <c r="AD7" s="8" t="str">
        <f>IF($I7&gt;=1," "&amp;$L7,"")</f>
        <v xml:space="preserve"> --group-name</v>
      </c>
      <c r="AE7" s="8" t="str">
        <f>IF($I7&gt;=2," "&amp;$L8,"")</f>
        <v/>
      </c>
      <c r="AF7" s="8" t="str">
        <f>IF($I7&gt;=3," "&amp;$L9,"")</f>
        <v/>
      </c>
      <c r="AG7" s="8" t="str">
        <f>IF($I7&gt;=4," "&amp;$L10,"")</f>
        <v/>
      </c>
      <c r="AH7" s="8" t="str">
        <f>IF($I7&gt;=5," "&amp;$L11,"")</f>
        <v/>
      </c>
      <c r="AI7" s="8" t="str">
        <f>IF($I7&gt;=6," "&amp;$L12,"")</f>
        <v/>
      </c>
      <c r="AJ7" s="8" t="str">
        <f>IF($I7&gt;=7," "&amp;$L13,"")</f>
        <v/>
      </c>
      <c r="AK7" s="8" t="str">
        <f>IF($I7&gt;=8," "&amp;$L14,"")</f>
        <v/>
      </c>
      <c r="AL7" s="8" t="str">
        <f>U7</f>
        <v>iam___groups</v>
      </c>
      <c r="AM7" s="8" t="str">
        <f>IF($I7&gt;=2,$U8,"")</f>
        <v/>
      </c>
      <c r="AN7" s="8" t="str">
        <f>IF($I7&gt;=3,$U9,"")</f>
        <v/>
      </c>
      <c r="AO7" s="8" t="str">
        <f>IF(I7&gt;=4,$U10,"")</f>
        <v/>
      </c>
      <c r="AP7" s="8" t="str">
        <f>IF($I7&gt;=5,$U11,"")</f>
        <v/>
      </c>
      <c r="AQ7" s="8" t="str">
        <f>IF($I7&gt;=6,$U12,"")</f>
        <v/>
      </c>
      <c r="AR7" s="8" t="str">
        <f>IF($I7&gt;=7,$U13,"")</f>
        <v/>
      </c>
      <c r="AS7" s="8" t="str">
        <f>IF(I7&gt;=8,$U14,"")</f>
        <v/>
      </c>
      <c r="AT7" s="8" t="str">
        <f>F7</f>
        <v>GroupName</v>
      </c>
      <c r="AU7" s="8" t="str">
        <f>IF($I7&gt;=2,$F8,"")</f>
        <v/>
      </c>
      <c r="AV7" s="8" t="str">
        <f>IF($I7&gt;=3,$F9,"")</f>
        <v/>
      </c>
      <c r="AW7" s="8" t="str">
        <f>IF($I7&gt;=4,$F10,"")</f>
        <v/>
      </c>
      <c r="AX7" s="8" t="str">
        <f>IF($I7&gt;=5,$F11,"")</f>
        <v/>
      </c>
      <c r="AY7" s="8" t="str">
        <f>IF($I7&gt;=6,$F12,"")</f>
        <v/>
      </c>
      <c r="AZ7" s="8" t="str">
        <f>IF($I7&gt;=7,$F13,"")</f>
        <v/>
      </c>
      <c r="BA7" s="8" t="str">
        <f>IF($I7&gt;=8,$F14,"")</f>
        <v/>
      </c>
      <c r="BB7" s="9" t="str">
        <f>IF(OR(R7&lt;&gt;"y",I7&lt;&gt;1),"","SELECT aws_command::text || ' ' || command_parameter::text AS aws_command_string, parameter_source_table, parameter_source_key FROM (SELECT  "&amp;"'"&amp;AB7&amp;"'"&amp;" AS aws_command,"&amp;U7&amp;"."&amp;V7&amp;" -&gt;&gt; "&amp;"'"&amp;F7&amp;"'"&amp;" AS command_parameter, "&amp;"'"&amp;AL7&amp;"'"&amp;" AS parameter_source_table, "&amp;"'"&amp;AT7&amp;"'"&amp;" AS parameter_source_key FROM "&amp;U7&amp;") AS f")</f>
        <v>SELECT aws_command::text || ' ' || command_parameter::text AS aws_command_string, parameter_source_table, parameter_source_key FROM (SELECT  'iam get-group --group-name' AS aws_command,iam___groups.groups -&gt;&gt; 'GroupName' AS command_parameter, 'iam___groups' AS parameter_source_table, 'GroupName' AS parameter_source_key FROM iam___groups) AS f</v>
      </c>
      <c r="BC7" s="9" t="str">
        <f>IF(AND(H7="y",H6&lt;&gt;"y"),BE7&amp;BF7&amp;BG7&amp;BR7&amp;CC7,"")</f>
        <v/>
      </c>
      <c r="BD7" s="8" t="str">
        <f>"/* recursive command: "&amp;C7&amp;" */ DROP TABLE IF EXISTS "&amp;T7&amp;"; CREATE TABLE "&amp;T7&amp;"(  id SERIAL PRIMARY KEY, "&amp;F7&amp;" TEXT); SELECT "&amp;U7&amp;"."&amp;V7&amp;" -&gt;&gt; '"&amp;F7&amp;"' AS "&amp;V7&amp;" FROM "&amp;U7&amp;" ;"</f>
        <v>/* recursive command: get-group */ DROP TABLE IF EXISTS iam___group; CREATE TABLE iam___group(  id SERIAL PRIMARY KEY, GroupName TEXT); SELECT iam___groups.groups -&gt;&gt; 'GroupName' AS groups FROM iam___groups ;</v>
      </c>
      <c r="BE7" s="8" t="str">
        <f t="shared" si="3"/>
        <v xml:space="preserve">/* recursive command multi: get-group */ </v>
      </c>
      <c r="BF7" s="8" t="str">
        <f t="shared" si="4"/>
        <v xml:space="preserve">DROP TABLE IF EXISTS iam___group; </v>
      </c>
      <c r="BG7" s="8" t="str">
        <f t="shared" si="5"/>
        <v>CREATE TABLE iam___group(  id SERIAL PRIMARY KEY, groupname TEXT );</v>
      </c>
      <c r="BH7" s="8" t="str">
        <f t="shared" si="6"/>
        <v xml:space="preserve">CREATE TABLE iam___group(  id SERIAL PRIMARY KEY, </v>
      </c>
      <c r="BI7" s="8" t="str">
        <f>IF($I7&gt;=1,$W7&amp;" TEXT","")</f>
        <v>groupname TEXT</v>
      </c>
      <c r="BJ7" s="8" t="str">
        <f>IF($I7&gt;=2,", "&amp;$W8&amp;" TEXT","")</f>
        <v/>
      </c>
      <c r="BK7" s="8" t="str">
        <f>IF($I7&gt;=3,", "&amp;$W9&amp;" TEXT","")</f>
        <v/>
      </c>
      <c r="BL7" s="8" t="str">
        <f>IF($I7&gt;=4,", "&amp;$W10&amp;" TEXT","")</f>
        <v/>
      </c>
      <c r="BM7" s="8" t="str">
        <f>IF($I7&gt;=5,", "&amp;$W11&amp;" TEXT","")</f>
        <v/>
      </c>
      <c r="BN7" s="8" t="str">
        <f>IF($I7&gt;=6,", "&amp;$W12&amp;" TEXT","")</f>
        <v/>
      </c>
      <c r="BO7" s="8" t="str">
        <f>IF($I7&gt;=7,", "&amp;$W13&amp;" TEXT","")</f>
        <v/>
      </c>
      <c r="BP7" s="8" t="str">
        <f>IF($I7&gt;=8,", "&amp;$W14&amp;" TEXT","")</f>
        <v/>
      </c>
      <c r="BQ7" s="8" t="str">
        <f t="shared" si="7"/>
        <v xml:space="preserve"> );</v>
      </c>
      <c r="BR7" s="9" t="str">
        <f t="shared" si="8"/>
        <v xml:space="preserve"> INSERT INTO iam___group(groupname)</v>
      </c>
      <c r="BS7" s="9" t="str">
        <f t="shared" si="9"/>
        <v xml:space="preserve"> INSERT INTO iam___group(</v>
      </c>
      <c r="BT7" s="9" t="str">
        <f>IF($I7&gt;=1,$W7,"")</f>
        <v>groupname</v>
      </c>
      <c r="BU7" s="9" t="str">
        <f>IF($I7&gt;=2,", "&amp;$W8,"")</f>
        <v/>
      </c>
      <c r="BV7" s="9" t="str">
        <f>IF($I7&gt;=3,", "&amp;$W9,"")</f>
        <v/>
      </c>
      <c r="BW7" s="9" t="str">
        <f>IF($I7&gt;=4,", "&amp;$W10,"")</f>
        <v/>
      </c>
      <c r="BX7" s="9" t="str">
        <f>IF($I7&gt;=5,", "&amp;$W11,"")</f>
        <v/>
      </c>
      <c r="BY7" s="9" t="str">
        <f>IF($I7&gt;=6,", "&amp;$W12,"")</f>
        <v/>
      </c>
      <c r="BZ7" s="9" t="str">
        <f>IF($I7&gt;=7,", "&amp;$W13,"")</f>
        <v/>
      </c>
      <c r="CA7" s="9" t="str">
        <f>IF($I7&gt;=8,", "&amp;$W14,"")</f>
        <v/>
      </c>
      <c r="CB7" s="9" t="str">
        <f t="shared" si="10"/>
        <v>)</v>
      </c>
      <c r="CC7" s="9" t="str">
        <f t="shared" si="0"/>
        <v xml:space="preserve"> SELECT iam___groups.groups -&gt;&gt; 'GroupName' AS groups_groupname FROM iam___groups ;</v>
      </c>
      <c r="CD7" s="8" t="str">
        <f>" SELECT "&amp;$U7&amp;"."&amp;$V7&amp;" -&gt;&gt; '"&amp;$F7&amp;"' AS "&amp;$V7&amp;"_"&amp;LOWER(F7)</f>
        <v xml:space="preserve"> SELECT iam___groups.groups -&gt;&gt; 'GroupName' AS groups_groupname</v>
      </c>
      <c r="CE7" s="8" t="str">
        <f>IF($I7&gt;=2,", "&amp;$U8&amp;"."&amp;$V8&amp;" -&gt;&gt; '"&amp;$F8&amp;"' AS "&amp;$V8&amp;"_"&amp;LOWER(F8),"")</f>
        <v/>
      </c>
      <c r="CF7" s="8" t="str">
        <f>IF($I7&gt;=3,", "&amp;$U9&amp;"."&amp;$V9&amp;" -&gt;&gt; '"&amp;$F9&amp;"' AS "&amp;$V9&amp;"_"&amp;LOWER(F9),"")</f>
        <v/>
      </c>
      <c r="CG7" s="8" t="str">
        <f>IF($I7&gt;=4,", "&amp;$U10&amp;"."&amp;$V10&amp;" -&gt;&gt; '"&amp;$F10&amp;"' AS "&amp;$V10&amp;"_"&amp;LOWER(F10),"")</f>
        <v/>
      </c>
      <c r="CH7" s="8" t="str">
        <f>IF($I7&gt;=5,", "&amp;$U11&amp;"."&amp;$V11&amp;" -&gt;&gt; '"&amp;$F11&amp;"' AS "&amp;$V11&amp;"_"&amp;LOWER(F11),"")</f>
        <v/>
      </c>
      <c r="CI7" s="8" t="str">
        <f>IF($I7&gt;=6,", "&amp;$U12&amp;"."&amp;$V12&amp;" -&gt;&gt; '"&amp;$F12&amp;"' AS "&amp;$V12&amp;"_"&amp;LOWER(F12),"")</f>
        <v/>
      </c>
      <c r="CJ7" s="8" t="str">
        <f>IF($I7&gt;=7,", "&amp;$U13&amp;"."&amp;$V13&amp;" -&gt;&gt; '"&amp;$F13&amp;"' AS "&amp;$V13&amp;"_"&amp;LOWER(F13),"")</f>
        <v/>
      </c>
      <c r="CK7" s="8" t="str">
        <f>IF($I7&gt;=8,", "&amp;$U14&amp;"."&amp;$V14&amp;" -&gt;&gt; '"&amp;$F14&amp;"' AS "&amp;$V14&amp;"_"&amp;LOWER(F14),"")</f>
        <v/>
      </c>
      <c r="CL7" s="8" t="str">
        <f>IF($I7&gt;=1," FROM "&amp;$U7,"")</f>
        <v xml:space="preserve"> FROM iam___groups</v>
      </c>
      <c r="CM7" s="9" t="str">
        <f>IF($I7&gt;=2," "&amp;$AA7&amp;" JOIN "&amp;$U7&amp;" USING ("&amp;$T7&amp;"."&amp;$W7&amp;", "&amp;$U7&amp;"."&amp;$V7&amp;" -&gt;&gt; '"&amp;$F7&amp;"')","")</f>
        <v/>
      </c>
      <c r="CN7" s="9" t="str">
        <f>IF($I7&gt;=3," "&amp;$AA8&amp;" JOIN "&amp;$U8&amp;" USING ("&amp;$T8&amp;"."&amp;$W8&amp;", "&amp;$U8&amp;"."&amp;$V8&amp;" -&gt;&gt; '"&amp;$F8&amp;"')","")</f>
        <v/>
      </c>
      <c r="CO7" s="9" t="str">
        <f>IF($I7&gt;=4," "&amp;$AA9&amp;" JOIN "&amp;$U9&amp;" USING ("&amp;$T9&amp;"."&amp;$W9&amp;", "&amp;$U9&amp;"."&amp;$V9&amp;" -&gt;&gt; '"&amp;$F9&amp;"')","")</f>
        <v/>
      </c>
      <c r="CP7" s="9" t="str">
        <f>IF($I7&gt;=5," "&amp;$AA10&amp;" JOIN "&amp;$U10&amp;" USING ("&amp;$T10&amp;"."&amp;$W10&amp;", "&amp;$U10&amp;"."&amp;$V10&amp;" -&gt;&gt; '"&amp;$F10&amp;"')","")</f>
        <v/>
      </c>
      <c r="CQ7" s="9" t="str">
        <f>IF($I7&gt;=6," "&amp;$AA11&amp;" JOIN "&amp;$U11&amp;" USING ("&amp;$T11&amp;"."&amp;$W11&amp;", "&amp;$U11&amp;"."&amp;$V11&amp;" -&gt;&gt; '"&amp;$F11&amp;"')","")</f>
        <v/>
      </c>
      <c r="CR7" s="8" t="str">
        <f>IF($I7&gt;=7," "&amp;$AA12&amp;" JOIN "&amp;$U12&amp;" USING ("&amp;$T12&amp;"."&amp;$W12&amp;", "&amp;$U12&amp;"."&amp;$V12&amp;" -&gt;&gt; '"&amp;$F12&amp;"')","")</f>
        <v/>
      </c>
      <c r="CS7" s="8" t="str">
        <f>IF($I7&gt;=8," "&amp;$AA13&amp;" JOIN "&amp;$U13&amp;" USING ("&amp;$T13&amp;"."&amp;$W13&amp;", "&amp;$U13&amp;"."&amp;$V13&amp;" -&gt;&gt; '"&amp;$F13&amp;"')","")</f>
        <v/>
      </c>
      <c r="CT7" s="8" t="str">
        <f t="shared" si="11"/>
        <v xml:space="preserve"> ;</v>
      </c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</row>
    <row r="8" spans="1:202" x14ac:dyDescent="0.25">
      <c r="A8">
        <v>7</v>
      </c>
      <c r="B8" s="4" t="s">
        <v>0</v>
      </c>
      <c r="C8" s="4" t="s">
        <v>60</v>
      </c>
      <c r="D8" s="4" t="s">
        <v>0</v>
      </c>
      <c r="E8" s="4" t="s">
        <v>15</v>
      </c>
      <c r="F8" s="4" t="s">
        <v>18</v>
      </c>
      <c r="G8" s="7" t="s">
        <v>72</v>
      </c>
      <c r="H8" s="7" t="s">
        <v>71</v>
      </c>
      <c r="I8" s="7">
        <v>2</v>
      </c>
      <c r="J8" s="7" t="s">
        <v>71</v>
      </c>
      <c r="K8" s="7">
        <v>2</v>
      </c>
      <c r="L8" s="4" t="s">
        <v>17</v>
      </c>
      <c r="M8" s="7" t="s">
        <v>72</v>
      </c>
      <c r="N8" s="4"/>
      <c r="O8" s="7"/>
      <c r="P8" s="4"/>
      <c r="Q8" s="8" t="str">
        <f>VLOOKUP($C8,aws_cli_commands!$C$2:$E$10000,2,FALSE)</f>
        <v>n</v>
      </c>
      <c r="R8" s="8" t="str">
        <f>VLOOKUP($C8,aws_cli_commands!$C$2:$E$10000,3,FALSE)</f>
        <v>y</v>
      </c>
      <c r="S8" s="8" t="str">
        <f>IF(OR(C8=C7,C8=C9),"y","n")</f>
        <v>y</v>
      </c>
      <c r="T8" s="8" t="str">
        <f>B8&amp;"___"&amp;SUBSTITUTE(RIGHT(C8,LEN(C8)-FIND("-",C8)),"-","_")</f>
        <v>iam___group_policy</v>
      </c>
      <c r="U8" s="8" t="str">
        <f>SUBSTITUTE(D8&amp;"___"&amp;RIGHT(E8,LEN(E8)-FIND("-",E8)),"-","_")</f>
        <v>iam___groups</v>
      </c>
      <c r="V8" s="8" t="str">
        <f>SUBSTITUTE(RIGHT($E8,LEN($E8)-FIND("-",$E8)),"-","_")</f>
        <v>groups</v>
      </c>
      <c r="W8" s="8" t="str">
        <f>IF(G8="y",V8&amp;"_"&amp;LOWER(F8),IF(M8="y","**hardcoded**",LOWER(F8)))</f>
        <v>groupname</v>
      </c>
      <c r="X8" s="8" t="str">
        <f t="shared" si="1"/>
        <v>n</v>
      </c>
      <c r="Y8" s="8">
        <f>IF(AND($C8=$C8,$M8="y"),1,0)+IF(AND($C7=$C8,$M7="y"),1,0)+IF(AND($C6=$C8,$M6="y"),1,0)+IF(AND($C5=$C8,$M5="y"),1,0)+IF(AND($C4=$C8,$M4="y"),1,0)+IF(AND($C3=$C8,$M3="y"),1,0)+IF(AND($C2=$C8,$M2="y"),1,0)+IF(AND($C1=$C8,$M1="y"),1,0)</f>
        <v>0</v>
      </c>
      <c r="Z8" s="8">
        <f>IF(AND($C8=$C8,$M8="y"),1,0)+IF(AND($C8=$C9,$M9="y"),1,0)+IF(AND($C8=$C10,$M10="y"),1,0)+IF(AND($C8=$C11,$M11="y"),1,0)+IF(AND($C8=$C12,$M12="y"),1,0)+IF(AND($C8=$C13,$M13="y"),1,0)+IF(AND($C8=$C14,$M14="y"),1,0)+IF(AND($C8=$C15,$M15="y"),1,0)+IF(AND($C8=$C16,$M16="y"),1,0)</f>
        <v>0</v>
      </c>
      <c r="AA8" s="8" t="s">
        <v>127</v>
      </c>
      <c r="AB8" s="9" t="str">
        <f>IF(AND($H8="y",$C8&lt;&gt;$C7),B8&amp;" "&amp;AC8&amp;AD8&amp;AE8&amp;AF8&amp;AG8&amp;AH8&amp;AI8&amp;AJ8&amp;AK8,IF(H8="n",B8&amp;" "&amp;AC8&amp;AD8&amp;AE8&amp;AF8&amp;AG8&amp;AH8&amp;AI8&amp;AJ8&amp;AK8,""))</f>
        <v>iam get-group-policy --group-name --policy-name</v>
      </c>
      <c r="AC8" s="8" t="str">
        <f t="shared" si="2"/>
        <v>get-group-policy</v>
      </c>
      <c r="AD8" s="8" t="str">
        <f>IF($I8&gt;=1," "&amp;$L8,"")</f>
        <v xml:space="preserve"> --group-name</v>
      </c>
      <c r="AE8" s="8" t="str">
        <f>IF($I8&gt;=2," "&amp;$L9,"")</f>
        <v xml:space="preserve"> --policy-name</v>
      </c>
      <c r="AF8" s="8" t="str">
        <f>IF($I8&gt;=3," "&amp;$L10,"")</f>
        <v/>
      </c>
      <c r="AG8" s="8" t="str">
        <f>IF($I8&gt;=4," "&amp;$L11,"")</f>
        <v/>
      </c>
      <c r="AH8" s="8" t="str">
        <f>IF($I8&gt;=5," "&amp;$L12,"")</f>
        <v/>
      </c>
      <c r="AI8" s="8" t="str">
        <f>IF($I8&gt;=6," "&amp;$L13,"")</f>
        <v/>
      </c>
      <c r="AJ8" s="8" t="str">
        <f>IF($I8&gt;=7," "&amp;$L14,"")</f>
        <v/>
      </c>
      <c r="AK8" s="8" t="str">
        <f>IF($I8&gt;=8," "&amp;$L15,"")</f>
        <v/>
      </c>
      <c r="AL8" s="8" t="str">
        <f>U8</f>
        <v>iam___groups</v>
      </c>
      <c r="AM8" s="8" t="str">
        <f>IF($I8&gt;=2,$U9,"")</f>
        <v>iam___group_policies</v>
      </c>
      <c r="AN8" s="8" t="str">
        <f>IF($I8&gt;=3,$U10,"")</f>
        <v/>
      </c>
      <c r="AO8" s="8" t="str">
        <f>IF(I8&gt;=4,$U11,"")</f>
        <v/>
      </c>
      <c r="AP8" s="8" t="str">
        <f>IF($I8&gt;=5,$U12,"")</f>
        <v/>
      </c>
      <c r="AQ8" s="8" t="str">
        <f>IF($I8&gt;=6,$U13,"")</f>
        <v/>
      </c>
      <c r="AR8" s="8" t="str">
        <f>IF($I8&gt;=7,$U14,"")</f>
        <v/>
      </c>
      <c r="AS8" s="8" t="str">
        <f>IF(I8&gt;=8,$U15,"")</f>
        <v/>
      </c>
      <c r="AT8" s="8" t="str">
        <f>F8</f>
        <v>GroupName</v>
      </c>
      <c r="AU8" s="8" t="str">
        <f>IF($I8&gt;=2,$F9,"")</f>
        <v>PolicyNames</v>
      </c>
      <c r="AV8" s="8" t="str">
        <f>IF($I8&gt;=3,$F10,"")</f>
        <v/>
      </c>
      <c r="AW8" s="8" t="str">
        <f>IF($I8&gt;=4,$F11,"")</f>
        <v/>
      </c>
      <c r="AX8" s="8" t="str">
        <f>IF($I8&gt;=5,$F12,"")</f>
        <v/>
      </c>
      <c r="AY8" s="8" t="str">
        <f>IF($I8&gt;=6,$F13,"")</f>
        <v/>
      </c>
      <c r="AZ8" s="8" t="str">
        <f>IF($I8&gt;=7,$F14,"")</f>
        <v/>
      </c>
      <c r="BA8" s="8" t="str">
        <f>IF($I8&gt;=8,$F15,"")</f>
        <v/>
      </c>
      <c r="BB8" s="9" t="str">
        <f>IF(OR(R8&lt;&gt;"y",I8&lt;&gt;1),"","SELECT aws_command::text || ' ' || command_parameter::text AS aws_command_string, parameter_source_table, parameter_source_key FROM (SELECT  "&amp;"'"&amp;AB8&amp;"'"&amp;" AS aws_command,"&amp;U8&amp;"."&amp;V8&amp;" -&gt;&gt; "&amp;"'"&amp;F8&amp;"'"&amp;" AS command_parameter, "&amp;"'"&amp;AL8&amp;"'"&amp;" AS parameter_source_table, "&amp;"'"&amp;AT8&amp;"'"&amp;" AS parameter_source_key FROM "&amp;U8&amp;") AS f")</f>
        <v/>
      </c>
      <c r="BC8" s="9" t="str">
        <f>IF(AND(H8="y",H7&lt;&gt;"y"),BE8&amp;BF8&amp;BG8&amp;BR8&amp;CC8,"")</f>
        <v>/* recursive command multi: get-group-policy */ DROP TABLE IF EXISTS iam___group_policy; CREATE TABLE iam___group_policy(  id SERIAL PRIMARY KEY, groupname TEXT, group_policies_policynames TEXT ); INSERT INTO iam___group_policy(groupname, group_policies_policynames) SELECT iam___groups.groups -&gt;&gt; 'GroupName' AS groups_groupname, iam___group_policies.group_policies -&gt;&gt; 'PolicyNames' AS group_policies_policynames FROM iam___groups INNER JOIN iam___groups USING (iam___group_policy.groupname, iam___groups.groups -&gt;&gt; 'GroupName') ;</v>
      </c>
      <c r="BD8" s="8" t="str">
        <f>"/* recursive command: "&amp;C8&amp;" */ DROP TABLE IF EXISTS "&amp;T8&amp;"; CREATE TABLE "&amp;T8&amp;"(  id SERIAL PRIMARY KEY, "&amp;F8&amp;" TEXT); SELECT "&amp;U8&amp;"."&amp;V8&amp;" -&gt;&gt; '"&amp;F8&amp;"' AS "&amp;V8&amp;" FROM "&amp;U8&amp;" ;"</f>
        <v>/* recursive command: get-group-policy */ DROP TABLE IF EXISTS iam___group_policy; CREATE TABLE iam___group_policy(  id SERIAL PRIMARY KEY, GroupName TEXT); SELECT iam___groups.groups -&gt;&gt; 'GroupName' AS groups FROM iam___groups ;</v>
      </c>
      <c r="BE8" s="8" t="str">
        <f t="shared" si="3"/>
        <v xml:space="preserve">/* recursive command multi: get-group-policy */ </v>
      </c>
      <c r="BF8" s="8" t="str">
        <f t="shared" si="4"/>
        <v xml:space="preserve">DROP TABLE IF EXISTS iam___group_policy; </v>
      </c>
      <c r="BG8" s="8" t="str">
        <f t="shared" si="5"/>
        <v>CREATE TABLE iam___group_policy(  id SERIAL PRIMARY KEY, groupname TEXT, group_policies_policynames TEXT );</v>
      </c>
      <c r="BH8" s="8" t="str">
        <f t="shared" si="6"/>
        <v xml:space="preserve">CREATE TABLE iam___group_policy(  id SERIAL PRIMARY KEY, </v>
      </c>
      <c r="BI8" s="8" t="str">
        <f>IF($I8&gt;=1,$W8&amp;" TEXT","")</f>
        <v>groupname TEXT</v>
      </c>
      <c r="BJ8" s="8" t="str">
        <f>IF($I8&gt;=2,", "&amp;$W9&amp;" TEXT","")</f>
        <v>, group_policies_policynames TEXT</v>
      </c>
      <c r="BK8" s="8" t="str">
        <f>IF($I8&gt;=3,", "&amp;$W10&amp;" TEXT","")</f>
        <v/>
      </c>
      <c r="BL8" s="8" t="str">
        <f>IF($I8&gt;=4,", "&amp;$W11&amp;" TEXT","")</f>
        <v/>
      </c>
      <c r="BM8" s="8" t="str">
        <f>IF($I8&gt;=5,", "&amp;$W12&amp;" TEXT","")</f>
        <v/>
      </c>
      <c r="BN8" s="8" t="str">
        <f>IF($I8&gt;=6,", "&amp;$W13&amp;" TEXT","")</f>
        <v/>
      </c>
      <c r="BO8" s="8" t="str">
        <f>IF($I8&gt;=7,", "&amp;$W14&amp;" TEXT","")</f>
        <v/>
      </c>
      <c r="BP8" s="8" t="str">
        <f>IF($I8&gt;=8,", "&amp;$W15&amp;" TEXT","")</f>
        <v/>
      </c>
      <c r="BQ8" s="8" t="str">
        <f t="shared" si="7"/>
        <v xml:space="preserve"> );</v>
      </c>
      <c r="BR8" s="9" t="str">
        <f t="shared" si="8"/>
        <v xml:space="preserve"> INSERT INTO iam___group_policy(groupname, group_policies_policynames)</v>
      </c>
      <c r="BS8" s="9" t="str">
        <f t="shared" si="9"/>
        <v xml:space="preserve"> INSERT INTO iam___group_policy(</v>
      </c>
      <c r="BT8" s="9" t="str">
        <f>IF($I8&gt;=1,$W8,"")</f>
        <v>groupname</v>
      </c>
      <c r="BU8" s="9" t="str">
        <f>IF($I8&gt;=2,", "&amp;$W9,"")</f>
        <v>, group_policies_policynames</v>
      </c>
      <c r="BV8" s="9" t="str">
        <f>IF($I8&gt;=3,", "&amp;$W10,"")</f>
        <v/>
      </c>
      <c r="BW8" s="9" t="str">
        <f>IF($I8&gt;=4,", "&amp;$W11,"")</f>
        <v/>
      </c>
      <c r="BX8" s="9" t="str">
        <f>IF($I8&gt;=5,", "&amp;$W12,"")</f>
        <v/>
      </c>
      <c r="BY8" s="9" t="str">
        <f>IF($I8&gt;=6,", "&amp;$W13,"")</f>
        <v/>
      </c>
      <c r="BZ8" s="9" t="str">
        <f>IF($I8&gt;=7,", "&amp;$W14,"")</f>
        <v/>
      </c>
      <c r="CA8" s="9" t="str">
        <f>IF($I8&gt;=8,", "&amp;$W15,"")</f>
        <v/>
      </c>
      <c r="CB8" s="9" t="str">
        <f t="shared" si="10"/>
        <v>)</v>
      </c>
      <c r="CC8" s="9" t="str">
        <f t="shared" si="0"/>
        <v xml:space="preserve"> SELECT iam___groups.groups -&gt;&gt; 'GroupName' AS groups_groupname, iam___group_policies.group_policies -&gt;&gt; 'PolicyNames' AS group_policies_policynames FROM iam___groups INNER JOIN iam___groups USING (iam___group_policy.groupname, iam___groups.groups -&gt;&gt; 'GroupName') ;</v>
      </c>
      <c r="CD8" s="8" t="str">
        <f>" SELECT "&amp;$U8&amp;"."&amp;$V8&amp;" -&gt;&gt; '"&amp;$F8&amp;"' AS "&amp;$V8&amp;"_"&amp;LOWER(F8)</f>
        <v xml:space="preserve"> SELECT iam___groups.groups -&gt;&gt; 'GroupName' AS groups_groupname</v>
      </c>
      <c r="CE8" s="8" t="str">
        <f>IF($I8&gt;=2,", "&amp;$U9&amp;"."&amp;$V9&amp;" -&gt;&gt; '"&amp;$F9&amp;"' AS "&amp;$V9&amp;"_"&amp;LOWER(F9),"")</f>
        <v>, iam___group_policies.group_policies -&gt;&gt; 'PolicyNames' AS group_policies_policynames</v>
      </c>
      <c r="CF8" s="8" t="str">
        <f>IF($I8&gt;=3,", "&amp;$U10&amp;"."&amp;$V10&amp;" -&gt;&gt; '"&amp;$F10&amp;"' AS "&amp;$V10&amp;"_"&amp;LOWER(F10),"")</f>
        <v/>
      </c>
      <c r="CG8" s="8" t="str">
        <f>IF($I8&gt;=4,", "&amp;$U11&amp;"."&amp;$V11&amp;" -&gt;&gt; '"&amp;$F11&amp;"' AS "&amp;$V11&amp;"_"&amp;LOWER(F11),"")</f>
        <v/>
      </c>
      <c r="CH8" s="8" t="str">
        <f>IF($I8&gt;=5,", "&amp;$U12&amp;"."&amp;$V12&amp;" -&gt;&gt; '"&amp;$F12&amp;"' AS "&amp;$V12&amp;"_"&amp;LOWER(F12),"")</f>
        <v/>
      </c>
      <c r="CI8" s="8" t="str">
        <f>IF($I8&gt;=6,", "&amp;$U13&amp;"."&amp;$V13&amp;" -&gt;&gt; '"&amp;$F13&amp;"' AS "&amp;$V13&amp;"_"&amp;LOWER(F13),"")</f>
        <v/>
      </c>
      <c r="CJ8" s="8" t="str">
        <f>IF($I8&gt;=7,", "&amp;$U14&amp;"."&amp;$V14&amp;" -&gt;&gt; '"&amp;$F14&amp;"' AS "&amp;$V14&amp;"_"&amp;LOWER(F14),"")</f>
        <v/>
      </c>
      <c r="CK8" s="8" t="str">
        <f>IF($I8&gt;=8,", "&amp;$U15&amp;"."&amp;$V15&amp;" -&gt;&gt; '"&amp;$F15&amp;"' AS "&amp;$V15&amp;"_"&amp;LOWER(F15),"")</f>
        <v/>
      </c>
      <c r="CL8" s="8" t="str">
        <f>IF($I8&gt;=1," FROM "&amp;$U8,"")</f>
        <v xml:space="preserve"> FROM iam___groups</v>
      </c>
      <c r="CM8" s="9" t="str">
        <f>IF($I8&gt;=2," "&amp;$AA8&amp;" JOIN "&amp;$U8&amp;" USING ("&amp;$T8&amp;"."&amp;$W8&amp;", "&amp;$U8&amp;"."&amp;$V8&amp;" -&gt;&gt; '"&amp;$F8&amp;"')","")</f>
        <v xml:space="preserve"> INNER JOIN iam___groups USING (iam___group_policy.groupname, iam___groups.groups -&gt;&gt; 'GroupName')</v>
      </c>
      <c r="CN8" s="9" t="str">
        <f>IF($I8&gt;=3," "&amp;$AA9&amp;" JOIN "&amp;$U9&amp;" USING ("&amp;$T9&amp;"."&amp;$W9&amp;", "&amp;$U9&amp;"."&amp;$V9&amp;" -&gt;&gt; '"&amp;$F9&amp;"')","")</f>
        <v/>
      </c>
      <c r="CO8" s="9" t="str">
        <f>IF($I8&gt;=4," "&amp;$AA10&amp;" JOIN "&amp;$U10&amp;" USING ("&amp;$T10&amp;"."&amp;$W10&amp;", "&amp;$U10&amp;"."&amp;$V10&amp;" -&gt;&gt; '"&amp;$F10&amp;"')","")</f>
        <v/>
      </c>
      <c r="CP8" s="9" t="str">
        <f>IF($I8&gt;=5," "&amp;$AA11&amp;" JOIN "&amp;$U11&amp;" USING ("&amp;$T11&amp;"."&amp;$W11&amp;", "&amp;$U11&amp;"."&amp;$V11&amp;" -&gt;&gt; '"&amp;$F11&amp;"')","")</f>
        <v/>
      </c>
      <c r="CQ8" s="9" t="str">
        <f>IF($I8&gt;=6," "&amp;$AA12&amp;" JOIN "&amp;$U12&amp;" USING ("&amp;$T12&amp;"."&amp;$W12&amp;", "&amp;$U12&amp;"."&amp;$V12&amp;" -&gt;&gt; '"&amp;$F12&amp;"')","")</f>
        <v/>
      </c>
      <c r="CR8" s="8" t="str">
        <f>IF($I8&gt;=7," "&amp;$AA13&amp;" JOIN "&amp;$U13&amp;" USING ("&amp;$T13&amp;"."&amp;$W13&amp;", "&amp;$U13&amp;"."&amp;$V13&amp;" -&gt;&gt; '"&amp;$F13&amp;"')","")</f>
        <v/>
      </c>
      <c r="CS8" s="8" t="str">
        <f>IF($I8&gt;=8," "&amp;$AA14&amp;" JOIN "&amp;$U14&amp;" USING ("&amp;$T14&amp;"."&amp;$W14&amp;", "&amp;$U14&amp;"."&amp;$V14&amp;" -&gt;&gt; '"&amp;$F14&amp;"')","")</f>
        <v/>
      </c>
      <c r="CT8" s="8" t="str">
        <f t="shared" si="11"/>
        <v xml:space="preserve"> ;</v>
      </c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</row>
    <row r="9" spans="1:202" x14ac:dyDescent="0.25">
      <c r="A9">
        <v>8</v>
      </c>
      <c r="B9" s="4" t="s">
        <v>0</v>
      </c>
      <c r="C9" s="4" t="s">
        <v>60</v>
      </c>
      <c r="D9" s="4" t="s">
        <v>0</v>
      </c>
      <c r="E9" s="4" t="s">
        <v>20</v>
      </c>
      <c r="F9" s="4" t="s">
        <v>73</v>
      </c>
      <c r="G9" s="7" t="s">
        <v>71</v>
      </c>
      <c r="H9" s="7" t="s">
        <v>71</v>
      </c>
      <c r="I9" s="7">
        <v>2</v>
      </c>
      <c r="J9" s="7" t="s">
        <v>71</v>
      </c>
      <c r="K9" s="7">
        <v>2</v>
      </c>
      <c r="L9" s="4" t="s">
        <v>67</v>
      </c>
      <c r="M9" s="7" t="s">
        <v>72</v>
      </c>
      <c r="N9" s="4"/>
      <c r="O9" s="7"/>
      <c r="P9" s="4"/>
      <c r="Q9" s="8" t="str">
        <f>VLOOKUP($C9,aws_cli_commands!$C$2:$E$10000,2,FALSE)</f>
        <v>n</v>
      </c>
      <c r="R9" s="8" t="str">
        <f>VLOOKUP($C9,aws_cli_commands!$C$2:$E$10000,3,FALSE)</f>
        <v>y</v>
      </c>
      <c r="S9" s="8" t="str">
        <f>IF(OR(C9=C8,C9=C10),"y","n")</f>
        <v>y</v>
      </c>
      <c r="T9" s="8" t="str">
        <f>B9&amp;"___"&amp;SUBSTITUTE(RIGHT(C9,LEN(C9)-FIND("-",C9)),"-","_")</f>
        <v>iam___group_policy</v>
      </c>
      <c r="U9" s="8" t="str">
        <f>SUBSTITUTE(D9&amp;"___"&amp;RIGHT(E9,LEN(E9)-FIND("-",E9)),"-","_")</f>
        <v>iam___group_policies</v>
      </c>
      <c r="V9" s="8" t="str">
        <f>SUBSTITUTE(RIGHT($E9,LEN($E9)-FIND("-",$E9)),"-","_")</f>
        <v>group_policies</v>
      </c>
      <c r="W9" s="8" t="str">
        <f>IF(G9="y",V9&amp;"_"&amp;LOWER(F9),IF(M9="y","**hardcoded**",LOWER(F9)))</f>
        <v>group_policies_policynames</v>
      </c>
      <c r="X9" s="8" t="str">
        <f t="shared" si="1"/>
        <v>n</v>
      </c>
      <c r="Y9" s="8">
        <f>IF(AND($C9=$C9,$M9="y"),1,0)+IF(AND($C8=$C9,$M8="y"),1,0)+IF(AND($C7=$C9,$M7="y"),1,0)+IF(AND($C6=$C9,$M6="y"),1,0)+IF(AND($C5=$C9,$M5="y"),1,0)+IF(AND($C4=$C9,$M4="y"),1,0)+IF(AND($C3=$C9,$M3="y"),1,0)+IF(AND($C2=$C9,$M2="y"),1,0)+IF(AND($C1=$C9,$M1="y"),1,0)</f>
        <v>0</v>
      </c>
      <c r="Z9" s="8">
        <f>IF(AND($C9=$C9,$M9="y"),1,0)+IF(AND($C9=$C10,$M10="y"),1,0)+IF(AND($C9=$C11,$M11="y"),1,0)+IF(AND($C9=$C12,$M12="y"),1,0)+IF(AND($C9=$C13,$M13="y"),1,0)+IF(AND($C9=$C14,$M14="y"),1,0)+IF(AND($C9=$C15,$M15="y"),1,0)+IF(AND($C9=$C16,$M16="y"),1,0)+IF(AND($C9=$C17,$M17="y"),1,0)</f>
        <v>0</v>
      </c>
      <c r="AA9" s="8" t="s">
        <v>127</v>
      </c>
      <c r="AB9" s="9" t="str">
        <f>IF(AND($H9="y",$C9&lt;&gt;$C8),B9&amp;" "&amp;AC9&amp;AD9&amp;AE9&amp;AF9&amp;AG9&amp;AH9&amp;AI9&amp;AJ9&amp;AK9,IF(H9="n",B9&amp;" "&amp;AC9&amp;AD9&amp;AE9&amp;AF9&amp;AG9&amp;AH9&amp;AI9&amp;AJ9&amp;AK9,""))</f>
        <v/>
      </c>
      <c r="AC9" s="8" t="str">
        <f t="shared" si="2"/>
        <v>get-group-policy</v>
      </c>
      <c r="AD9" s="8" t="str">
        <f>IF($I9&gt;=1," "&amp;$L9,"")</f>
        <v xml:space="preserve"> --policy-name</v>
      </c>
      <c r="AE9" s="8" t="str">
        <f>IF($I9&gt;=2," "&amp;$L10,"")</f>
        <v xml:space="preserve"> --instance-profile-name</v>
      </c>
      <c r="AF9" s="8" t="str">
        <f>IF($I9&gt;=3," "&amp;$L11,"")</f>
        <v/>
      </c>
      <c r="AG9" s="8" t="str">
        <f>IF($I9&gt;=4," "&amp;$L12,"")</f>
        <v/>
      </c>
      <c r="AH9" s="8" t="str">
        <f>IF($I9&gt;=5," "&amp;$L13,"")</f>
        <v/>
      </c>
      <c r="AI9" s="8" t="str">
        <f>IF($I9&gt;=6," "&amp;$L14,"")</f>
        <v/>
      </c>
      <c r="AJ9" s="8" t="str">
        <f>IF($I9&gt;=7," "&amp;$L15,"")</f>
        <v/>
      </c>
      <c r="AK9" s="8" t="str">
        <f>IF($I9&gt;=8," "&amp;$L16,"")</f>
        <v/>
      </c>
      <c r="AL9" s="8" t="str">
        <f>U9</f>
        <v>iam___group_policies</v>
      </c>
      <c r="AM9" s="8" t="str">
        <f>IF($I9&gt;=2,$U10,"")</f>
        <v>iam___instance_profiles</v>
      </c>
      <c r="AN9" s="8" t="str">
        <f>IF($I9&gt;=3,$U11,"")</f>
        <v/>
      </c>
      <c r="AO9" s="8" t="str">
        <f>IF(I9&gt;=4,$U12,"")</f>
        <v/>
      </c>
      <c r="AP9" s="8" t="str">
        <f>IF($I9&gt;=5,$U13,"")</f>
        <v/>
      </c>
      <c r="AQ9" s="8" t="str">
        <f>IF($I9&gt;=6,$U14,"")</f>
        <v/>
      </c>
      <c r="AR9" s="8" t="str">
        <f>IF($I9&gt;=7,$U15,"")</f>
        <v/>
      </c>
      <c r="AS9" s="8" t="str">
        <f>IF(I9&gt;=8,$U16,"")</f>
        <v/>
      </c>
      <c r="AT9" s="8" t="str">
        <f>F9</f>
        <v>PolicyNames</v>
      </c>
      <c r="AU9" s="8" t="str">
        <f>IF($I9&gt;=2,$F10,"")</f>
        <v>InstanceProfileName</v>
      </c>
      <c r="AV9" s="8" t="str">
        <f>IF($I9&gt;=3,$F11,"")</f>
        <v/>
      </c>
      <c r="AW9" s="8" t="str">
        <f>IF($I9&gt;=4,$F12,"")</f>
        <v/>
      </c>
      <c r="AX9" s="8" t="str">
        <f>IF($I9&gt;=5,$F13,"")</f>
        <v/>
      </c>
      <c r="AY9" s="8" t="str">
        <f>IF($I9&gt;=6,$F14,"")</f>
        <v/>
      </c>
      <c r="AZ9" s="8" t="str">
        <f>IF($I9&gt;=7,$F15,"")</f>
        <v/>
      </c>
      <c r="BA9" s="8" t="str">
        <f>IF($I9&gt;=8,$F16,"")</f>
        <v/>
      </c>
      <c r="BB9" s="9" t="str">
        <f>IF(OR(R9&lt;&gt;"y",I9&lt;&gt;1),"","SELECT aws_command::text || ' ' || command_parameter::text AS aws_command_string, parameter_source_table, parameter_source_key FROM (SELECT  "&amp;"'"&amp;AB9&amp;"'"&amp;" AS aws_command,"&amp;U9&amp;"."&amp;V9&amp;" -&gt;&gt; "&amp;"'"&amp;F9&amp;"'"&amp;" AS command_parameter, "&amp;"'"&amp;AL9&amp;"'"&amp;" AS parameter_source_table, "&amp;"'"&amp;AT9&amp;"'"&amp;" AS parameter_source_key FROM "&amp;U9&amp;") AS f")</f>
        <v/>
      </c>
      <c r="BC9" s="9" t="str">
        <f>IF(AND(H9="y",H8&lt;&gt;"y"),BE9&amp;BF9&amp;BG9&amp;BR9&amp;CC9,"")</f>
        <v/>
      </c>
      <c r="BD9" s="8" t="str">
        <f>"/* recursive command: "&amp;C9&amp;" */ DROP TABLE IF EXISTS "&amp;T9&amp;"; CREATE TABLE "&amp;T9&amp;"(  id SERIAL PRIMARY KEY, "&amp;F9&amp;" TEXT); SELECT "&amp;U9&amp;"."&amp;V9&amp;" -&gt;&gt; '"&amp;F9&amp;"' AS "&amp;V9&amp;" FROM "&amp;U9&amp;" ;"</f>
        <v>/* recursive command: get-group-policy */ DROP TABLE IF EXISTS iam___group_policy; CREATE TABLE iam___group_policy(  id SERIAL PRIMARY KEY, PolicyNames TEXT); SELECT iam___group_policies.group_policies -&gt;&gt; 'PolicyNames' AS group_policies FROM iam___group_policies ;</v>
      </c>
      <c r="BE9" s="8" t="str">
        <f t="shared" si="3"/>
        <v xml:space="preserve">/* recursive command multi: get-group-policy */ </v>
      </c>
      <c r="BF9" s="8" t="str">
        <f t="shared" si="4"/>
        <v xml:space="preserve">DROP TABLE IF EXISTS iam___group_policy; </v>
      </c>
      <c r="BG9" s="8" t="str">
        <f t="shared" si="5"/>
        <v>CREATE TABLE iam___group_policy(  id SERIAL PRIMARY KEY, group_policies_policynames TEXT, instanceprofilename TEXT );</v>
      </c>
      <c r="BH9" s="8" t="str">
        <f t="shared" si="6"/>
        <v xml:space="preserve">CREATE TABLE iam___group_policy(  id SERIAL PRIMARY KEY, </v>
      </c>
      <c r="BI9" s="8" t="str">
        <f>IF($I9&gt;=1,$W9&amp;" TEXT","")</f>
        <v>group_policies_policynames TEXT</v>
      </c>
      <c r="BJ9" s="8" t="str">
        <f>IF($I9&gt;=2,", "&amp;$W10&amp;" TEXT","")</f>
        <v>, instanceprofilename TEXT</v>
      </c>
      <c r="BK9" s="8" t="str">
        <f>IF($I9&gt;=3,", "&amp;$W11&amp;" TEXT","")</f>
        <v/>
      </c>
      <c r="BL9" s="8" t="str">
        <f>IF($I9&gt;=4,", "&amp;$W12&amp;" TEXT","")</f>
        <v/>
      </c>
      <c r="BM9" s="8" t="str">
        <f>IF($I9&gt;=5,", "&amp;$W13&amp;" TEXT","")</f>
        <v/>
      </c>
      <c r="BN9" s="8" t="str">
        <f>IF($I9&gt;=6,", "&amp;$W14&amp;" TEXT","")</f>
        <v/>
      </c>
      <c r="BO9" s="8" t="str">
        <f>IF($I9&gt;=7,", "&amp;$W15&amp;" TEXT","")</f>
        <v/>
      </c>
      <c r="BP9" s="8" t="str">
        <f>IF($I9&gt;=8,", "&amp;$W16&amp;" TEXT","")</f>
        <v/>
      </c>
      <c r="BQ9" s="8" t="str">
        <f t="shared" si="7"/>
        <v xml:space="preserve"> );</v>
      </c>
      <c r="BR9" s="9" t="str">
        <f t="shared" si="8"/>
        <v xml:space="preserve"> INSERT INTO iam___group_policy(group_policies_policynames, instanceprofilename)</v>
      </c>
      <c r="BS9" s="9" t="str">
        <f t="shared" si="9"/>
        <v xml:space="preserve"> INSERT INTO iam___group_policy(</v>
      </c>
      <c r="BT9" s="9" t="str">
        <f>IF($I9&gt;=1,$W9,"")</f>
        <v>group_policies_policynames</v>
      </c>
      <c r="BU9" s="9" t="str">
        <f>IF($I9&gt;=2,", "&amp;$W10,"")</f>
        <v>, instanceprofilename</v>
      </c>
      <c r="BV9" s="9" t="str">
        <f>IF($I9&gt;=3,", "&amp;$W11,"")</f>
        <v/>
      </c>
      <c r="BW9" s="9" t="str">
        <f>IF($I9&gt;=4,", "&amp;$W12,"")</f>
        <v/>
      </c>
      <c r="BX9" s="9" t="str">
        <f>IF($I9&gt;=5,", "&amp;$W13,"")</f>
        <v/>
      </c>
      <c r="BY9" s="9" t="str">
        <f>IF($I9&gt;=6,", "&amp;$W14,"")</f>
        <v/>
      </c>
      <c r="BZ9" s="9" t="str">
        <f>IF($I9&gt;=7,", "&amp;$W15,"")</f>
        <v/>
      </c>
      <c r="CA9" s="9" t="str">
        <f>IF($I9&gt;=8,", "&amp;$W16,"")</f>
        <v/>
      </c>
      <c r="CB9" s="9" t="str">
        <f t="shared" si="10"/>
        <v>)</v>
      </c>
      <c r="CC9" s="9" t="str">
        <f t="shared" si="0"/>
        <v xml:space="preserve"> SELECT iam___group_policies.group_policies -&gt;&gt; 'PolicyNames' AS group_policies_policynames, iam___instance_profiles.instance_profiles -&gt;&gt; 'InstanceProfileName' AS instance_profiles_instanceprofilename FROM iam___group_policies INNER JOIN iam___group_policies USING (iam___group_policy.group_policies_policynames, iam___group_policies.group_policies -&gt;&gt; 'PolicyNames') ;</v>
      </c>
      <c r="CD9" s="8" t="str">
        <f>" SELECT "&amp;$U9&amp;"."&amp;$V9&amp;" -&gt;&gt; '"&amp;$F9&amp;"' AS "&amp;$V9&amp;"_"&amp;LOWER(F9)</f>
        <v xml:space="preserve"> SELECT iam___group_policies.group_policies -&gt;&gt; 'PolicyNames' AS group_policies_policynames</v>
      </c>
      <c r="CE9" s="8" t="str">
        <f>IF($I9&gt;=2,", "&amp;$U10&amp;"."&amp;$V10&amp;" -&gt;&gt; '"&amp;$F10&amp;"' AS "&amp;$V10&amp;"_"&amp;LOWER(F10),"")</f>
        <v>, iam___instance_profiles.instance_profiles -&gt;&gt; 'InstanceProfileName' AS instance_profiles_instanceprofilename</v>
      </c>
      <c r="CF9" s="8" t="str">
        <f>IF($I9&gt;=3,", "&amp;$U11&amp;"."&amp;$V11&amp;" -&gt;&gt; '"&amp;$F11&amp;"' AS "&amp;$V11&amp;"_"&amp;LOWER(F11),"")</f>
        <v/>
      </c>
      <c r="CG9" s="8" t="str">
        <f>IF($I9&gt;=4,", "&amp;$U12&amp;"."&amp;$V12&amp;" -&gt;&gt; '"&amp;$F12&amp;"' AS "&amp;$V12&amp;"_"&amp;LOWER(F12),"")</f>
        <v/>
      </c>
      <c r="CH9" s="8" t="str">
        <f>IF($I9&gt;=5,", "&amp;$U13&amp;"."&amp;$V13&amp;" -&gt;&gt; '"&amp;$F13&amp;"' AS "&amp;$V13&amp;"_"&amp;LOWER(F13),"")</f>
        <v/>
      </c>
      <c r="CI9" s="8" t="str">
        <f>IF($I9&gt;=6,", "&amp;$U14&amp;"."&amp;$V14&amp;" -&gt;&gt; '"&amp;$F14&amp;"' AS "&amp;$V14&amp;"_"&amp;LOWER(F14),"")</f>
        <v/>
      </c>
      <c r="CJ9" s="8" t="str">
        <f>IF($I9&gt;=7,", "&amp;$U15&amp;"."&amp;$V15&amp;" -&gt;&gt; '"&amp;$F15&amp;"' AS "&amp;$V15&amp;"_"&amp;LOWER(F15),"")</f>
        <v/>
      </c>
      <c r="CK9" s="8" t="str">
        <f>IF($I9&gt;=8,", "&amp;$U16&amp;"."&amp;$V16&amp;" -&gt;&gt; '"&amp;$F16&amp;"' AS "&amp;$V16&amp;"_"&amp;LOWER(F16),"")</f>
        <v/>
      </c>
      <c r="CL9" s="8" t="str">
        <f>IF($I9&gt;=1," FROM "&amp;$U9,"")</f>
        <v xml:space="preserve"> FROM iam___group_policies</v>
      </c>
      <c r="CM9" s="9" t="str">
        <f>IF($I9&gt;=2," "&amp;$AA9&amp;" JOIN "&amp;$U9&amp;" USING ("&amp;$T9&amp;"."&amp;$W9&amp;", "&amp;$U9&amp;"."&amp;$V9&amp;" -&gt;&gt; '"&amp;$F9&amp;"')","")</f>
        <v xml:space="preserve"> INNER JOIN iam___group_policies USING (iam___group_policy.group_policies_policynames, iam___group_policies.group_policies -&gt;&gt; 'PolicyNames')</v>
      </c>
      <c r="CN9" s="9" t="str">
        <f>IF($I9&gt;=3," "&amp;$AA10&amp;" JOIN "&amp;$U10&amp;" USING ("&amp;$T10&amp;"."&amp;$W10&amp;", "&amp;$U10&amp;"."&amp;$V10&amp;" -&gt;&gt; '"&amp;$F10&amp;"')","")</f>
        <v/>
      </c>
      <c r="CO9" s="9" t="str">
        <f>IF($I9&gt;=4," "&amp;$AA11&amp;" JOIN "&amp;$U11&amp;" USING ("&amp;$T11&amp;"."&amp;$W11&amp;", "&amp;$U11&amp;"."&amp;$V11&amp;" -&gt;&gt; '"&amp;$F11&amp;"')","")</f>
        <v/>
      </c>
      <c r="CP9" s="9" t="str">
        <f>IF($I9&gt;=5," "&amp;$AA12&amp;" JOIN "&amp;$U12&amp;" USING ("&amp;$T12&amp;"."&amp;$W12&amp;", "&amp;$U12&amp;"."&amp;$V12&amp;" -&gt;&gt; '"&amp;$F12&amp;"')","")</f>
        <v/>
      </c>
      <c r="CQ9" s="9" t="str">
        <f>IF($I9&gt;=6," "&amp;$AA13&amp;" JOIN "&amp;$U13&amp;" USING ("&amp;$T13&amp;"."&amp;$W13&amp;", "&amp;$U13&amp;"."&amp;$V13&amp;" -&gt;&gt; '"&amp;$F13&amp;"')","")</f>
        <v/>
      </c>
      <c r="CR9" s="8" t="str">
        <f>IF($I9&gt;=7," "&amp;$AA14&amp;" JOIN "&amp;$U14&amp;" USING ("&amp;$T14&amp;"."&amp;$W14&amp;", "&amp;$U14&amp;"."&amp;$V14&amp;" -&gt;&gt; '"&amp;$F14&amp;"')","")</f>
        <v/>
      </c>
      <c r="CS9" s="8" t="str">
        <f>IF($I9&gt;=8," "&amp;$AA15&amp;" JOIN "&amp;$U15&amp;" USING ("&amp;$T15&amp;"."&amp;$W15&amp;", "&amp;$U15&amp;"."&amp;$V15&amp;" -&gt;&gt; '"&amp;$F15&amp;"')","")</f>
        <v/>
      </c>
      <c r="CT9" s="8" t="str">
        <f t="shared" si="11"/>
        <v xml:space="preserve"> ;</v>
      </c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</row>
    <row r="10" spans="1:202" x14ac:dyDescent="0.25">
      <c r="A10">
        <v>9</v>
      </c>
      <c r="B10" s="4" t="s">
        <v>0</v>
      </c>
      <c r="C10" s="4" t="s">
        <v>22</v>
      </c>
      <c r="D10" s="4" t="s">
        <v>0</v>
      </c>
      <c r="E10" s="4" t="s">
        <v>21</v>
      </c>
      <c r="F10" s="4" t="s">
        <v>24</v>
      </c>
      <c r="G10" s="7" t="s">
        <v>72</v>
      </c>
      <c r="H10" s="7" t="s">
        <v>72</v>
      </c>
      <c r="I10" s="7">
        <v>1</v>
      </c>
      <c r="J10" s="7" t="s">
        <v>72</v>
      </c>
      <c r="K10" s="7">
        <v>1</v>
      </c>
      <c r="L10" s="4" t="s">
        <v>23</v>
      </c>
      <c r="M10" s="7" t="s">
        <v>72</v>
      </c>
      <c r="N10" s="4"/>
      <c r="O10" s="7"/>
      <c r="P10" s="4"/>
      <c r="Q10" s="8" t="str">
        <f>VLOOKUP($C10,aws_cli_commands!$C$2:$E$10000,2,FALSE)</f>
        <v>n</v>
      </c>
      <c r="R10" s="8" t="str">
        <f>VLOOKUP($C10,aws_cli_commands!$C$2:$E$10000,3,FALSE)</f>
        <v>y</v>
      </c>
      <c r="S10" s="8" t="str">
        <f>IF(OR(C10=C9,C10=C11),"y","n")</f>
        <v>n</v>
      </c>
      <c r="T10" s="8" t="str">
        <f>B10&amp;"___"&amp;SUBSTITUTE(RIGHT(C10,LEN(C10)-FIND("-",C10)),"-","_")</f>
        <v>iam___instance_profile</v>
      </c>
      <c r="U10" s="8" t="str">
        <f>SUBSTITUTE(D10&amp;"___"&amp;RIGHT(E10,LEN(E10)-FIND("-",E10)),"-","_")</f>
        <v>iam___instance_profiles</v>
      </c>
      <c r="V10" s="8" t="str">
        <f>SUBSTITUTE(RIGHT($E10,LEN($E10)-FIND("-",$E10)),"-","_")</f>
        <v>instance_profiles</v>
      </c>
      <c r="W10" s="8" t="str">
        <f>IF(G10="y",V10&amp;"_"&amp;LOWER(F10),IF(M10="y","**hardcoded**",LOWER(F10)))</f>
        <v>instanceprofilename</v>
      </c>
      <c r="X10" s="8" t="str">
        <f t="shared" si="1"/>
        <v>n</v>
      </c>
      <c r="Y10" s="8">
        <f>IF(AND($C10=$C10,$M10="y"),1,0)+IF(AND($C9=$C10,$M9="y"),1,0)+IF(AND($C8=$C10,$M8="y"),1,0)+IF(AND($C7=$C10,$M7="y"),1,0)+IF(AND($C6=$C10,$M6="y"),1,0)+IF(AND($C5=$C10,$M5="y"),1,0)+IF(AND($C4=$C10,$M4="y"),1,0)+IF(AND($C3=$C10,$M3="y"),1,0)+IF(AND($C2=$C10,$M2="y"),1,0)</f>
        <v>0</v>
      </c>
      <c r="Z10" s="8">
        <f>IF(AND($C10=$C10,$M10="y"),1,0)+IF(AND($C10=$C11,$M11="y"),1,0)+IF(AND($C10=$C12,$M12="y"),1,0)+IF(AND($C10=$C13,$M13="y"),1,0)+IF(AND($C10=$C14,$M14="y"),1,0)+IF(AND($C10=$C15,$M15="y"),1,0)+IF(AND($C10=$C16,$M16="y"),1,0)+IF(AND($C10=$C17,$M17="y"),1,0)+IF(AND($C10=$C18,$M18="y"),1,0)</f>
        <v>0</v>
      </c>
      <c r="AA10" s="8" t="s">
        <v>127</v>
      </c>
      <c r="AB10" s="9" t="str">
        <f>IF(AND($H10="y",$C10&lt;&gt;$C9),B10&amp;" "&amp;AC10&amp;AD10&amp;AE10&amp;AF10&amp;AG10&amp;AH10&amp;AI10&amp;AJ10&amp;AK10,IF(H10="n",B10&amp;" "&amp;AC10&amp;AD10&amp;AE10&amp;AF10&amp;AG10&amp;AH10&amp;AI10&amp;AJ10&amp;AK10,""))</f>
        <v>iam get-instance-profile --instance-profile-name</v>
      </c>
      <c r="AC10" s="8" t="str">
        <f t="shared" si="2"/>
        <v>get-instance-profile</v>
      </c>
      <c r="AD10" s="8" t="str">
        <f>IF($I10&gt;=1," "&amp;$L10,"")</f>
        <v xml:space="preserve"> --instance-profile-name</v>
      </c>
      <c r="AE10" s="8" t="str">
        <f>IF($I10&gt;=2," "&amp;$L11,"")</f>
        <v/>
      </c>
      <c r="AF10" s="8" t="str">
        <f>IF($I10&gt;=3," "&amp;$L12,"")</f>
        <v/>
      </c>
      <c r="AG10" s="8" t="str">
        <f>IF($I10&gt;=4," "&amp;$L13,"")</f>
        <v/>
      </c>
      <c r="AH10" s="8" t="str">
        <f>IF($I10&gt;=5," "&amp;$L14,"")</f>
        <v/>
      </c>
      <c r="AI10" s="8" t="str">
        <f>IF($I10&gt;=6," "&amp;$L15,"")</f>
        <v/>
      </c>
      <c r="AJ10" s="8" t="str">
        <f>IF($I10&gt;=7," "&amp;$L16,"")</f>
        <v/>
      </c>
      <c r="AK10" s="8" t="str">
        <f>IF($I10&gt;=8," "&amp;$L17,"")</f>
        <v/>
      </c>
      <c r="AL10" s="8" t="str">
        <f>U10</f>
        <v>iam___instance_profiles</v>
      </c>
      <c r="AM10" s="8" t="str">
        <f>IF($I10&gt;=2,$U11,"")</f>
        <v/>
      </c>
      <c r="AN10" s="8" t="str">
        <f>IF($I10&gt;=3,$U12,"")</f>
        <v/>
      </c>
      <c r="AO10" s="8" t="str">
        <f>IF(I10&gt;=4,$U13,"")</f>
        <v/>
      </c>
      <c r="AP10" s="8" t="str">
        <f>IF($I10&gt;=5,$U14,"")</f>
        <v/>
      </c>
      <c r="AQ10" s="8" t="str">
        <f>IF($I10&gt;=6,$U15,"")</f>
        <v/>
      </c>
      <c r="AR10" s="8" t="str">
        <f>IF($I10&gt;=7,$U16,"")</f>
        <v/>
      </c>
      <c r="AS10" s="8" t="str">
        <f>IF(I10&gt;=8,$U17,"")</f>
        <v/>
      </c>
      <c r="AT10" s="8" t="str">
        <f>F10</f>
        <v>InstanceProfileName</v>
      </c>
      <c r="AU10" s="8" t="str">
        <f>IF($I10&gt;=2,$F11,"")</f>
        <v/>
      </c>
      <c r="AV10" s="8" t="str">
        <f>IF($I10&gt;=3,$F12,"")</f>
        <v/>
      </c>
      <c r="AW10" s="8" t="str">
        <f>IF($I10&gt;=4,$F13,"")</f>
        <v/>
      </c>
      <c r="AX10" s="8" t="str">
        <f>IF($I10&gt;=5,$F14,"")</f>
        <v/>
      </c>
      <c r="AY10" s="8" t="str">
        <f>IF($I10&gt;=6,$F15,"")</f>
        <v/>
      </c>
      <c r="AZ10" s="8" t="str">
        <f>IF($I10&gt;=7,$F16,"")</f>
        <v/>
      </c>
      <c r="BA10" s="8" t="str">
        <f>IF($I10&gt;=8,$F17,"")</f>
        <v/>
      </c>
      <c r="BB10" s="9" t="str">
        <f>IF(OR(R10&lt;&gt;"y",I10&lt;&gt;1),"","SELECT aws_command::text || ' ' || command_parameter::text AS aws_command_string, parameter_source_table, parameter_source_key FROM (SELECT  "&amp;"'"&amp;AB10&amp;"'"&amp;" AS aws_command,"&amp;U10&amp;"."&amp;V10&amp;" -&gt;&gt; "&amp;"'"&amp;F10&amp;"'"&amp;" AS command_parameter, "&amp;"'"&amp;AL10&amp;"'"&amp;" AS parameter_source_table, "&amp;"'"&amp;AT10&amp;"'"&amp;" AS parameter_source_key FROM "&amp;U10&amp;") AS f")</f>
        <v>SELECT aws_command::text || ' ' || command_parameter::text AS aws_command_string, parameter_source_table, parameter_source_key FROM (SELECT  'iam get-instance-profile --instance-profile-name' AS aws_command,iam___instance_profiles.instance_profiles -&gt;&gt; 'InstanceProfileName' AS command_parameter, 'iam___instance_profiles' AS parameter_source_table, 'InstanceProfileName' AS parameter_source_key FROM iam___instance_profiles) AS f</v>
      </c>
      <c r="BC10" s="9" t="str">
        <f>IF(AND(H10="y",H9&lt;&gt;"y"),BE10&amp;BF10&amp;BG10&amp;BR10&amp;CC10,"")</f>
        <v/>
      </c>
      <c r="BD10" s="8" t="str">
        <f>"/* recursive command: "&amp;C10&amp;" */ DROP TABLE IF EXISTS "&amp;T10&amp;"; CREATE TABLE "&amp;T10&amp;"(  id SERIAL PRIMARY KEY, "&amp;F10&amp;" TEXT); SELECT "&amp;U10&amp;"."&amp;V10&amp;" -&gt;&gt; '"&amp;F10&amp;"' AS "&amp;V10&amp;" FROM "&amp;U10&amp;" ;"</f>
        <v>/* recursive command: get-instance-profile */ DROP TABLE IF EXISTS iam___instance_profile; CREATE TABLE iam___instance_profile(  id SERIAL PRIMARY KEY, InstanceProfileName TEXT); SELECT iam___instance_profiles.instance_profiles -&gt;&gt; 'InstanceProfileName' AS instance_profiles FROM iam___instance_profiles ;</v>
      </c>
      <c r="BE10" s="8" t="str">
        <f t="shared" si="3"/>
        <v xml:space="preserve">/* recursive command multi: get-instance-profile */ </v>
      </c>
      <c r="BF10" s="8" t="str">
        <f t="shared" si="4"/>
        <v xml:space="preserve">DROP TABLE IF EXISTS iam___instance_profile; </v>
      </c>
      <c r="BG10" s="8" t="str">
        <f t="shared" si="5"/>
        <v>CREATE TABLE iam___instance_profile(  id SERIAL PRIMARY KEY, instanceprofilename TEXT );</v>
      </c>
      <c r="BH10" s="8" t="str">
        <f t="shared" si="6"/>
        <v xml:space="preserve">CREATE TABLE iam___instance_profile(  id SERIAL PRIMARY KEY, </v>
      </c>
      <c r="BI10" s="8" t="str">
        <f>IF($I10&gt;=1,$W10&amp;" TEXT","")</f>
        <v>instanceprofilename TEXT</v>
      </c>
      <c r="BJ10" s="8" t="str">
        <f>IF($I10&gt;=2,", "&amp;$W11&amp;" TEXT","")</f>
        <v/>
      </c>
      <c r="BK10" s="8" t="str">
        <f>IF($I10&gt;=3,", "&amp;$W12&amp;" TEXT","")</f>
        <v/>
      </c>
      <c r="BL10" s="8" t="str">
        <f>IF($I10&gt;=4,", "&amp;$W13&amp;" TEXT","")</f>
        <v/>
      </c>
      <c r="BM10" s="8" t="str">
        <f>IF($I10&gt;=5,", "&amp;$W14&amp;" TEXT","")</f>
        <v/>
      </c>
      <c r="BN10" s="8" t="str">
        <f>IF($I10&gt;=6,", "&amp;$W15&amp;" TEXT","")</f>
        <v/>
      </c>
      <c r="BO10" s="8" t="str">
        <f>IF($I10&gt;=7,", "&amp;$W16&amp;" TEXT","")</f>
        <v/>
      </c>
      <c r="BP10" s="8" t="str">
        <f>IF($I10&gt;=8,", "&amp;$W17&amp;" TEXT","")</f>
        <v/>
      </c>
      <c r="BQ10" s="8" t="str">
        <f t="shared" si="7"/>
        <v xml:space="preserve"> );</v>
      </c>
      <c r="BR10" s="9" t="str">
        <f t="shared" si="8"/>
        <v xml:space="preserve"> INSERT INTO iam___instance_profile(instanceprofilename)</v>
      </c>
      <c r="BS10" s="9" t="str">
        <f t="shared" si="9"/>
        <v xml:space="preserve"> INSERT INTO iam___instance_profile(</v>
      </c>
      <c r="BT10" s="9" t="str">
        <f>IF($I10&gt;=1,$W10,"")</f>
        <v>instanceprofilename</v>
      </c>
      <c r="BU10" s="9" t="str">
        <f>IF($I10&gt;=2,", "&amp;$W11,"")</f>
        <v/>
      </c>
      <c r="BV10" s="9" t="str">
        <f>IF($I10&gt;=3,", "&amp;$W12,"")</f>
        <v/>
      </c>
      <c r="BW10" s="9" t="str">
        <f>IF($I10&gt;=4,", "&amp;$W13,"")</f>
        <v/>
      </c>
      <c r="BX10" s="9" t="str">
        <f>IF($I10&gt;=5,", "&amp;$W14,"")</f>
        <v/>
      </c>
      <c r="BY10" s="9" t="str">
        <f>IF($I10&gt;=6,", "&amp;$W15,"")</f>
        <v/>
      </c>
      <c r="BZ10" s="9" t="str">
        <f>IF($I10&gt;=7,", "&amp;$W16,"")</f>
        <v/>
      </c>
      <c r="CA10" s="9" t="str">
        <f>IF($I10&gt;=8,", "&amp;$W17,"")</f>
        <v/>
      </c>
      <c r="CB10" s="9" t="str">
        <f t="shared" si="10"/>
        <v>)</v>
      </c>
      <c r="CC10" s="9" t="str">
        <f t="shared" si="0"/>
        <v xml:space="preserve"> SELECT iam___instance_profiles.instance_profiles -&gt;&gt; 'InstanceProfileName' AS instance_profiles_instanceprofilename FROM iam___instance_profiles ;</v>
      </c>
      <c r="CD10" s="8" t="str">
        <f>" SELECT "&amp;$U10&amp;"."&amp;$V10&amp;" -&gt;&gt; '"&amp;$F10&amp;"' AS "&amp;$V10&amp;"_"&amp;LOWER(F10)</f>
        <v xml:space="preserve"> SELECT iam___instance_profiles.instance_profiles -&gt;&gt; 'InstanceProfileName' AS instance_profiles_instanceprofilename</v>
      </c>
      <c r="CE10" s="8" t="str">
        <f>IF($I10&gt;=2,", "&amp;$U11&amp;"."&amp;$V11&amp;" -&gt;&gt; '"&amp;$F11&amp;"' AS "&amp;$V11&amp;"_"&amp;LOWER(F11),"")</f>
        <v/>
      </c>
      <c r="CF10" s="8" t="str">
        <f>IF($I10&gt;=3,", "&amp;$U12&amp;"."&amp;$V12&amp;" -&gt;&gt; '"&amp;$F12&amp;"' AS "&amp;$V12&amp;"_"&amp;LOWER(F12),"")</f>
        <v/>
      </c>
      <c r="CG10" s="8" t="str">
        <f>IF($I10&gt;=4,", "&amp;$U13&amp;"."&amp;$V13&amp;" -&gt;&gt; '"&amp;$F13&amp;"' AS "&amp;$V13&amp;"_"&amp;LOWER(F13),"")</f>
        <v/>
      </c>
      <c r="CH10" s="8" t="str">
        <f>IF($I10&gt;=5,", "&amp;$U14&amp;"."&amp;$V14&amp;" -&gt;&gt; '"&amp;$F14&amp;"' AS "&amp;$V14&amp;"_"&amp;LOWER(F14),"")</f>
        <v/>
      </c>
      <c r="CI10" s="8" t="str">
        <f>IF($I10&gt;=6,", "&amp;$U15&amp;"."&amp;$V15&amp;" -&gt;&gt; '"&amp;$F15&amp;"' AS "&amp;$V15&amp;"_"&amp;LOWER(F15),"")</f>
        <v/>
      </c>
      <c r="CJ10" s="8" t="str">
        <f>IF($I10&gt;=7,", "&amp;$U16&amp;"."&amp;$V16&amp;" -&gt;&gt; '"&amp;$F16&amp;"' AS "&amp;$V16&amp;"_"&amp;LOWER(F16),"")</f>
        <v/>
      </c>
      <c r="CK10" s="8" t="str">
        <f>IF($I10&gt;=8,", "&amp;$U17&amp;"."&amp;$V17&amp;" -&gt;&gt; '"&amp;$F17&amp;"' AS "&amp;$V17&amp;"_"&amp;LOWER(F17),"")</f>
        <v/>
      </c>
      <c r="CL10" s="8" t="str">
        <f>IF($I10&gt;=1," FROM "&amp;$U10,"")</f>
        <v xml:space="preserve"> FROM iam___instance_profiles</v>
      </c>
      <c r="CM10" s="9" t="str">
        <f>IF($I10&gt;=2," "&amp;$AA10&amp;" JOIN "&amp;$U10&amp;" USING ("&amp;$T10&amp;"."&amp;$W10&amp;", "&amp;$U10&amp;"."&amp;$V10&amp;" -&gt;&gt; '"&amp;$F10&amp;"')","")</f>
        <v/>
      </c>
      <c r="CN10" s="9" t="str">
        <f>IF($I10&gt;=3," "&amp;$AA11&amp;" JOIN "&amp;$U11&amp;" USING ("&amp;$T11&amp;"."&amp;$W11&amp;", "&amp;$U11&amp;"."&amp;$V11&amp;" -&gt;&gt; '"&amp;$F11&amp;"')","")</f>
        <v/>
      </c>
      <c r="CO10" s="9" t="str">
        <f>IF($I10&gt;=4," "&amp;$AA12&amp;" JOIN "&amp;$U12&amp;" USING ("&amp;$T12&amp;"."&amp;$W12&amp;", "&amp;$U12&amp;"."&amp;$V12&amp;" -&gt;&gt; '"&amp;$F12&amp;"')","")</f>
        <v/>
      </c>
      <c r="CP10" s="9" t="str">
        <f>IF($I10&gt;=5," "&amp;$AA13&amp;" JOIN "&amp;$U13&amp;" USING ("&amp;$T13&amp;"."&amp;$W13&amp;", "&amp;$U13&amp;"."&amp;$V13&amp;" -&gt;&gt; '"&amp;$F13&amp;"')","")</f>
        <v/>
      </c>
      <c r="CQ10" s="9" t="str">
        <f>IF($I10&gt;=6," "&amp;$AA14&amp;" JOIN "&amp;$U14&amp;" USING ("&amp;$T14&amp;"."&amp;$W14&amp;", "&amp;$U14&amp;"."&amp;$V14&amp;" -&gt;&gt; '"&amp;$F14&amp;"')","")</f>
        <v/>
      </c>
      <c r="CR10" s="8" t="str">
        <f>IF($I10&gt;=7," "&amp;$AA15&amp;" JOIN "&amp;$U15&amp;" USING ("&amp;$T15&amp;"."&amp;$W15&amp;", "&amp;$U15&amp;"."&amp;$V15&amp;" -&gt;&gt; '"&amp;$F15&amp;"')","")</f>
        <v/>
      </c>
      <c r="CS10" s="8" t="str">
        <f>IF($I10&gt;=8," "&amp;$AA16&amp;" JOIN "&amp;$U16&amp;" USING ("&amp;$T16&amp;"."&amp;$W16&amp;", "&amp;$U16&amp;"."&amp;$V16&amp;" -&gt;&gt; '"&amp;$F16&amp;"')","")</f>
        <v/>
      </c>
      <c r="CT10" s="8" t="str">
        <f t="shared" si="11"/>
        <v xml:space="preserve"> ;</v>
      </c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</row>
    <row r="11" spans="1:202" x14ac:dyDescent="0.25">
      <c r="A11">
        <v>10</v>
      </c>
      <c r="B11" s="4" t="s">
        <v>0</v>
      </c>
      <c r="C11" s="4" t="s">
        <v>49</v>
      </c>
      <c r="D11" s="4" t="s">
        <v>0</v>
      </c>
      <c r="E11" s="4" t="s">
        <v>48</v>
      </c>
      <c r="F11" s="4" t="s">
        <v>51</v>
      </c>
      <c r="G11" s="7" t="s">
        <v>72</v>
      </c>
      <c r="H11" s="7" t="s">
        <v>72</v>
      </c>
      <c r="I11" s="7">
        <v>1</v>
      </c>
      <c r="J11" s="7" t="s">
        <v>72</v>
      </c>
      <c r="K11" s="7">
        <v>1</v>
      </c>
      <c r="L11" s="4" t="s">
        <v>50</v>
      </c>
      <c r="M11" s="7" t="s">
        <v>72</v>
      </c>
      <c r="N11" s="4"/>
      <c r="O11" s="7"/>
      <c r="P11" s="4"/>
      <c r="Q11" s="8" t="str">
        <f>VLOOKUP($C11,aws_cli_commands!$C$2:$E$10000,2,FALSE)</f>
        <v>n</v>
      </c>
      <c r="R11" s="8" t="str">
        <f>VLOOKUP($C11,aws_cli_commands!$C$2:$E$10000,3,FALSE)</f>
        <v>y</v>
      </c>
      <c r="S11" s="8" t="str">
        <f>IF(OR(C11=C10,C11=C12),"y","n")</f>
        <v>n</v>
      </c>
      <c r="T11" s="8" t="str">
        <f>B11&amp;"___"&amp;SUBSTITUTE(RIGHT(C11,LEN(C11)-FIND("-",C11)),"-","_")</f>
        <v>iam___login_profile</v>
      </c>
      <c r="U11" s="8" t="str">
        <f>SUBSTITUTE(D11&amp;"___"&amp;RIGHT(E11,LEN(E11)-FIND("-",E11)),"-","_")</f>
        <v>iam___users</v>
      </c>
      <c r="V11" s="8" t="str">
        <f>SUBSTITUTE(RIGHT($E11,LEN($E11)-FIND("-",$E11)),"-","_")</f>
        <v>users</v>
      </c>
      <c r="W11" s="8" t="str">
        <f>IF(G11="y",V11&amp;"_"&amp;LOWER(F11),IF(M11="y","**hardcoded**",LOWER(F11)))</f>
        <v>username</v>
      </c>
      <c r="X11" s="8" t="str">
        <f t="shared" si="1"/>
        <v>n</v>
      </c>
      <c r="Y11" s="8">
        <f>IF(AND($C11=$C11,$M11="y"),1,0)+IF(AND($C10=$C11,$M10="y"),1,0)+IF(AND($C9=$C11,$M9="y"),1,0)+IF(AND($C8=$C11,$M8="y"),1,0)+IF(AND($C7=$C11,$M7="y"),1,0)+IF(AND($C6=$C11,$M6="y"),1,0)+IF(AND($C5=$C11,$M5="y"),1,0)+IF(AND($C4=$C11,$M4="y"),1,0)+IF(AND($C3=$C11,$M3="y"),1,0)</f>
        <v>0</v>
      </c>
      <c r="Z11" s="8">
        <f>IF(AND($C11=$C11,$M11="y"),1,0)+IF(AND($C11=$C12,$M12="y"),1,0)+IF(AND($C11=$C13,$M13="y"),1,0)+IF(AND($C11=$C14,$M14="y"),1,0)+IF(AND($C11=$C15,$M15="y"),1,0)+IF(AND($C11=$C16,$M16="y"),1,0)+IF(AND($C11=$C17,$M17="y"),1,0)+IF(AND($C11=$C18,$M18="y"),1,0)+IF(AND($C11=$C19,$M19="y"),1,0)</f>
        <v>0</v>
      </c>
      <c r="AA11" s="8" t="s">
        <v>127</v>
      </c>
      <c r="AB11" s="9" t="str">
        <f>IF(AND($H11="y",$C11&lt;&gt;$C10),B11&amp;" "&amp;AC11&amp;AD11&amp;AE11&amp;AF11&amp;AG11&amp;AH11&amp;AI11&amp;AJ11&amp;AK11,IF(H11="n",B11&amp;" "&amp;AC11&amp;AD11&amp;AE11&amp;AF11&amp;AG11&amp;AH11&amp;AI11&amp;AJ11&amp;AK11,""))</f>
        <v>iam get-login-profile --user-name</v>
      </c>
      <c r="AC11" s="8" t="str">
        <f t="shared" si="2"/>
        <v>get-login-profile</v>
      </c>
      <c r="AD11" s="8" t="str">
        <f>IF($I11&gt;=1," "&amp;$L11,"")</f>
        <v xml:space="preserve"> --user-name</v>
      </c>
      <c r="AE11" s="8" t="str">
        <f>IF($I11&gt;=2," "&amp;$L12,"")</f>
        <v/>
      </c>
      <c r="AF11" s="8" t="str">
        <f>IF($I11&gt;=3," "&amp;$L13,"")</f>
        <v/>
      </c>
      <c r="AG11" s="8" t="str">
        <f>IF($I11&gt;=4," "&amp;$L14,"")</f>
        <v/>
      </c>
      <c r="AH11" s="8" t="str">
        <f>IF($I11&gt;=5," "&amp;$L15,"")</f>
        <v/>
      </c>
      <c r="AI11" s="8" t="str">
        <f>IF($I11&gt;=6," "&amp;$L16,"")</f>
        <v/>
      </c>
      <c r="AJ11" s="8" t="str">
        <f>IF($I11&gt;=7," "&amp;$L17,"")</f>
        <v/>
      </c>
      <c r="AK11" s="8" t="str">
        <f>IF($I11&gt;=8," "&amp;$L18,"")</f>
        <v/>
      </c>
      <c r="AL11" s="8" t="str">
        <f>U11</f>
        <v>iam___users</v>
      </c>
      <c r="AM11" s="8" t="str">
        <f>IF($I11&gt;=2,$U12,"")</f>
        <v/>
      </c>
      <c r="AN11" s="8" t="str">
        <f>IF($I11&gt;=3,$U13,"")</f>
        <v/>
      </c>
      <c r="AO11" s="8" t="str">
        <f>IF(I11&gt;=4,$U14,"")</f>
        <v/>
      </c>
      <c r="AP11" s="8" t="str">
        <f>IF($I11&gt;=5,$U15,"")</f>
        <v/>
      </c>
      <c r="AQ11" s="8" t="str">
        <f>IF($I11&gt;=6,$U16,"")</f>
        <v/>
      </c>
      <c r="AR11" s="8" t="str">
        <f>IF($I11&gt;=7,$U17,"")</f>
        <v/>
      </c>
      <c r="AS11" s="8" t="str">
        <f>IF(I11&gt;=8,$U18,"")</f>
        <v/>
      </c>
      <c r="AT11" s="8" t="str">
        <f>F11</f>
        <v>UserName</v>
      </c>
      <c r="AU11" s="8" t="str">
        <f>IF($I11&gt;=2,$F12,"")</f>
        <v/>
      </c>
      <c r="AV11" s="8" t="str">
        <f>IF($I11&gt;=3,$F13,"")</f>
        <v/>
      </c>
      <c r="AW11" s="8" t="str">
        <f>IF($I11&gt;=4,$F14,"")</f>
        <v/>
      </c>
      <c r="AX11" s="8" t="str">
        <f>IF($I11&gt;=5,$F15,"")</f>
        <v/>
      </c>
      <c r="AY11" s="8" t="str">
        <f>IF($I11&gt;=6,$F16,"")</f>
        <v/>
      </c>
      <c r="AZ11" s="8" t="str">
        <f>IF($I11&gt;=7,$F17,"")</f>
        <v/>
      </c>
      <c r="BA11" s="8" t="str">
        <f>IF($I11&gt;=8,$F18,"")</f>
        <v/>
      </c>
      <c r="BB11" s="9" t="str">
        <f>IF(OR(R11&lt;&gt;"y",I11&lt;&gt;1),"","SELECT aws_command::text || ' ' || command_parameter::text AS aws_command_string, parameter_source_table, parameter_source_key FROM (SELECT  "&amp;"'"&amp;AB11&amp;"'"&amp;" AS aws_command,"&amp;U11&amp;"."&amp;V11&amp;" -&gt;&gt; "&amp;"'"&amp;F11&amp;"'"&amp;" AS command_parameter, "&amp;"'"&amp;AL11&amp;"'"&amp;" AS parameter_source_table, "&amp;"'"&amp;AT11&amp;"'"&amp;" AS parameter_source_key FROM "&amp;U11&amp;") AS f")</f>
        <v>SELECT aws_command::text || ' ' || command_parameter::text AS aws_command_string, parameter_source_table, parameter_source_key FROM (SELECT  'iam get-login-profile --user-name' AS aws_command,iam___users.users -&gt;&gt; 'UserName' AS command_parameter, 'iam___users' AS parameter_source_table, 'UserName' AS parameter_source_key FROM iam___users) AS f</v>
      </c>
      <c r="BC11" s="9" t="str">
        <f>IF(AND(H11="y",H10&lt;&gt;"y"),BE11&amp;BF11&amp;BG11&amp;BR11&amp;CC11,"")</f>
        <v/>
      </c>
      <c r="BD11" s="8" t="str">
        <f>"/* recursive command: "&amp;C11&amp;" */ DROP TABLE IF EXISTS "&amp;T11&amp;"; CREATE TABLE "&amp;T11&amp;"(  id SERIAL PRIMARY KEY, "&amp;F11&amp;" TEXT); SELECT "&amp;U11&amp;"."&amp;V11&amp;" -&gt;&gt; '"&amp;F11&amp;"' AS "&amp;V11&amp;" FROM "&amp;U11&amp;" ;"</f>
        <v>/* recursive command: get-login-profile */ DROP TABLE IF EXISTS iam___login_profile; CREATE TABLE iam___login_profile(  id SERIAL PRIMARY KEY, UserName TEXT); SELECT iam___users.users -&gt;&gt; 'UserName' AS users FROM iam___users ;</v>
      </c>
      <c r="BE11" s="8" t="str">
        <f t="shared" si="3"/>
        <v xml:space="preserve">/* recursive command multi: get-login-profile */ </v>
      </c>
      <c r="BF11" s="8" t="str">
        <f t="shared" si="4"/>
        <v xml:space="preserve">DROP TABLE IF EXISTS iam___login_profile; </v>
      </c>
      <c r="BG11" s="8" t="str">
        <f t="shared" si="5"/>
        <v>CREATE TABLE iam___login_profile(  id SERIAL PRIMARY KEY, username TEXT );</v>
      </c>
      <c r="BH11" s="8" t="str">
        <f t="shared" si="6"/>
        <v xml:space="preserve">CREATE TABLE iam___login_profile(  id SERIAL PRIMARY KEY, </v>
      </c>
      <c r="BI11" s="8" t="str">
        <f>IF($I11&gt;=1,$W11&amp;" TEXT","")</f>
        <v>username TEXT</v>
      </c>
      <c r="BJ11" s="8" t="str">
        <f>IF($I11&gt;=2,", "&amp;$W12&amp;" TEXT","")</f>
        <v/>
      </c>
      <c r="BK11" s="8" t="str">
        <f>IF($I11&gt;=3,", "&amp;$W13&amp;" TEXT","")</f>
        <v/>
      </c>
      <c r="BL11" s="8" t="str">
        <f>IF($I11&gt;=4,", "&amp;$W14&amp;" TEXT","")</f>
        <v/>
      </c>
      <c r="BM11" s="8" t="str">
        <f>IF($I11&gt;=5,", "&amp;$W15&amp;" TEXT","")</f>
        <v/>
      </c>
      <c r="BN11" s="8" t="str">
        <f>IF($I11&gt;=6,", "&amp;$W16&amp;" TEXT","")</f>
        <v/>
      </c>
      <c r="BO11" s="8" t="str">
        <f>IF($I11&gt;=7,", "&amp;$W17&amp;" TEXT","")</f>
        <v/>
      </c>
      <c r="BP11" s="8" t="str">
        <f>IF($I11&gt;=8,", "&amp;$W18&amp;" TEXT","")</f>
        <v/>
      </c>
      <c r="BQ11" s="8" t="str">
        <f t="shared" si="7"/>
        <v xml:space="preserve"> );</v>
      </c>
      <c r="BR11" s="9" t="str">
        <f t="shared" si="8"/>
        <v xml:space="preserve"> INSERT INTO iam___login_profile(username)</v>
      </c>
      <c r="BS11" s="9" t="str">
        <f t="shared" si="9"/>
        <v xml:space="preserve"> INSERT INTO iam___login_profile(</v>
      </c>
      <c r="BT11" s="9" t="str">
        <f>IF($I11&gt;=1,$W11,"")</f>
        <v>username</v>
      </c>
      <c r="BU11" s="9" t="str">
        <f>IF($I11&gt;=2,", "&amp;$W12,"")</f>
        <v/>
      </c>
      <c r="BV11" s="9" t="str">
        <f>IF($I11&gt;=3,", "&amp;$W13,"")</f>
        <v/>
      </c>
      <c r="BW11" s="9" t="str">
        <f>IF($I11&gt;=4,", "&amp;$W14,"")</f>
        <v/>
      </c>
      <c r="BX11" s="9" t="str">
        <f>IF($I11&gt;=5,", "&amp;$W15,"")</f>
        <v/>
      </c>
      <c r="BY11" s="9" t="str">
        <f>IF($I11&gt;=6,", "&amp;$W16,"")</f>
        <v/>
      </c>
      <c r="BZ11" s="9" t="str">
        <f>IF($I11&gt;=7,", "&amp;$W17,"")</f>
        <v/>
      </c>
      <c r="CA11" s="9" t="str">
        <f>IF($I11&gt;=8,", "&amp;$W18,"")</f>
        <v/>
      </c>
      <c r="CB11" s="9" t="str">
        <f t="shared" si="10"/>
        <v>)</v>
      </c>
      <c r="CC11" s="9" t="str">
        <f t="shared" si="0"/>
        <v xml:space="preserve"> SELECT iam___users.users -&gt;&gt; 'UserName' AS users_username FROM iam___users ;</v>
      </c>
      <c r="CD11" s="8" t="str">
        <f>" SELECT "&amp;$U11&amp;"."&amp;$V11&amp;" -&gt;&gt; '"&amp;$F11&amp;"' AS "&amp;$V11&amp;"_"&amp;LOWER(F11)</f>
        <v xml:space="preserve"> SELECT iam___users.users -&gt;&gt; 'UserName' AS users_username</v>
      </c>
      <c r="CE11" s="8" t="str">
        <f>IF($I11&gt;=2,", "&amp;$U12&amp;"."&amp;$V12&amp;" -&gt;&gt; '"&amp;$F12&amp;"' AS "&amp;$V12&amp;"_"&amp;LOWER(F12),"")</f>
        <v/>
      </c>
      <c r="CF11" s="8" t="str">
        <f>IF($I11&gt;=3,", "&amp;$U13&amp;"."&amp;$V13&amp;" -&gt;&gt; '"&amp;$F13&amp;"' AS "&amp;$V13&amp;"_"&amp;LOWER(F13),"")</f>
        <v/>
      </c>
      <c r="CG11" s="8" t="str">
        <f>IF($I11&gt;=4,", "&amp;$U14&amp;"."&amp;$V14&amp;" -&gt;&gt; '"&amp;$F14&amp;"' AS "&amp;$V14&amp;"_"&amp;LOWER(F14),"")</f>
        <v/>
      </c>
      <c r="CH11" s="8" t="str">
        <f>IF($I11&gt;=5,", "&amp;$U15&amp;"."&amp;$V15&amp;" -&gt;&gt; '"&amp;$F15&amp;"' AS "&amp;$V15&amp;"_"&amp;LOWER(F15),"")</f>
        <v/>
      </c>
      <c r="CI11" s="8" t="str">
        <f>IF($I11&gt;=6,", "&amp;$U16&amp;"."&amp;$V16&amp;" -&gt;&gt; '"&amp;$F16&amp;"' AS "&amp;$V16&amp;"_"&amp;LOWER(F16),"")</f>
        <v/>
      </c>
      <c r="CJ11" s="8" t="str">
        <f>IF($I11&gt;=7,", "&amp;$U17&amp;"."&amp;$V17&amp;" -&gt;&gt; '"&amp;$F17&amp;"' AS "&amp;$V17&amp;"_"&amp;LOWER(F17),"")</f>
        <v/>
      </c>
      <c r="CK11" s="8" t="str">
        <f>IF($I11&gt;=8,", "&amp;$U18&amp;"."&amp;$V18&amp;" -&gt;&gt; '"&amp;$F18&amp;"' AS "&amp;$V18&amp;"_"&amp;LOWER(F18),"")</f>
        <v/>
      </c>
      <c r="CL11" s="8" t="str">
        <f>IF($I11&gt;=1," FROM "&amp;$U11,"")</f>
        <v xml:space="preserve"> FROM iam___users</v>
      </c>
      <c r="CM11" s="9" t="str">
        <f>IF($I11&gt;=2," "&amp;$AA11&amp;" JOIN "&amp;$U11&amp;" USING ("&amp;$T11&amp;"."&amp;$W11&amp;", "&amp;$U11&amp;"."&amp;$V11&amp;" -&gt;&gt; '"&amp;$F11&amp;"')","")</f>
        <v/>
      </c>
      <c r="CN11" s="9" t="str">
        <f>IF($I11&gt;=3," "&amp;$AA12&amp;" JOIN "&amp;$U12&amp;" USING ("&amp;$T12&amp;"."&amp;$W12&amp;", "&amp;$U12&amp;"."&amp;$V12&amp;" -&gt;&gt; '"&amp;$F12&amp;"')","")</f>
        <v/>
      </c>
      <c r="CO11" s="9" t="str">
        <f>IF($I11&gt;=4," "&amp;$AA13&amp;" JOIN "&amp;$U13&amp;" USING ("&amp;$T13&amp;"."&amp;$W13&amp;", "&amp;$U13&amp;"."&amp;$V13&amp;" -&gt;&gt; '"&amp;$F13&amp;"')","")</f>
        <v/>
      </c>
      <c r="CP11" s="9" t="str">
        <f>IF($I11&gt;=5," "&amp;$AA14&amp;" JOIN "&amp;$U14&amp;" USING ("&amp;$T14&amp;"."&amp;$W14&amp;", "&amp;$U14&amp;"."&amp;$V14&amp;" -&gt;&gt; '"&amp;$F14&amp;"')","")</f>
        <v/>
      </c>
      <c r="CQ11" s="9" t="str">
        <f>IF($I11&gt;=6," "&amp;$AA15&amp;" JOIN "&amp;$U15&amp;" USING ("&amp;$T15&amp;"."&amp;$W15&amp;", "&amp;$U15&amp;"."&amp;$V15&amp;" -&gt;&gt; '"&amp;$F15&amp;"')","")</f>
        <v/>
      </c>
      <c r="CR11" s="8" t="str">
        <f>IF($I11&gt;=7," "&amp;$AA16&amp;" JOIN "&amp;$U16&amp;" USING ("&amp;$T16&amp;"."&amp;$W16&amp;", "&amp;$U16&amp;"."&amp;$V16&amp;" -&gt;&gt; '"&amp;$F16&amp;"')","")</f>
        <v/>
      </c>
      <c r="CS11" s="8" t="str">
        <f>IF($I11&gt;=8," "&amp;$AA17&amp;" JOIN "&amp;$U17&amp;" USING ("&amp;$T17&amp;"."&amp;$W17&amp;", "&amp;$U17&amp;"."&amp;$V17&amp;" -&gt;&gt; '"&amp;$F17&amp;"')","")</f>
        <v/>
      </c>
      <c r="CT11" s="8" t="str">
        <f t="shared" si="11"/>
        <v xml:space="preserve"> ;</v>
      </c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</row>
    <row r="12" spans="1:202" x14ac:dyDescent="0.25">
      <c r="A12">
        <v>11</v>
      </c>
      <c r="B12" s="4" t="s">
        <v>0</v>
      </c>
      <c r="C12" s="4" t="s">
        <v>26</v>
      </c>
      <c r="D12" s="4" t="s">
        <v>0</v>
      </c>
      <c r="E12" s="4" t="s">
        <v>26</v>
      </c>
      <c r="F12" s="4" t="s">
        <v>28</v>
      </c>
      <c r="G12" s="7" t="s">
        <v>72</v>
      </c>
      <c r="H12" s="7" t="s">
        <v>72</v>
      </c>
      <c r="I12" s="7">
        <v>1</v>
      </c>
      <c r="J12" s="7" t="s">
        <v>72</v>
      </c>
      <c r="K12" s="7">
        <v>1</v>
      </c>
      <c r="L12" s="4" t="s">
        <v>27</v>
      </c>
      <c r="M12" s="7" t="s">
        <v>72</v>
      </c>
      <c r="N12" s="4"/>
      <c r="O12" s="7"/>
      <c r="P12" s="4"/>
      <c r="Q12" s="8" t="str">
        <f>VLOOKUP($C12,aws_cli_commands!$C$2:$E$10000,2,FALSE)</f>
        <v>n</v>
      </c>
      <c r="R12" s="8" t="str">
        <f>VLOOKUP($C12,aws_cli_commands!$C$2:$E$10000,3,FALSE)</f>
        <v>y</v>
      </c>
      <c r="S12" s="8" t="str">
        <f>IF(OR(C12=C11,C12=C13),"y","n")</f>
        <v>n</v>
      </c>
      <c r="T12" s="8" t="str">
        <f>B12&amp;"___"&amp;SUBSTITUTE(RIGHT(C12,LEN(C12)-FIND("-",C12)),"-","_")</f>
        <v>iam___open_id_connect_provider</v>
      </c>
      <c r="U12" s="8" t="str">
        <f>SUBSTITUTE(D12&amp;"___"&amp;RIGHT(E12,LEN(E12)-FIND("-",E12)),"-","_")</f>
        <v>iam___open_id_connect_provider</v>
      </c>
      <c r="V12" s="8" t="str">
        <f>SUBSTITUTE(RIGHT($E12,LEN($E12)-FIND("-",$E12)),"-","_")</f>
        <v>open_id_connect_provider</v>
      </c>
      <c r="W12" s="8" t="str">
        <f>IF(G12="y",V12&amp;"_"&amp;LOWER(F12),IF(M12="y","**hardcoded**",LOWER(F12)))</f>
        <v>arn</v>
      </c>
      <c r="X12" s="8" t="str">
        <f t="shared" si="1"/>
        <v>n</v>
      </c>
      <c r="Y12" s="8">
        <f>IF(AND($C12=$C12,$M12="y"),1,0)+IF(AND($C11=$C12,$M11="y"),1,0)+IF(AND($C10=$C12,$M10="y"),1,0)+IF(AND($C9=$C12,$M9="y"),1,0)+IF(AND($C8=$C12,$M8="y"),1,0)+IF(AND($C7=$C12,$M7="y"),1,0)+IF(AND($C6=$C12,$M6="y"),1,0)+IF(AND($C5=$C12,$M5="y"),1,0)+IF(AND($C4=$C12,$M4="y"),1,0)</f>
        <v>0</v>
      </c>
      <c r="Z12" s="8">
        <f>IF(AND($C12=$C12,$M12="y"),1,0)+IF(AND($C12=$C13,$M13="y"),1,0)+IF(AND($C12=$C14,$M14="y"),1,0)+IF(AND($C12=$C15,$M15="y"),1,0)+IF(AND($C12=$C16,$M16="y"),1,0)+IF(AND($C12=$C17,$M17="y"),1,0)+IF(AND($C12=$C18,$M18="y"),1,0)+IF(AND($C12=$C19,$M19="y"),1,0)+IF(AND($C12=$C20,$M20="y"),1,0)</f>
        <v>0</v>
      </c>
      <c r="AA12" s="8" t="s">
        <v>127</v>
      </c>
      <c r="AB12" s="9" t="str">
        <f>IF(AND($H12="y",$C12&lt;&gt;$C11),B12&amp;" "&amp;AC12&amp;AD12&amp;AE12&amp;AF12&amp;AG12&amp;AH12&amp;AI12&amp;AJ12&amp;AK12,IF(H12="n",B12&amp;" "&amp;AC12&amp;AD12&amp;AE12&amp;AF12&amp;AG12&amp;AH12&amp;AI12&amp;AJ12&amp;AK12,""))</f>
        <v>iam get-open-id-connect-provider --open-id-connect-provider-arn</v>
      </c>
      <c r="AC12" s="8" t="str">
        <f t="shared" si="2"/>
        <v>get-open-id-connect-provider</v>
      </c>
      <c r="AD12" s="8" t="str">
        <f>IF($I12&gt;=1," "&amp;$L12,"")</f>
        <v xml:space="preserve"> --open-id-connect-provider-arn</v>
      </c>
      <c r="AE12" s="8" t="str">
        <f>IF($I12&gt;=2," "&amp;$L13,"")</f>
        <v/>
      </c>
      <c r="AF12" s="8" t="str">
        <f>IF($I12&gt;=3," "&amp;$L14,"")</f>
        <v/>
      </c>
      <c r="AG12" s="8" t="str">
        <f>IF($I12&gt;=4," "&amp;$L15,"")</f>
        <v/>
      </c>
      <c r="AH12" s="8" t="str">
        <f>IF($I12&gt;=5," "&amp;$L16,"")</f>
        <v/>
      </c>
      <c r="AI12" s="8" t="str">
        <f>IF($I12&gt;=6," "&amp;$L17,"")</f>
        <v/>
      </c>
      <c r="AJ12" s="8" t="str">
        <f>IF($I12&gt;=7," "&amp;$L18,"")</f>
        <v/>
      </c>
      <c r="AK12" s="8" t="str">
        <f>IF($I12&gt;=8," "&amp;$L19,"")</f>
        <v/>
      </c>
      <c r="AL12" s="8" t="str">
        <f>U12</f>
        <v>iam___open_id_connect_provider</v>
      </c>
      <c r="AM12" s="8" t="str">
        <f>IF($I12&gt;=2,$U13,"")</f>
        <v/>
      </c>
      <c r="AN12" s="8" t="str">
        <f>IF($I12&gt;=3,$U14,"")</f>
        <v/>
      </c>
      <c r="AO12" s="8" t="str">
        <f>IF(I12&gt;=4,$U15,"")</f>
        <v/>
      </c>
      <c r="AP12" s="8" t="str">
        <f>IF($I12&gt;=5,$U16,"")</f>
        <v/>
      </c>
      <c r="AQ12" s="8" t="str">
        <f>IF($I12&gt;=6,$U17,"")</f>
        <v/>
      </c>
      <c r="AR12" s="8" t="str">
        <f>IF($I12&gt;=7,$U18,"")</f>
        <v/>
      </c>
      <c r="AS12" s="8" t="str">
        <f>IF(I12&gt;=8,$U19,"")</f>
        <v/>
      </c>
      <c r="AT12" s="8" t="str">
        <f>F12</f>
        <v>Arn</v>
      </c>
      <c r="AU12" s="8" t="str">
        <f>IF($I12&gt;=2,$F13,"")</f>
        <v/>
      </c>
      <c r="AV12" s="8" t="str">
        <f>IF($I12&gt;=3,$F14,"")</f>
        <v/>
      </c>
      <c r="AW12" s="8" t="str">
        <f>IF($I12&gt;=4,$F15,"")</f>
        <v/>
      </c>
      <c r="AX12" s="8" t="str">
        <f>IF($I12&gt;=5,$F16,"")</f>
        <v/>
      </c>
      <c r="AY12" s="8" t="str">
        <f>IF($I12&gt;=6,$F17,"")</f>
        <v/>
      </c>
      <c r="AZ12" s="8" t="str">
        <f>IF($I12&gt;=7,$F18,"")</f>
        <v/>
      </c>
      <c r="BA12" s="8" t="str">
        <f>IF($I12&gt;=8,$F19,"")</f>
        <v/>
      </c>
      <c r="BB12" s="9" t="str">
        <f>IF(OR(R12&lt;&gt;"y",I12&lt;&gt;1),"","SELECT aws_command::text || ' ' || command_parameter::text AS aws_command_string, parameter_source_table, parameter_source_key FROM (SELECT  "&amp;"'"&amp;AB12&amp;"'"&amp;" AS aws_command,"&amp;U12&amp;"."&amp;V12&amp;" -&gt;&gt; "&amp;"'"&amp;F12&amp;"'"&amp;" AS command_parameter, "&amp;"'"&amp;AL12&amp;"'"&amp;" AS parameter_source_table, "&amp;"'"&amp;AT12&amp;"'"&amp;" AS parameter_source_key FROM "&amp;U12&amp;") AS f")</f>
        <v>SELECT aws_command::text || ' ' || command_parameter::text AS aws_command_string, parameter_source_table, parameter_source_key FROM (SELECT  'iam get-open-id-connect-provider --open-id-connect-provider-arn' AS aws_command,iam___open_id_connect_provider.open_id_connect_provider -&gt;&gt; 'Arn' AS command_parameter, 'iam___open_id_connect_provider' AS parameter_source_table, 'Arn' AS parameter_source_key FROM iam___open_id_connect_provider) AS f</v>
      </c>
      <c r="BC12" s="9" t="str">
        <f>IF(AND(H12="y",H11&lt;&gt;"y"),BE12&amp;BF12&amp;BG12&amp;BR12&amp;CC12,"")</f>
        <v/>
      </c>
      <c r="BD12" s="8" t="str">
        <f>"/* recursive command: "&amp;C12&amp;" */ DROP TABLE IF EXISTS "&amp;T12&amp;"; CREATE TABLE "&amp;T12&amp;"(  id SERIAL PRIMARY KEY, "&amp;F12&amp;" TEXT); SELECT "&amp;U12&amp;"."&amp;V12&amp;" -&gt;&gt; '"&amp;F12&amp;"' AS "&amp;V12&amp;" FROM "&amp;U12&amp;" ;"</f>
        <v>/* recursive command: get-open-id-connect-provider */ DROP TABLE IF EXISTS iam___open_id_connect_provider; CREATE TABLE iam___open_id_connect_provider(  id SERIAL PRIMARY KEY, Arn TEXT); SELECT iam___open_id_connect_provider.open_id_connect_provider -&gt;&gt; 'Arn' AS open_id_connect_provider FROM iam___open_id_connect_provider ;</v>
      </c>
      <c r="BE12" s="8" t="str">
        <f t="shared" si="3"/>
        <v xml:space="preserve">/* recursive command multi: get-open-id-connect-provider */ </v>
      </c>
      <c r="BF12" s="8" t="str">
        <f t="shared" si="4"/>
        <v xml:space="preserve">DROP TABLE IF EXISTS iam___open_id_connect_provider; </v>
      </c>
      <c r="BG12" s="8" t="str">
        <f t="shared" si="5"/>
        <v>CREATE TABLE iam___open_id_connect_provider(  id SERIAL PRIMARY KEY, arn TEXT );</v>
      </c>
      <c r="BH12" s="8" t="str">
        <f t="shared" si="6"/>
        <v xml:space="preserve">CREATE TABLE iam___open_id_connect_provider(  id SERIAL PRIMARY KEY, </v>
      </c>
      <c r="BI12" s="8" t="str">
        <f>IF($I12&gt;=1,$W12&amp;" TEXT","")</f>
        <v>arn TEXT</v>
      </c>
      <c r="BJ12" s="8" t="str">
        <f>IF($I12&gt;=2,", "&amp;$W13&amp;" TEXT","")</f>
        <v/>
      </c>
      <c r="BK12" s="8" t="str">
        <f>IF($I12&gt;=3,", "&amp;$W14&amp;" TEXT","")</f>
        <v/>
      </c>
      <c r="BL12" s="8" t="str">
        <f>IF($I12&gt;=4,", "&amp;$W15&amp;" TEXT","")</f>
        <v/>
      </c>
      <c r="BM12" s="8" t="str">
        <f>IF($I12&gt;=5,", "&amp;$W16&amp;" TEXT","")</f>
        <v/>
      </c>
      <c r="BN12" s="8" t="str">
        <f>IF($I12&gt;=6,", "&amp;$W17&amp;" TEXT","")</f>
        <v/>
      </c>
      <c r="BO12" s="8" t="str">
        <f>IF($I12&gt;=7,", "&amp;$W18&amp;" TEXT","")</f>
        <v/>
      </c>
      <c r="BP12" s="8" t="str">
        <f>IF($I12&gt;=8,", "&amp;$W19&amp;" TEXT","")</f>
        <v/>
      </c>
      <c r="BQ12" s="8" t="str">
        <f t="shared" si="7"/>
        <v xml:space="preserve"> );</v>
      </c>
      <c r="BR12" s="9" t="str">
        <f t="shared" si="8"/>
        <v xml:space="preserve"> INSERT INTO iam___open_id_connect_provider(arn)</v>
      </c>
      <c r="BS12" s="9" t="str">
        <f t="shared" si="9"/>
        <v xml:space="preserve"> INSERT INTO iam___open_id_connect_provider(</v>
      </c>
      <c r="BT12" s="9" t="str">
        <f>IF($I12&gt;=1,$W12,"")</f>
        <v>arn</v>
      </c>
      <c r="BU12" s="9" t="str">
        <f>IF($I12&gt;=2,", "&amp;$W13,"")</f>
        <v/>
      </c>
      <c r="BV12" s="9" t="str">
        <f>IF($I12&gt;=3,", "&amp;$W14,"")</f>
        <v/>
      </c>
      <c r="BW12" s="9" t="str">
        <f>IF($I12&gt;=4,", "&amp;$W15,"")</f>
        <v/>
      </c>
      <c r="BX12" s="9" t="str">
        <f>IF($I12&gt;=5,", "&amp;$W16,"")</f>
        <v/>
      </c>
      <c r="BY12" s="9" t="str">
        <f>IF($I12&gt;=6,", "&amp;$W17,"")</f>
        <v/>
      </c>
      <c r="BZ12" s="9" t="str">
        <f>IF($I12&gt;=7,", "&amp;$W18,"")</f>
        <v/>
      </c>
      <c r="CA12" s="9" t="str">
        <f>IF($I12&gt;=8,", "&amp;$W19,"")</f>
        <v/>
      </c>
      <c r="CB12" s="9" t="str">
        <f t="shared" si="10"/>
        <v>)</v>
      </c>
      <c r="CC12" s="9" t="str">
        <f t="shared" si="0"/>
        <v xml:space="preserve"> SELECT iam___open_id_connect_provider.open_id_connect_provider -&gt;&gt; 'Arn' AS open_id_connect_provider_arn FROM iam___open_id_connect_provider ;</v>
      </c>
      <c r="CD12" s="8" t="str">
        <f>" SELECT "&amp;$U12&amp;"."&amp;$V12&amp;" -&gt;&gt; '"&amp;$F12&amp;"' AS "&amp;$V12&amp;"_"&amp;LOWER(F12)</f>
        <v xml:space="preserve"> SELECT iam___open_id_connect_provider.open_id_connect_provider -&gt;&gt; 'Arn' AS open_id_connect_provider_arn</v>
      </c>
      <c r="CE12" s="8" t="str">
        <f>IF($I12&gt;=2,", "&amp;$U13&amp;"."&amp;$V13&amp;" -&gt;&gt; '"&amp;$F13&amp;"' AS "&amp;$V13&amp;"_"&amp;LOWER(F13),"")</f>
        <v/>
      </c>
      <c r="CF12" s="8" t="str">
        <f>IF($I12&gt;=3,", "&amp;$U14&amp;"."&amp;$V14&amp;" -&gt;&gt; '"&amp;$F14&amp;"' AS "&amp;$V14&amp;"_"&amp;LOWER(F14),"")</f>
        <v/>
      </c>
      <c r="CG12" s="8" t="str">
        <f>IF($I12&gt;=4,", "&amp;$U15&amp;"."&amp;$V15&amp;" -&gt;&gt; '"&amp;$F15&amp;"' AS "&amp;$V15&amp;"_"&amp;LOWER(F15),"")</f>
        <v/>
      </c>
      <c r="CH12" s="8" t="str">
        <f>IF($I12&gt;=5,", "&amp;$U16&amp;"."&amp;$V16&amp;" -&gt;&gt; '"&amp;$F16&amp;"' AS "&amp;$V16&amp;"_"&amp;LOWER(F16),"")</f>
        <v/>
      </c>
      <c r="CI12" s="8" t="str">
        <f>IF($I12&gt;=6,", "&amp;$U17&amp;"."&amp;$V17&amp;" -&gt;&gt; '"&amp;$F17&amp;"' AS "&amp;$V17&amp;"_"&amp;LOWER(F17),"")</f>
        <v/>
      </c>
      <c r="CJ12" s="8" t="str">
        <f>IF($I12&gt;=7,", "&amp;$U18&amp;"."&amp;$V18&amp;" -&gt;&gt; '"&amp;$F18&amp;"' AS "&amp;$V18&amp;"_"&amp;LOWER(F18),"")</f>
        <v/>
      </c>
      <c r="CK12" s="8" t="str">
        <f>IF($I12&gt;=8,", "&amp;$U19&amp;"."&amp;$V19&amp;" -&gt;&gt; '"&amp;$F19&amp;"' AS "&amp;$V19&amp;"_"&amp;LOWER(F19),"")</f>
        <v/>
      </c>
      <c r="CL12" s="8" t="str">
        <f>IF($I12&gt;=1," FROM "&amp;$U12,"")</f>
        <v xml:space="preserve"> FROM iam___open_id_connect_provider</v>
      </c>
      <c r="CM12" s="9" t="str">
        <f>IF($I12&gt;=2," "&amp;$AA12&amp;" JOIN "&amp;$U12&amp;" USING ("&amp;$T12&amp;"."&amp;$W12&amp;", "&amp;$U12&amp;"."&amp;$V12&amp;" -&gt;&gt; '"&amp;$F12&amp;"')","")</f>
        <v/>
      </c>
      <c r="CN12" s="9" t="str">
        <f>IF($I12&gt;=3," "&amp;$AA13&amp;" JOIN "&amp;$U13&amp;" USING ("&amp;$T13&amp;"."&amp;$W13&amp;", "&amp;$U13&amp;"."&amp;$V13&amp;" -&gt;&gt; '"&amp;$F13&amp;"')","")</f>
        <v/>
      </c>
      <c r="CO12" s="9" t="str">
        <f>IF($I12&gt;=4," "&amp;$AA14&amp;" JOIN "&amp;$U14&amp;" USING ("&amp;$T14&amp;"."&amp;$W14&amp;", "&amp;$U14&amp;"."&amp;$V14&amp;" -&gt;&gt; '"&amp;$F14&amp;"')","")</f>
        <v/>
      </c>
      <c r="CP12" s="9" t="str">
        <f>IF($I12&gt;=5," "&amp;$AA15&amp;" JOIN "&amp;$U15&amp;" USING ("&amp;$T15&amp;"."&amp;$W15&amp;", "&amp;$U15&amp;"."&amp;$V15&amp;" -&gt;&gt; '"&amp;$F15&amp;"')","")</f>
        <v/>
      </c>
      <c r="CQ12" s="9" t="str">
        <f>IF($I12&gt;=6," "&amp;$AA16&amp;" JOIN "&amp;$U16&amp;" USING ("&amp;$T16&amp;"."&amp;$W16&amp;", "&amp;$U16&amp;"."&amp;$V16&amp;" -&gt;&gt; '"&amp;$F16&amp;"')","")</f>
        <v/>
      </c>
      <c r="CR12" s="8" t="str">
        <f>IF($I12&gt;=7," "&amp;$AA17&amp;" JOIN "&amp;$U17&amp;" USING ("&amp;$T17&amp;"."&amp;$W17&amp;", "&amp;$U17&amp;"."&amp;$V17&amp;" -&gt;&gt; '"&amp;$F17&amp;"')","")</f>
        <v/>
      </c>
      <c r="CS12" s="8" t="str">
        <f>IF($I12&gt;=8," "&amp;$AA18&amp;" JOIN "&amp;$U18&amp;" USING ("&amp;$T18&amp;"."&amp;$W18&amp;", "&amp;$U18&amp;"."&amp;$V18&amp;" -&gt;&gt; '"&amp;$F18&amp;"')","")</f>
        <v/>
      </c>
      <c r="CT12" s="8" t="str">
        <f t="shared" si="11"/>
        <v xml:space="preserve"> ;</v>
      </c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</row>
    <row r="13" spans="1:202" x14ac:dyDescent="0.25">
      <c r="A13">
        <v>12</v>
      </c>
      <c r="B13" s="4" t="s">
        <v>0</v>
      </c>
      <c r="C13" s="4" t="s">
        <v>30</v>
      </c>
      <c r="D13" s="4" t="s">
        <v>0</v>
      </c>
      <c r="E13" s="4" t="s">
        <v>29</v>
      </c>
      <c r="F13" s="4" t="s">
        <v>28</v>
      </c>
      <c r="G13" s="7" t="s">
        <v>72</v>
      </c>
      <c r="H13" s="7" t="s">
        <v>72</v>
      </c>
      <c r="I13" s="7">
        <v>1</v>
      </c>
      <c r="J13" s="7" t="s">
        <v>72</v>
      </c>
      <c r="K13" s="7">
        <v>1</v>
      </c>
      <c r="L13" s="4" t="s">
        <v>31</v>
      </c>
      <c r="M13" s="7" t="s">
        <v>72</v>
      </c>
      <c r="N13" s="4"/>
      <c r="O13" s="7"/>
      <c r="P13" s="4"/>
      <c r="Q13" s="8" t="str">
        <f>VLOOKUP($C13,aws_cli_commands!$C$2:$E$10000,2,FALSE)</f>
        <v>n</v>
      </c>
      <c r="R13" s="8" t="str">
        <f>VLOOKUP($C13,aws_cli_commands!$C$2:$E$10000,3,FALSE)</f>
        <v>y</v>
      </c>
      <c r="S13" s="8" t="str">
        <f>IF(OR(C13=C12,C13=C14),"y","n")</f>
        <v>n</v>
      </c>
      <c r="T13" s="8" t="str">
        <f>B13&amp;"___"&amp;SUBSTITUTE(RIGHT(C13,LEN(C13)-FIND("-",C13)),"-","_")</f>
        <v>iam___policy</v>
      </c>
      <c r="U13" s="8" t="str">
        <f>SUBSTITUTE(D13&amp;"___"&amp;RIGHT(E13,LEN(E13)-FIND("-",E13)),"-","_")</f>
        <v>iam___policies</v>
      </c>
      <c r="V13" s="8" t="str">
        <f>SUBSTITUTE(RIGHT($E13,LEN($E13)-FIND("-",$E13)),"-","_")</f>
        <v>policies</v>
      </c>
      <c r="W13" s="8" t="str">
        <f>IF(G13="y",V13&amp;"_"&amp;LOWER(F13),IF(M13="y","**hardcoded**",LOWER(F13)))</f>
        <v>arn</v>
      </c>
      <c r="X13" s="8" t="str">
        <f t="shared" si="1"/>
        <v>n</v>
      </c>
      <c r="Y13" s="8">
        <f>IF(AND($C13=$C13,$M13="y"),1,0)+IF(AND($C12=$C13,$M12="y"),1,0)+IF(AND($C11=$C13,$M11="y"),1,0)+IF(AND($C10=$C13,$M10="y"),1,0)+IF(AND($C9=$C13,$M9="y"),1,0)+IF(AND($C8=$C13,$M8="y"),1,0)+IF(AND($C7=$C13,$M7="y"),1,0)+IF(AND($C6=$C13,$M6="y"),1,0)+IF(AND($C5=$C13,$M5="y"),1,0)</f>
        <v>0</v>
      </c>
      <c r="Z13" s="8">
        <f>IF(AND($C13=$C13,$M13="y"),1,0)+IF(AND($C13=$C14,$M14="y"),1,0)+IF(AND($C13=$C15,$M15="y"),1,0)+IF(AND($C13=$C16,$M16="y"),1,0)+IF(AND($C13=$C17,$M17="y"),1,0)+IF(AND($C13=$C18,$M18="y"),1,0)+IF(AND($C13=$C19,$M19="y"),1,0)+IF(AND($C13=$C20,$M20="y"),1,0)+IF(AND($C13=$C21,$M21="y"),1,0)</f>
        <v>0</v>
      </c>
      <c r="AA13" s="8" t="s">
        <v>127</v>
      </c>
      <c r="AB13" s="9" t="str">
        <f>IF(AND($H13="y",$C13&lt;&gt;$C12),B13&amp;" "&amp;AC13&amp;AD13&amp;AE13&amp;AF13&amp;AG13&amp;AH13&amp;AI13&amp;AJ13&amp;AK13,IF(H13="n",B13&amp;" "&amp;AC13&amp;AD13&amp;AE13&amp;AF13&amp;AG13&amp;AH13&amp;AI13&amp;AJ13&amp;AK13,""))</f>
        <v>iam get-policy --policy-arn</v>
      </c>
      <c r="AC13" s="8" t="str">
        <f t="shared" si="2"/>
        <v>get-policy</v>
      </c>
      <c r="AD13" s="8" t="str">
        <f>IF($I13&gt;=1," "&amp;$L13,"")</f>
        <v xml:space="preserve"> --policy-arn</v>
      </c>
      <c r="AE13" s="8" t="str">
        <f>IF($I13&gt;=2," "&amp;$L14,"")</f>
        <v/>
      </c>
      <c r="AF13" s="8" t="str">
        <f>IF($I13&gt;=3," "&amp;$L15,"")</f>
        <v/>
      </c>
      <c r="AG13" s="8" t="str">
        <f>IF($I13&gt;=4," "&amp;$L16,"")</f>
        <v/>
      </c>
      <c r="AH13" s="8" t="str">
        <f>IF($I13&gt;=5," "&amp;$L17,"")</f>
        <v/>
      </c>
      <c r="AI13" s="8" t="str">
        <f>IF($I13&gt;=6," "&amp;$L18,"")</f>
        <v/>
      </c>
      <c r="AJ13" s="8" t="str">
        <f>IF($I13&gt;=7," "&amp;$L19,"")</f>
        <v/>
      </c>
      <c r="AK13" s="8" t="str">
        <f>IF($I13&gt;=8," "&amp;$L20,"")</f>
        <v/>
      </c>
      <c r="AL13" s="8" t="str">
        <f>U13</f>
        <v>iam___policies</v>
      </c>
      <c r="AM13" s="8" t="str">
        <f>IF($I13&gt;=2,$U14,"")</f>
        <v/>
      </c>
      <c r="AN13" s="8" t="str">
        <f>IF($I13&gt;=3,$U15,"")</f>
        <v/>
      </c>
      <c r="AO13" s="8" t="str">
        <f>IF(I13&gt;=4,$U16,"")</f>
        <v/>
      </c>
      <c r="AP13" s="8" t="str">
        <f>IF($I13&gt;=5,$U17,"")</f>
        <v/>
      </c>
      <c r="AQ13" s="8" t="str">
        <f>IF($I13&gt;=6,$U18,"")</f>
        <v/>
      </c>
      <c r="AR13" s="8" t="str">
        <f>IF($I13&gt;=7,$U19,"")</f>
        <v/>
      </c>
      <c r="AS13" s="8" t="str">
        <f>IF(I13&gt;=8,$U20,"")</f>
        <v/>
      </c>
      <c r="AT13" s="8" t="str">
        <f>F13</f>
        <v>Arn</v>
      </c>
      <c r="AU13" s="8" t="str">
        <f>IF($I13&gt;=2,$F14,"")</f>
        <v/>
      </c>
      <c r="AV13" s="8" t="str">
        <f>IF($I13&gt;=3,$F15,"")</f>
        <v/>
      </c>
      <c r="AW13" s="8" t="str">
        <f>IF($I13&gt;=4,$F16,"")</f>
        <v/>
      </c>
      <c r="AX13" s="8" t="str">
        <f>IF($I13&gt;=5,$F17,"")</f>
        <v/>
      </c>
      <c r="AY13" s="8" t="str">
        <f>IF($I13&gt;=6,$F18,"")</f>
        <v/>
      </c>
      <c r="AZ13" s="8" t="str">
        <f>IF($I13&gt;=7,$F19,"")</f>
        <v/>
      </c>
      <c r="BA13" s="8" t="str">
        <f>IF($I13&gt;=8,$F20,"")</f>
        <v/>
      </c>
      <c r="BB13" s="9" t="str">
        <f>IF(OR(R13&lt;&gt;"y",I13&lt;&gt;1),"","SELECT aws_command::text || ' ' || command_parameter::text AS aws_command_string, parameter_source_table, parameter_source_key FROM (SELECT  "&amp;"'"&amp;AB13&amp;"'"&amp;" AS aws_command,"&amp;U13&amp;"."&amp;V13&amp;" -&gt;&gt; "&amp;"'"&amp;F13&amp;"'"&amp;" AS command_parameter, "&amp;"'"&amp;AL13&amp;"'"&amp;" AS parameter_source_table, "&amp;"'"&amp;AT13&amp;"'"&amp;" AS parameter_source_key FROM "&amp;U13&amp;") AS f")</f>
        <v>SELECT aws_command::text || ' ' || command_parameter::text AS aws_command_string, parameter_source_table, parameter_source_key FROM (SELECT  'iam get-policy --policy-arn' AS aws_command,iam___policies.policies -&gt;&gt; 'Arn' AS command_parameter, 'iam___policies' AS parameter_source_table, 'Arn' AS parameter_source_key FROM iam___policies) AS f</v>
      </c>
      <c r="BC13" s="9" t="str">
        <f>IF(AND(H13="y",H12&lt;&gt;"y"),BE13&amp;BF13&amp;BG13&amp;BR13&amp;CC13,"")</f>
        <v/>
      </c>
      <c r="BD13" s="8" t="str">
        <f>"/* recursive command: "&amp;C13&amp;" */ DROP TABLE IF EXISTS "&amp;T13&amp;"; CREATE TABLE "&amp;T13&amp;"(  id SERIAL PRIMARY KEY, "&amp;F13&amp;" TEXT); SELECT "&amp;U13&amp;"."&amp;V13&amp;" -&gt;&gt; '"&amp;F13&amp;"' AS "&amp;V13&amp;" FROM "&amp;U13&amp;" ;"</f>
        <v>/* recursive command: get-policy */ DROP TABLE IF EXISTS iam___policy; CREATE TABLE iam___policy(  id SERIAL PRIMARY KEY, Arn TEXT); SELECT iam___policies.policies -&gt;&gt; 'Arn' AS policies FROM iam___policies ;</v>
      </c>
      <c r="BE13" s="8" t="str">
        <f t="shared" si="3"/>
        <v xml:space="preserve">/* recursive command multi: get-policy */ </v>
      </c>
      <c r="BF13" s="8" t="str">
        <f t="shared" si="4"/>
        <v xml:space="preserve">DROP TABLE IF EXISTS iam___policy; </v>
      </c>
      <c r="BG13" s="8" t="str">
        <f t="shared" si="5"/>
        <v>CREATE TABLE iam___policy(  id SERIAL PRIMARY KEY, arn TEXT );</v>
      </c>
      <c r="BH13" s="8" t="str">
        <f t="shared" si="6"/>
        <v xml:space="preserve">CREATE TABLE iam___policy(  id SERIAL PRIMARY KEY, </v>
      </c>
      <c r="BI13" s="8" t="str">
        <f>IF($I13&gt;=1,$W13&amp;" TEXT","")</f>
        <v>arn TEXT</v>
      </c>
      <c r="BJ13" s="8" t="str">
        <f>IF($I13&gt;=2,", "&amp;$W14&amp;" TEXT","")</f>
        <v/>
      </c>
      <c r="BK13" s="8" t="str">
        <f>IF($I13&gt;=3,", "&amp;$W15&amp;" TEXT","")</f>
        <v/>
      </c>
      <c r="BL13" s="8" t="str">
        <f>IF($I13&gt;=4,", "&amp;$W16&amp;" TEXT","")</f>
        <v/>
      </c>
      <c r="BM13" s="8" t="str">
        <f>IF($I13&gt;=5,", "&amp;$W17&amp;" TEXT","")</f>
        <v/>
      </c>
      <c r="BN13" s="8" t="str">
        <f>IF($I13&gt;=6,", "&amp;$W18&amp;" TEXT","")</f>
        <v/>
      </c>
      <c r="BO13" s="8" t="str">
        <f>IF($I13&gt;=7,", "&amp;$W19&amp;" TEXT","")</f>
        <v/>
      </c>
      <c r="BP13" s="8" t="str">
        <f>IF($I13&gt;=8,", "&amp;$W20&amp;" TEXT","")</f>
        <v/>
      </c>
      <c r="BQ13" s="8" t="str">
        <f t="shared" si="7"/>
        <v xml:space="preserve"> );</v>
      </c>
      <c r="BR13" s="9" t="str">
        <f t="shared" si="8"/>
        <v xml:space="preserve"> INSERT INTO iam___policy(arn)</v>
      </c>
      <c r="BS13" s="9" t="str">
        <f t="shared" si="9"/>
        <v xml:space="preserve"> INSERT INTO iam___policy(</v>
      </c>
      <c r="BT13" s="9" t="str">
        <f>IF($I13&gt;=1,$W13,"")</f>
        <v>arn</v>
      </c>
      <c r="BU13" s="9" t="str">
        <f>IF($I13&gt;=2,", "&amp;$W14,"")</f>
        <v/>
      </c>
      <c r="BV13" s="9" t="str">
        <f>IF($I13&gt;=3,", "&amp;$W15,"")</f>
        <v/>
      </c>
      <c r="BW13" s="9" t="str">
        <f>IF($I13&gt;=4,", "&amp;$W16,"")</f>
        <v/>
      </c>
      <c r="BX13" s="9" t="str">
        <f>IF($I13&gt;=5,", "&amp;$W17,"")</f>
        <v/>
      </c>
      <c r="BY13" s="9" t="str">
        <f>IF($I13&gt;=6,", "&amp;$W18,"")</f>
        <v/>
      </c>
      <c r="BZ13" s="9" t="str">
        <f>IF($I13&gt;=7,", "&amp;$W19,"")</f>
        <v/>
      </c>
      <c r="CA13" s="9" t="str">
        <f>IF($I13&gt;=8,", "&amp;$W20,"")</f>
        <v/>
      </c>
      <c r="CB13" s="9" t="str">
        <f t="shared" si="10"/>
        <v>)</v>
      </c>
      <c r="CC13" s="9" t="str">
        <f t="shared" si="0"/>
        <v xml:space="preserve"> SELECT iam___policies.policies -&gt;&gt; 'Arn' AS policies_arn FROM iam___policies ;</v>
      </c>
      <c r="CD13" s="8" t="str">
        <f>" SELECT "&amp;$U13&amp;"."&amp;$V13&amp;" -&gt;&gt; '"&amp;$F13&amp;"' AS "&amp;$V13&amp;"_"&amp;LOWER(F13)</f>
        <v xml:space="preserve"> SELECT iam___policies.policies -&gt;&gt; 'Arn' AS policies_arn</v>
      </c>
      <c r="CE13" s="8" t="str">
        <f>IF($I13&gt;=2,", "&amp;$U14&amp;"."&amp;$V14&amp;" -&gt;&gt; '"&amp;$F14&amp;"' AS "&amp;$V14&amp;"_"&amp;LOWER(F14),"")</f>
        <v/>
      </c>
      <c r="CF13" s="8" t="str">
        <f>IF($I13&gt;=3,", "&amp;$U15&amp;"."&amp;$V15&amp;" -&gt;&gt; '"&amp;$F15&amp;"' AS "&amp;$V15&amp;"_"&amp;LOWER(F15),"")</f>
        <v/>
      </c>
      <c r="CG13" s="8" t="str">
        <f>IF($I13&gt;=4,", "&amp;$U16&amp;"."&amp;$V16&amp;" -&gt;&gt; '"&amp;$F16&amp;"' AS "&amp;$V16&amp;"_"&amp;LOWER(F16),"")</f>
        <v/>
      </c>
      <c r="CH13" s="8" t="str">
        <f>IF($I13&gt;=5,", "&amp;$U17&amp;"."&amp;$V17&amp;" -&gt;&gt; '"&amp;$F17&amp;"' AS "&amp;$V17&amp;"_"&amp;LOWER(F17),"")</f>
        <v/>
      </c>
      <c r="CI13" s="8" t="str">
        <f>IF($I13&gt;=6,", "&amp;$U18&amp;"."&amp;$V18&amp;" -&gt;&gt; '"&amp;$F18&amp;"' AS "&amp;$V18&amp;"_"&amp;LOWER(F18),"")</f>
        <v/>
      </c>
      <c r="CJ13" s="8" t="str">
        <f>IF($I13&gt;=7,", "&amp;$U19&amp;"."&amp;$V19&amp;" -&gt;&gt; '"&amp;$F19&amp;"' AS "&amp;$V19&amp;"_"&amp;LOWER(F19),"")</f>
        <v/>
      </c>
      <c r="CK13" s="8" t="str">
        <f>IF($I13&gt;=8,", "&amp;$U20&amp;"."&amp;$V20&amp;" -&gt;&gt; '"&amp;$F20&amp;"' AS "&amp;$V20&amp;"_"&amp;LOWER(F20),"")</f>
        <v/>
      </c>
      <c r="CL13" s="8" t="str">
        <f>IF($I13&gt;=1," FROM "&amp;$U13,"")</f>
        <v xml:space="preserve"> FROM iam___policies</v>
      </c>
      <c r="CM13" s="9" t="str">
        <f>IF($I13&gt;=2," "&amp;$AA13&amp;" JOIN "&amp;$U13&amp;" USING ("&amp;$T13&amp;"."&amp;$W13&amp;", "&amp;$U13&amp;"."&amp;$V13&amp;" -&gt;&gt; '"&amp;$F13&amp;"')","")</f>
        <v/>
      </c>
      <c r="CN13" s="9" t="str">
        <f>IF($I13&gt;=3," "&amp;$AA14&amp;" JOIN "&amp;$U14&amp;" USING ("&amp;$T14&amp;"."&amp;$W14&amp;", "&amp;$U14&amp;"."&amp;$V14&amp;" -&gt;&gt; '"&amp;$F14&amp;"')","")</f>
        <v/>
      </c>
      <c r="CO13" s="9" t="str">
        <f>IF($I13&gt;=4," "&amp;$AA15&amp;" JOIN "&amp;$U15&amp;" USING ("&amp;$T15&amp;"."&amp;$W15&amp;", "&amp;$U15&amp;"."&amp;$V15&amp;" -&gt;&gt; '"&amp;$F15&amp;"')","")</f>
        <v/>
      </c>
      <c r="CP13" s="9" t="str">
        <f>IF($I13&gt;=5," "&amp;$AA16&amp;" JOIN "&amp;$U16&amp;" USING ("&amp;$T16&amp;"."&amp;$W16&amp;", "&amp;$U16&amp;"."&amp;$V16&amp;" -&gt;&gt; '"&amp;$F16&amp;"')","")</f>
        <v/>
      </c>
      <c r="CQ13" s="9" t="str">
        <f>IF($I13&gt;=6," "&amp;$AA17&amp;" JOIN "&amp;$U17&amp;" USING ("&amp;$T17&amp;"."&amp;$W17&amp;", "&amp;$U17&amp;"."&amp;$V17&amp;" -&gt;&gt; '"&amp;$F17&amp;"')","")</f>
        <v/>
      </c>
      <c r="CR13" s="8" t="str">
        <f>IF($I13&gt;=7," "&amp;$AA18&amp;" JOIN "&amp;$U18&amp;" USING ("&amp;$T18&amp;"."&amp;$W18&amp;", "&amp;$U18&amp;"."&amp;$V18&amp;" -&gt;&gt; '"&amp;$F18&amp;"')","")</f>
        <v/>
      </c>
      <c r="CS13" s="8" t="str">
        <f>IF($I13&gt;=8," "&amp;$AA19&amp;" JOIN "&amp;$U19&amp;" USING ("&amp;$T19&amp;"."&amp;$W19&amp;", "&amp;$U19&amp;"."&amp;$V19&amp;" -&gt;&gt; '"&amp;$F19&amp;"')","")</f>
        <v/>
      </c>
      <c r="CT13" s="8" t="str">
        <f t="shared" si="11"/>
        <v xml:space="preserve"> ;</v>
      </c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</row>
    <row r="14" spans="1:202" x14ac:dyDescent="0.25">
      <c r="A14">
        <v>13</v>
      </c>
      <c r="B14" s="4" t="s">
        <v>0</v>
      </c>
      <c r="C14" s="4" t="s">
        <v>61</v>
      </c>
      <c r="D14" s="4" t="s">
        <v>0</v>
      </c>
      <c r="E14" s="4" t="s">
        <v>29</v>
      </c>
      <c r="F14" s="4" t="s">
        <v>28</v>
      </c>
      <c r="G14" s="7" t="s">
        <v>72</v>
      </c>
      <c r="H14" s="7" t="s">
        <v>71</v>
      </c>
      <c r="I14" s="7">
        <v>2</v>
      </c>
      <c r="J14" s="7" t="s">
        <v>72</v>
      </c>
      <c r="K14" s="7">
        <v>1</v>
      </c>
      <c r="L14" s="4" t="s">
        <v>31</v>
      </c>
      <c r="M14" s="7" t="s">
        <v>72</v>
      </c>
      <c r="N14" s="4"/>
      <c r="O14" s="7"/>
      <c r="P14" s="4"/>
      <c r="Q14" s="8" t="str">
        <f>VLOOKUP($C14,aws_cli_commands!$C$2:$E$10000,2,FALSE)</f>
        <v>n</v>
      </c>
      <c r="R14" s="8" t="str">
        <f>VLOOKUP($C14,aws_cli_commands!$C$2:$E$10000,3,FALSE)</f>
        <v>y</v>
      </c>
      <c r="S14" s="8" t="str">
        <f>IF(OR(C14=C13,C14=C15),"y","n")</f>
        <v>y</v>
      </c>
      <c r="T14" s="8" t="str">
        <f>B14&amp;"___"&amp;SUBSTITUTE(RIGHT(C14,LEN(C14)-FIND("-",C14)),"-","_")</f>
        <v>iam___policy_version</v>
      </c>
      <c r="U14" s="8" t="str">
        <f>SUBSTITUTE(D14&amp;"___"&amp;RIGHT(E14,LEN(E14)-FIND("-",E14)),"-","_")</f>
        <v>iam___policies</v>
      </c>
      <c r="V14" s="8" t="str">
        <f>SUBSTITUTE(RIGHT($E14,LEN($E14)-FIND("-",$E14)),"-","_")</f>
        <v>policies</v>
      </c>
      <c r="W14" s="8" t="str">
        <f>IF(G14="y",V14&amp;"_"&amp;LOWER(F14),IF(M14="y","**hardcoded**",LOWER(F14)))</f>
        <v>arn</v>
      </c>
      <c r="X14" s="8" t="str">
        <f t="shared" si="1"/>
        <v>n</v>
      </c>
      <c r="Y14" s="8">
        <f>IF(AND($C14=$C14,$M14="y"),1,0)+IF(AND($C13=$C14,$M13="y"),1,0)+IF(AND($C12=$C14,$M12="y"),1,0)+IF(AND($C11=$C14,$M11="y"),1,0)+IF(AND($C10=$C14,$M10="y"),1,0)+IF(AND($C9=$C14,$M9="y"),1,0)+IF(AND($C8=$C14,$M8="y"),1,0)+IF(AND($C7=$C14,$M7="y"),1,0)+IF(AND($C6=$C14,$M6="y"),1,0)</f>
        <v>0</v>
      </c>
      <c r="Z14" s="8">
        <f>IF(AND($C14=$C14,$M14="y"),1,0)+IF(AND($C14=$C15,$M15="y"),1,0)+IF(AND($C14=$C16,$M16="y"),1,0)+IF(AND($C14=$C17,$M17="y"),1,0)+IF(AND($C14=$C18,$M18="y"),1,0)+IF(AND($C14=$C19,$M19="y"),1,0)+IF(AND($C14=$C20,$M20="y"),1,0)+IF(AND($C14=$C21,$M21="y"),1,0)+IF(AND($C14=$C22,$M22="y"),1,0)</f>
        <v>0</v>
      </c>
      <c r="AA14" s="8" t="s">
        <v>127</v>
      </c>
      <c r="AB14" s="9" t="str">
        <f>IF(AND($H14="y",$C14&lt;&gt;$C13),B14&amp;" "&amp;AC14&amp;AD14&amp;AE14&amp;AF14&amp;AG14&amp;AH14&amp;AI14&amp;AJ14&amp;AK14,IF(H14="n",B14&amp;" "&amp;AC14&amp;AD14&amp;AE14&amp;AF14&amp;AG14&amp;AH14&amp;AI14&amp;AJ14&amp;AK14,""))</f>
        <v>iam get-policy-version --policy-arn --version-id</v>
      </c>
      <c r="AC14" s="8" t="str">
        <f t="shared" si="2"/>
        <v>get-policy-version</v>
      </c>
      <c r="AD14" s="8" t="str">
        <f>IF($I14&gt;=1," "&amp;$L14,"")</f>
        <v xml:space="preserve"> --policy-arn</v>
      </c>
      <c r="AE14" s="8" t="str">
        <f>IF($I14&gt;=2," "&amp;$L15,"")</f>
        <v xml:space="preserve"> --version-id</v>
      </c>
      <c r="AF14" s="8" t="str">
        <f>IF($I14&gt;=3," "&amp;$L16,"")</f>
        <v/>
      </c>
      <c r="AG14" s="8" t="str">
        <f>IF($I14&gt;=4," "&amp;$L17,"")</f>
        <v/>
      </c>
      <c r="AH14" s="8" t="str">
        <f>IF($I14&gt;=5," "&amp;$L18,"")</f>
        <v/>
      </c>
      <c r="AI14" s="8" t="str">
        <f>IF($I14&gt;=6," "&amp;$L19,"")</f>
        <v/>
      </c>
      <c r="AJ14" s="8" t="str">
        <f>IF($I14&gt;=7," "&amp;$L20,"")</f>
        <v/>
      </c>
      <c r="AK14" s="8" t="str">
        <f>IF($I14&gt;=8," "&amp;$L21,"")</f>
        <v/>
      </c>
      <c r="AL14" s="8" t="str">
        <f>U14</f>
        <v>iam___policies</v>
      </c>
      <c r="AM14" s="8" t="str">
        <f>IF($I14&gt;=2,$U15,"")</f>
        <v>iam___policies</v>
      </c>
      <c r="AN14" s="8" t="str">
        <f>IF($I14&gt;=3,$U16,"")</f>
        <v/>
      </c>
      <c r="AO14" s="8" t="str">
        <f>IF(I14&gt;=4,$U17,"")</f>
        <v/>
      </c>
      <c r="AP14" s="8" t="str">
        <f>IF($I14&gt;=5,$U18,"")</f>
        <v/>
      </c>
      <c r="AQ14" s="8" t="str">
        <f>IF($I14&gt;=6,$U19,"")</f>
        <v/>
      </c>
      <c r="AR14" s="8" t="str">
        <f>IF($I14&gt;=7,$U20,"")</f>
        <v/>
      </c>
      <c r="AS14" s="8" t="str">
        <f>IF(I14&gt;=8,$U21,"")</f>
        <v/>
      </c>
      <c r="AT14" s="8" t="str">
        <f>F14</f>
        <v>Arn</v>
      </c>
      <c r="AU14" s="8" t="str">
        <f>IF($I14&gt;=2,$F15,"")</f>
        <v>DefaultVersionId</v>
      </c>
      <c r="AV14" s="8" t="str">
        <f>IF($I14&gt;=3,$F16,"")</f>
        <v/>
      </c>
      <c r="AW14" s="8" t="str">
        <f>IF($I14&gt;=4,$F17,"")</f>
        <v/>
      </c>
      <c r="AX14" s="8" t="str">
        <f>IF($I14&gt;=5,$F18,"")</f>
        <v/>
      </c>
      <c r="AY14" s="8" t="str">
        <f>IF($I14&gt;=6,$F19,"")</f>
        <v/>
      </c>
      <c r="AZ14" s="8" t="str">
        <f>IF($I14&gt;=7,$F20,"")</f>
        <v/>
      </c>
      <c r="BA14" s="8" t="str">
        <f>IF($I14&gt;=8,$F21,"")</f>
        <v/>
      </c>
      <c r="BB14" s="9" t="str">
        <f>IF(OR(R14&lt;&gt;"y",I14&lt;&gt;1),"","SELECT aws_command::text || ' ' || command_parameter::text AS aws_command_string, parameter_source_table, parameter_source_key FROM (SELECT  "&amp;"'"&amp;AB14&amp;"'"&amp;" AS aws_command,"&amp;U14&amp;"."&amp;V14&amp;" -&gt;&gt; "&amp;"'"&amp;F14&amp;"'"&amp;" AS command_parameter, "&amp;"'"&amp;AL14&amp;"'"&amp;" AS parameter_source_table, "&amp;"'"&amp;AT14&amp;"'"&amp;" AS parameter_source_key FROM "&amp;U14&amp;") AS f")</f>
        <v/>
      </c>
      <c r="BC14" s="9" t="str">
        <f>IF(AND(H14="y",H13&lt;&gt;"y"),BE14&amp;BF14&amp;BG14&amp;BR14&amp;CC14,"")</f>
        <v>/* recursive command multi: get-policy-version */ DROP TABLE IF EXISTS iam___policy_version; CREATE TABLE iam___policy_version(  id SERIAL PRIMARY KEY, arn TEXT, defaultversionid TEXT ); INSERT INTO iam___policy_version(arn, defaultversionid) SELECT iam___policies.policies -&gt;&gt; 'Arn' AS policies_arn, iam___policies.policies -&gt;&gt; 'DefaultVersionId' AS policies_defaultversionid FROM iam___policies INNER JOIN iam___policies USING (iam___policy_version.arn, iam___policies.policies -&gt;&gt; 'Arn') ;</v>
      </c>
      <c r="BD14" s="8" t="str">
        <f>"/* recursive command: "&amp;C14&amp;" */ DROP TABLE IF EXISTS "&amp;T14&amp;"; CREATE TABLE "&amp;T14&amp;"(  id SERIAL PRIMARY KEY, "&amp;F14&amp;" TEXT); SELECT "&amp;U14&amp;"."&amp;V14&amp;" -&gt;&gt; '"&amp;F14&amp;"' AS "&amp;V14&amp;" FROM "&amp;U14&amp;" ;"</f>
        <v>/* recursive command: get-policy-version */ DROP TABLE IF EXISTS iam___policy_version; CREATE TABLE iam___policy_version(  id SERIAL PRIMARY KEY, Arn TEXT); SELECT iam___policies.policies -&gt;&gt; 'Arn' AS policies FROM iam___policies ;</v>
      </c>
      <c r="BE14" s="8" t="str">
        <f t="shared" si="3"/>
        <v xml:space="preserve">/* recursive command multi: get-policy-version */ </v>
      </c>
      <c r="BF14" s="8" t="str">
        <f t="shared" si="4"/>
        <v xml:space="preserve">DROP TABLE IF EXISTS iam___policy_version; </v>
      </c>
      <c r="BG14" s="8" t="str">
        <f t="shared" si="5"/>
        <v>CREATE TABLE iam___policy_version(  id SERIAL PRIMARY KEY, arn TEXT, defaultversionid TEXT );</v>
      </c>
      <c r="BH14" s="8" t="str">
        <f t="shared" si="6"/>
        <v xml:space="preserve">CREATE TABLE iam___policy_version(  id SERIAL PRIMARY KEY, </v>
      </c>
      <c r="BI14" s="8" t="str">
        <f>IF($I14&gt;=1,$W14&amp;" TEXT","")</f>
        <v>arn TEXT</v>
      </c>
      <c r="BJ14" s="8" t="str">
        <f>IF($I14&gt;=2,", "&amp;$W15&amp;" TEXT","")</f>
        <v>, defaultversionid TEXT</v>
      </c>
      <c r="BK14" s="8" t="str">
        <f>IF($I14&gt;=3,", "&amp;$W16&amp;" TEXT","")</f>
        <v/>
      </c>
      <c r="BL14" s="8" t="str">
        <f>IF($I14&gt;=4,", "&amp;$W17&amp;" TEXT","")</f>
        <v/>
      </c>
      <c r="BM14" s="8" t="str">
        <f>IF($I14&gt;=5,", "&amp;$W18&amp;" TEXT","")</f>
        <v/>
      </c>
      <c r="BN14" s="8" t="str">
        <f>IF($I14&gt;=6,", "&amp;$W19&amp;" TEXT","")</f>
        <v/>
      </c>
      <c r="BO14" s="8" t="str">
        <f>IF($I14&gt;=7,", "&amp;$W20&amp;" TEXT","")</f>
        <v/>
      </c>
      <c r="BP14" s="8" t="str">
        <f>IF($I14&gt;=8,", "&amp;$W21&amp;" TEXT","")</f>
        <v/>
      </c>
      <c r="BQ14" s="8" t="str">
        <f t="shared" si="7"/>
        <v xml:space="preserve"> );</v>
      </c>
      <c r="BR14" s="9" t="str">
        <f t="shared" si="8"/>
        <v xml:space="preserve"> INSERT INTO iam___policy_version(arn, defaultversionid)</v>
      </c>
      <c r="BS14" s="9" t="str">
        <f t="shared" si="9"/>
        <v xml:space="preserve"> INSERT INTO iam___policy_version(</v>
      </c>
      <c r="BT14" s="9" t="str">
        <f>IF($I14&gt;=1,$W14,"")</f>
        <v>arn</v>
      </c>
      <c r="BU14" s="9" t="str">
        <f>IF($I14&gt;=2,", "&amp;$W15,"")</f>
        <v>, defaultversionid</v>
      </c>
      <c r="BV14" s="9" t="str">
        <f>IF($I14&gt;=3,", "&amp;$W16,"")</f>
        <v/>
      </c>
      <c r="BW14" s="9" t="str">
        <f>IF($I14&gt;=4,", "&amp;$W17,"")</f>
        <v/>
      </c>
      <c r="BX14" s="9" t="str">
        <f>IF($I14&gt;=5,", "&amp;$W18,"")</f>
        <v/>
      </c>
      <c r="BY14" s="9" t="str">
        <f>IF($I14&gt;=6,", "&amp;$W19,"")</f>
        <v/>
      </c>
      <c r="BZ14" s="9" t="str">
        <f>IF($I14&gt;=7,", "&amp;$W20,"")</f>
        <v/>
      </c>
      <c r="CA14" s="9" t="str">
        <f>IF($I14&gt;=8,", "&amp;$W21,"")</f>
        <v/>
      </c>
      <c r="CB14" s="9" t="str">
        <f t="shared" si="10"/>
        <v>)</v>
      </c>
      <c r="CC14" s="9" t="str">
        <f t="shared" si="0"/>
        <v xml:space="preserve"> SELECT iam___policies.policies -&gt;&gt; 'Arn' AS policies_arn, iam___policies.policies -&gt;&gt; 'DefaultVersionId' AS policies_defaultversionid FROM iam___policies INNER JOIN iam___policies USING (iam___policy_version.arn, iam___policies.policies -&gt;&gt; 'Arn') ;</v>
      </c>
      <c r="CD14" s="8" t="str">
        <f>" SELECT "&amp;$U14&amp;"."&amp;$V14&amp;" -&gt;&gt; '"&amp;$F14&amp;"' AS "&amp;$V14&amp;"_"&amp;LOWER(F14)</f>
        <v xml:space="preserve"> SELECT iam___policies.policies -&gt;&gt; 'Arn' AS policies_arn</v>
      </c>
      <c r="CE14" s="8" t="str">
        <f>IF($I14&gt;=2,", "&amp;$U15&amp;"."&amp;$V15&amp;" -&gt;&gt; '"&amp;$F15&amp;"' AS "&amp;$V15&amp;"_"&amp;LOWER(F15),"")</f>
        <v>, iam___policies.policies -&gt;&gt; 'DefaultVersionId' AS policies_defaultversionid</v>
      </c>
      <c r="CF14" s="8" t="str">
        <f>IF($I14&gt;=3,", "&amp;$U16&amp;"."&amp;$V16&amp;" -&gt;&gt; '"&amp;$F16&amp;"' AS "&amp;$V16&amp;"_"&amp;LOWER(F16),"")</f>
        <v/>
      </c>
      <c r="CG14" s="8" t="str">
        <f>IF($I14&gt;=4,", "&amp;$U17&amp;"."&amp;$V17&amp;" -&gt;&gt; '"&amp;$F17&amp;"' AS "&amp;$V17&amp;"_"&amp;LOWER(F17),"")</f>
        <v/>
      </c>
      <c r="CH14" s="8" t="str">
        <f>IF($I14&gt;=5,", "&amp;$U18&amp;"."&amp;$V18&amp;" -&gt;&gt; '"&amp;$F18&amp;"' AS "&amp;$V18&amp;"_"&amp;LOWER(F18),"")</f>
        <v/>
      </c>
      <c r="CI14" s="8" t="str">
        <f>IF($I14&gt;=6,", "&amp;$U19&amp;"."&amp;$V19&amp;" -&gt;&gt; '"&amp;$F19&amp;"' AS "&amp;$V19&amp;"_"&amp;LOWER(F19),"")</f>
        <v/>
      </c>
      <c r="CJ14" s="8" t="str">
        <f>IF($I14&gt;=7,", "&amp;$U20&amp;"."&amp;$V20&amp;" -&gt;&gt; '"&amp;$F20&amp;"' AS "&amp;$V20&amp;"_"&amp;LOWER(F20),"")</f>
        <v/>
      </c>
      <c r="CK14" s="8" t="str">
        <f>IF($I14&gt;=8,", "&amp;$U21&amp;"."&amp;$V21&amp;" -&gt;&gt; '"&amp;$F21&amp;"' AS "&amp;$V21&amp;"_"&amp;LOWER(F21),"")</f>
        <v/>
      </c>
      <c r="CL14" s="8" t="str">
        <f>IF($I14&gt;=1," FROM "&amp;$U14,"")</f>
        <v xml:space="preserve"> FROM iam___policies</v>
      </c>
      <c r="CM14" s="9" t="str">
        <f>IF($I14&gt;=2," "&amp;$AA14&amp;" JOIN "&amp;$U14&amp;" USING ("&amp;$T14&amp;"."&amp;$W14&amp;", "&amp;$U14&amp;"."&amp;$V14&amp;" -&gt;&gt; '"&amp;$F14&amp;"')","")</f>
        <v xml:space="preserve"> INNER JOIN iam___policies USING (iam___policy_version.arn, iam___policies.policies -&gt;&gt; 'Arn')</v>
      </c>
      <c r="CN14" s="9" t="str">
        <f>IF($I14&gt;=3," "&amp;$AA15&amp;" JOIN "&amp;$U15&amp;" USING ("&amp;$T15&amp;"."&amp;$W15&amp;", "&amp;$U15&amp;"."&amp;$V15&amp;" -&gt;&gt; '"&amp;$F15&amp;"')","")</f>
        <v/>
      </c>
      <c r="CO14" s="9" t="str">
        <f>IF($I14&gt;=4," "&amp;$AA16&amp;" JOIN "&amp;$U16&amp;" USING ("&amp;$T16&amp;"."&amp;$W16&amp;", "&amp;$U16&amp;"."&amp;$V16&amp;" -&gt;&gt; '"&amp;$F16&amp;"')","")</f>
        <v/>
      </c>
      <c r="CP14" s="9" t="str">
        <f>IF($I14&gt;=5," "&amp;$AA17&amp;" JOIN "&amp;$U17&amp;" USING ("&amp;$T17&amp;"."&amp;$W17&amp;", "&amp;$U17&amp;"."&amp;$V17&amp;" -&gt;&gt; '"&amp;$F17&amp;"')","")</f>
        <v/>
      </c>
      <c r="CQ14" s="9" t="str">
        <f>IF($I14&gt;=6," "&amp;$AA18&amp;" JOIN "&amp;$U18&amp;" USING ("&amp;$T18&amp;"."&amp;$W18&amp;", "&amp;$U18&amp;"."&amp;$V18&amp;" -&gt;&gt; '"&amp;$F18&amp;"')","")</f>
        <v/>
      </c>
      <c r="CR14" s="8" t="str">
        <f>IF($I14&gt;=7," "&amp;$AA19&amp;" JOIN "&amp;$U19&amp;" USING ("&amp;$T19&amp;"."&amp;$W19&amp;", "&amp;$U19&amp;"."&amp;$V19&amp;" -&gt;&gt; '"&amp;$F19&amp;"')","")</f>
        <v/>
      </c>
      <c r="CS14" s="8" t="str">
        <f>IF($I14&gt;=8," "&amp;$AA20&amp;" JOIN "&amp;$U20&amp;" USING ("&amp;$T20&amp;"."&amp;$W20&amp;", "&amp;$U20&amp;"."&amp;$V20&amp;" -&gt;&gt; '"&amp;$F20&amp;"')","")</f>
        <v/>
      </c>
      <c r="CT14" s="8" t="str">
        <f t="shared" si="11"/>
        <v xml:space="preserve"> ;</v>
      </c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</row>
    <row r="15" spans="1:202" x14ac:dyDescent="0.25">
      <c r="A15">
        <v>14</v>
      </c>
      <c r="B15" s="4" t="s">
        <v>0</v>
      </c>
      <c r="C15" s="4" t="s">
        <v>61</v>
      </c>
      <c r="D15" s="4" t="s">
        <v>0</v>
      </c>
      <c r="E15" s="4" t="s">
        <v>29</v>
      </c>
      <c r="F15" s="4" t="s">
        <v>74</v>
      </c>
      <c r="G15" s="7" t="s">
        <v>72</v>
      </c>
      <c r="H15" s="7" t="s">
        <v>71</v>
      </c>
      <c r="I15" s="7">
        <v>2</v>
      </c>
      <c r="J15" s="7" t="s">
        <v>72</v>
      </c>
      <c r="K15" s="7">
        <v>1</v>
      </c>
      <c r="L15" s="4" t="s">
        <v>68</v>
      </c>
      <c r="M15" s="7" t="s">
        <v>72</v>
      </c>
      <c r="N15" s="4"/>
      <c r="O15" s="7"/>
      <c r="P15" s="4"/>
      <c r="Q15" s="8" t="str">
        <f>VLOOKUP($C15,aws_cli_commands!$C$2:$E$10000,2,FALSE)</f>
        <v>n</v>
      </c>
      <c r="R15" s="8" t="str">
        <f>VLOOKUP($C15,aws_cli_commands!$C$2:$E$10000,3,FALSE)</f>
        <v>y</v>
      </c>
      <c r="S15" s="8" t="str">
        <f>IF(OR(C15=C14,C15=C16),"y","n")</f>
        <v>y</v>
      </c>
      <c r="T15" s="8" t="str">
        <f>B15&amp;"___"&amp;SUBSTITUTE(RIGHT(C15,LEN(C15)-FIND("-",C15)),"-","_")</f>
        <v>iam___policy_version</v>
      </c>
      <c r="U15" s="8" t="str">
        <f>SUBSTITUTE(D15&amp;"___"&amp;RIGHT(E15,LEN(E15)-FIND("-",E15)),"-","_")</f>
        <v>iam___policies</v>
      </c>
      <c r="V15" s="8" t="str">
        <f>SUBSTITUTE(RIGHT($E15,LEN($E15)-FIND("-",$E15)),"-","_")</f>
        <v>policies</v>
      </c>
      <c r="W15" s="8" t="str">
        <f>IF(G15="y",V15&amp;"_"&amp;LOWER(F15),IF(M15="y","**hardcoded**",LOWER(F15)))</f>
        <v>defaultversionid</v>
      </c>
      <c r="X15" s="8" t="str">
        <f t="shared" si="1"/>
        <v>n</v>
      </c>
      <c r="Y15" s="8">
        <f>IF(AND($C15=$C15,$M15="y"),1,0)+IF(AND($C14=$C15,$M14="y"),1,0)+IF(AND($C13=$C15,$M13="y"),1,0)+IF(AND($C12=$C15,$M12="y"),1,0)+IF(AND($C11=$C15,$M11="y"),1,0)+IF(AND($C10=$C15,$M10="y"),1,0)+IF(AND($C9=$C15,$M9="y"),1,0)+IF(AND($C8=$C15,$M8="y"),1,0)+IF(AND($C7=$C15,$M7="y"),1,0)</f>
        <v>0</v>
      </c>
      <c r="Z15" s="8">
        <f>IF(AND($C15=$C15,$M15="y"),1,0)+IF(AND($C15=$C16,$M16="y"),1,0)+IF(AND($C15=$C17,$M17="y"),1,0)+IF(AND($C15=$C18,$M18="y"),1,0)+IF(AND($C15=$C19,$M19="y"),1,0)+IF(AND($C15=$C20,$M20="y"),1,0)+IF(AND($C15=$C21,$M21="y"),1,0)+IF(AND($C15=$C22,$M22="y"),1,0)+IF(AND($C15=$C23,$M23="y"),1,0)</f>
        <v>0</v>
      </c>
      <c r="AA15" s="8" t="s">
        <v>127</v>
      </c>
      <c r="AB15" s="9" t="str">
        <f>IF(AND($H15="y",$C15&lt;&gt;$C14),B15&amp;" "&amp;AC15&amp;AD15&amp;AE15&amp;AF15&amp;AG15&amp;AH15&amp;AI15&amp;AJ15&amp;AK15,IF(H15="n",B15&amp;" "&amp;AC15&amp;AD15&amp;AE15&amp;AF15&amp;AG15&amp;AH15&amp;AI15&amp;AJ15&amp;AK15,""))</f>
        <v/>
      </c>
      <c r="AC15" s="8" t="str">
        <f t="shared" si="2"/>
        <v>get-policy-version</v>
      </c>
      <c r="AD15" s="8" t="str">
        <f>IF($I15&gt;=1," "&amp;$L15,"")</f>
        <v xml:space="preserve"> --version-id</v>
      </c>
      <c r="AE15" s="8" t="str">
        <f>IF($I15&gt;=2," "&amp;$L16,"")</f>
        <v xml:space="preserve"> --role-name</v>
      </c>
      <c r="AF15" s="8" t="str">
        <f>IF($I15&gt;=3," "&amp;$L17,"")</f>
        <v/>
      </c>
      <c r="AG15" s="8" t="str">
        <f>IF($I15&gt;=4," "&amp;$L18,"")</f>
        <v/>
      </c>
      <c r="AH15" s="8" t="str">
        <f>IF($I15&gt;=5," "&amp;$L19,"")</f>
        <v/>
      </c>
      <c r="AI15" s="8" t="str">
        <f>IF($I15&gt;=6," "&amp;$L20,"")</f>
        <v/>
      </c>
      <c r="AJ15" s="8" t="str">
        <f>IF($I15&gt;=7," "&amp;$L21,"")</f>
        <v/>
      </c>
      <c r="AK15" s="8" t="str">
        <f>IF($I15&gt;=8," "&amp;$L22,"")</f>
        <v/>
      </c>
      <c r="AL15" s="8" t="str">
        <f>U15</f>
        <v>iam___policies</v>
      </c>
      <c r="AM15" s="8" t="str">
        <f>IF($I15&gt;=2,$U16,"")</f>
        <v>iam___roles</v>
      </c>
      <c r="AN15" s="8" t="str">
        <f>IF($I15&gt;=3,$U17,"")</f>
        <v/>
      </c>
      <c r="AO15" s="8" t="str">
        <f>IF(I15&gt;=4,$U18,"")</f>
        <v/>
      </c>
      <c r="AP15" s="8" t="str">
        <f>IF($I15&gt;=5,$U19,"")</f>
        <v/>
      </c>
      <c r="AQ15" s="8" t="str">
        <f>IF($I15&gt;=6,$U20,"")</f>
        <v/>
      </c>
      <c r="AR15" s="8" t="str">
        <f>IF($I15&gt;=7,$U21,"")</f>
        <v/>
      </c>
      <c r="AS15" s="8" t="str">
        <f>IF(I15&gt;=8,$U22,"")</f>
        <v/>
      </c>
      <c r="AT15" s="8" t="str">
        <f>F15</f>
        <v>DefaultVersionId</v>
      </c>
      <c r="AU15" s="8" t="str">
        <f>IF($I15&gt;=2,$F16,"")</f>
        <v>RoleName</v>
      </c>
      <c r="AV15" s="8" t="str">
        <f>IF($I15&gt;=3,$F17,"")</f>
        <v/>
      </c>
      <c r="AW15" s="8" t="str">
        <f>IF($I15&gt;=4,$F18,"")</f>
        <v/>
      </c>
      <c r="AX15" s="8" t="str">
        <f>IF($I15&gt;=5,$F19,"")</f>
        <v/>
      </c>
      <c r="AY15" s="8" t="str">
        <f>IF($I15&gt;=6,$F20,"")</f>
        <v/>
      </c>
      <c r="AZ15" s="8" t="str">
        <f>IF($I15&gt;=7,$F21,"")</f>
        <v/>
      </c>
      <c r="BA15" s="8" t="str">
        <f>IF($I15&gt;=8,$F22,"")</f>
        <v/>
      </c>
      <c r="BB15" s="9" t="str">
        <f>IF(OR(R15&lt;&gt;"y",I15&lt;&gt;1),"","SELECT aws_command::text || ' ' || command_parameter::text AS aws_command_string, parameter_source_table, parameter_source_key FROM (SELECT  "&amp;"'"&amp;AB15&amp;"'"&amp;" AS aws_command,"&amp;U15&amp;"."&amp;V15&amp;" -&gt;&gt; "&amp;"'"&amp;F15&amp;"'"&amp;" AS command_parameter, "&amp;"'"&amp;AL15&amp;"'"&amp;" AS parameter_source_table, "&amp;"'"&amp;AT15&amp;"'"&amp;" AS parameter_source_key FROM "&amp;U15&amp;") AS f")</f>
        <v/>
      </c>
      <c r="BC15" s="9" t="str">
        <f>IF(AND(H15="y",H14&lt;&gt;"y"),BE15&amp;BF15&amp;BG15&amp;BR15&amp;CC15,"")</f>
        <v/>
      </c>
      <c r="BD15" s="8" t="str">
        <f>"/* recursive command: "&amp;C15&amp;" */ DROP TABLE IF EXISTS "&amp;T15&amp;"; CREATE TABLE "&amp;T15&amp;"(  id SERIAL PRIMARY KEY, "&amp;F15&amp;" TEXT); SELECT "&amp;U15&amp;"."&amp;V15&amp;" -&gt;&gt; '"&amp;F15&amp;"' AS "&amp;V15&amp;" FROM "&amp;U15&amp;" ;"</f>
        <v>/* recursive command: get-policy-version */ DROP TABLE IF EXISTS iam___policy_version; CREATE TABLE iam___policy_version(  id SERIAL PRIMARY KEY, DefaultVersionId TEXT); SELECT iam___policies.policies -&gt;&gt; 'DefaultVersionId' AS policies FROM iam___policies ;</v>
      </c>
      <c r="BE15" s="8" t="str">
        <f t="shared" si="3"/>
        <v xml:space="preserve">/* recursive command multi: get-policy-version */ </v>
      </c>
      <c r="BF15" s="8" t="str">
        <f t="shared" si="4"/>
        <v xml:space="preserve">DROP TABLE IF EXISTS iam___policy_version; </v>
      </c>
      <c r="BG15" s="8" t="str">
        <f t="shared" si="5"/>
        <v>CREATE TABLE iam___policy_version(  id SERIAL PRIMARY KEY, defaultversionid TEXT, rolename TEXT );</v>
      </c>
      <c r="BH15" s="8" t="str">
        <f t="shared" si="6"/>
        <v xml:space="preserve">CREATE TABLE iam___policy_version(  id SERIAL PRIMARY KEY, </v>
      </c>
      <c r="BI15" s="8" t="str">
        <f>IF($I15&gt;=1,$W15&amp;" TEXT","")</f>
        <v>defaultversionid TEXT</v>
      </c>
      <c r="BJ15" s="8" t="str">
        <f>IF($I15&gt;=2,", "&amp;$W16&amp;" TEXT","")</f>
        <v>, rolename TEXT</v>
      </c>
      <c r="BK15" s="8" t="str">
        <f>IF($I15&gt;=3,", "&amp;$W17&amp;" TEXT","")</f>
        <v/>
      </c>
      <c r="BL15" s="8" t="str">
        <f>IF($I15&gt;=4,", "&amp;$W18&amp;" TEXT","")</f>
        <v/>
      </c>
      <c r="BM15" s="8" t="str">
        <f>IF($I15&gt;=5,", "&amp;$W19&amp;" TEXT","")</f>
        <v/>
      </c>
      <c r="BN15" s="8" t="str">
        <f>IF($I15&gt;=6,", "&amp;$W20&amp;" TEXT","")</f>
        <v/>
      </c>
      <c r="BO15" s="8" t="str">
        <f>IF($I15&gt;=7,", "&amp;$W21&amp;" TEXT","")</f>
        <v/>
      </c>
      <c r="BP15" s="8" t="str">
        <f>IF($I15&gt;=8,", "&amp;$W22&amp;" TEXT","")</f>
        <v/>
      </c>
      <c r="BQ15" s="8" t="str">
        <f t="shared" si="7"/>
        <v xml:space="preserve"> );</v>
      </c>
      <c r="BR15" s="9" t="str">
        <f t="shared" si="8"/>
        <v xml:space="preserve"> INSERT INTO iam___policy_version(defaultversionid, rolename)</v>
      </c>
      <c r="BS15" s="9" t="str">
        <f t="shared" si="9"/>
        <v xml:space="preserve"> INSERT INTO iam___policy_version(</v>
      </c>
      <c r="BT15" s="9" t="str">
        <f>IF($I15&gt;=1,$W15,"")</f>
        <v>defaultversionid</v>
      </c>
      <c r="BU15" s="9" t="str">
        <f>IF($I15&gt;=2,", "&amp;$W16,"")</f>
        <v>, rolename</v>
      </c>
      <c r="BV15" s="9" t="str">
        <f>IF($I15&gt;=3,", "&amp;$W17,"")</f>
        <v/>
      </c>
      <c r="BW15" s="9" t="str">
        <f>IF($I15&gt;=4,", "&amp;$W18,"")</f>
        <v/>
      </c>
      <c r="BX15" s="9" t="str">
        <f>IF($I15&gt;=5,", "&amp;$W19,"")</f>
        <v/>
      </c>
      <c r="BY15" s="9" t="str">
        <f>IF($I15&gt;=6,", "&amp;$W20,"")</f>
        <v/>
      </c>
      <c r="BZ15" s="9" t="str">
        <f>IF($I15&gt;=7,", "&amp;$W21,"")</f>
        <v/>
      </c>
      <c r="CA15" s="9" t="str">
        <f>IF($I15&gt;=8,", "&amp;$W22,"")</f>
        <v/>
      </c>
      <c r="CB15" s="9" t="str">
        <f t="shared" si="10"/>
        <v>)</v>
      </c>
      <c r="CC15" s="9" t="str">
        <f t="shared" si="0"/>
        <v xml:space="preserve"> SELECT iam___policies.policies -&gt;&gt; 'DefaultVersionId' AS policies_defaultversionid, iam___roles.roles -&gt;&gt; 'RoleName' AS roles_rolename FROM iam___policies INNER JOIN iam___policies USING (iam___policy_version.defaultversionid, iam___policies.policies -&gt;&gt; 'DefaultVersionId') ;</v>
      </c>
      <c r="CD15" s="8" t="str">
        <f>" SELECT "&amp;$U15&amp;"."&amp;$V15&amp;" -&gt;&gt; '"&amp;$F15&amp;"' AS "&amp;$V15&amp;"_"&amp;LOWER(F15)</f>
        <v xml:space="preserve"> SELECT iam___policies.policies -&gt;&gt; 'DefaultVersionId' AS policies_defaultversionid</v>
      </c>
      <c r="CE15" s="8" t="str">
        <f>IF($I15&gt;=2,", "&amp;$U16&amp;"."&amp;$V16&amp;" -&gt;&gt; '"&amp;$F16&amp;"' AS "&amp;$V16&amp;"_"&amp;LOWER(F16),"")</f>
        <v>, iam___roles.roles -&gt;&gt; 'RoleName' AS roles_rolename</v>
      </c>
      <c r="CF15" s="8" t="str">
        <f>IF($I15&gt;=3,", "&amp;$U17&amp;"."&amp;$V17&amp;" -&gt;&gt; '"&amp;$F17&amp;"' AS "&amp;$V17&amp;"_"&amp;LOWER(F17),"")</f>
        <v/>
      </c>
      <c r="CG15" s="8" t="str">
        <f>IF($I15&gt;=4,", "&amp;$U18&amp;"."&amp;$V18&amp;" -&gt;&gt; '"&amp;$F18&amp;"' AS "&amp;$V18&amp;"_"&amp;LOWER(F18),"")</f>
        <v/>
      </c>
      <c r="CH15" s="8" t="str">
        <f>IF($I15&gt;=5,", "&amp;$U19&amp;"."&amp;$V19&amp;" -&gt;&gt; '"&amp;$F19&amp;"' AS "&amp;$V19&amp;"_"&amp;LOWER(F19),"")</f>
        <v/>
      </c>
      <c r="CI15" s="8" t="str">
        <f>IF($I15&gt;=6,", "&amp;$U20&amp;"."&amp;$V20&amp;" -&gt;&gt; '"&amp;$F20&amp;"' AS "&amp;$V20&amp;"_"&amp;LOWER(F20),"")</f>
        <v/>
      </c>
      <c r="CJ15" s="8" t="str">
        <f>IF($I15&gt;=7,", "&amp;$U21&amp;"."&amp;$V21&amp;" -&gt;&gt; '"&amp;$F21&amp;"' AS "&amp;$V21&amp;"_"&amp;LOWER(F21),"")</f>
        <v/>
      </c>
      <c r="CK15" s="8" t="str">
        <f>IF($I15&gt;=8,", "&amp;$U22&amp;"."&amp;$V22&amp;" -&gt;&gt; '"&amp;$F22&amp;"' AS "&amp;$V22&amp;"_"&amp;LOWER(F22),"")</f>
        <v/>
      </c>
      <c r="CL15" s="8" t="str">
        <f>IF($I15&gt;=1," FROM "&amp;$U15,"")</f>
        <v xml:space="preserve"> FROM iam___policies</v>
      </c>
      <c r="CM15" s="9" t="str">
        <f>IF($I15&gt;=2," "&amp;$AA15&amp;" JOIN "&amp;$U15&amp;" USING ("&amp;$T15&amp;"."&amp;$W15&amp;", "&amp;$U15&amp;"."&amp;$V15&amp;" -&gt;&gt; '"&amp;$F15&amp;"')","")</f>
        <v xml:space="preserve"> INNER JOIN iam___policies USING (iam___policy_version.defaultversionid, iam___policies.policies -&gt;&gt; 'DefaultVersionId')</v>
      </c>
      <c r="CN15" s="9" t="str">
        <f>IF($I15&gt;=3," "&amp;$AA16&amp;" JOIN "&amp;$U16&amp;" USING ("&amp;$T16&amp;"."&amp;$W16&amp;", "&amp;$U16&amp;"."&amp;$V16&amp;" -&gt;&gt; '"&amp;$F16&amp;"')","")</f>
        <v/>
      </c>
      <c r="CO15" s="9" t="str">
        <f>IF($I15&gt;=4," "&amp;$AA17&amp;" JOIN "&amp;$U17&amp;" USING ("&amp;$T17&amp;"."&amp;$W17&amp;", "&amp;$U17&amp;"."&amp;$V17&amp;" -&gt;&gt; '"&amp;$F17&amp;"')","")</f>
        <v/>
      </c>
      <c r="CP15" s="9" t="str">
        <f>IF($I15&gt;=5," "&amp;$AA18&amp;" JOIN "&amp;$U18&amp;" USING ("&amp;$T18&amp;"."&amp;$W18&amp;", "&amp;$U18&amp;"."&amp;$V18&amp;" -&gt;&gt; '"&amp;$F18&amp;"')","")</f>
        <v/>
      </c>
      <c r="CQ15" s="9" t="str">
        <f>IF($I15&gt;=6," "&amp;$AA19&amp;" JOIN "&amp;$U19&amp;" USING ("&amp;$T19&amp;"."&amp;$W19&amp;", "&amp;$U19&amp;"."&amp;$V19&amp;" -&gt;&gt; '"&amp;$F19&amp;"')","")</f>
        <v/>
      </c>
      <c r="CR15" s="8" t="str">
        <f>IF($I15&gt;=7," "&amp;$AA20&amp;" JOIN "&amp;$U20&amp;" USING ("&amp;$T20&amp;"."&amp;$W20&amp;", "&amp;$U20&amp;"."&amp;$V20&amp;" -&gt;&gt; '"&amp;$F20&amp;"')","")</f>
        <v/>
      </c>
      <c r="CS15" s="8" t="str">
        <f>IF($I15&gt;=8," "&amp;$AA21&amp;" JOIN "&amp;$U21&amp;" USING ("&amp;$T21&amp;"."&amp;$W21&amp;", "&amp;$U21&amp;"."&amp;$V21&amp;" -&gt;&gt; '"&amp;$F21&amp;"')","")</f>
        <v/>
      </c>
      <c r="CT15" s="8" t="str">
        <f t="shared" si="11"/>
        <v xml:space="preserve"> ;</v>
      </c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</row>
    <row r="16" spans="1:202" x14ac:dyDescent="0.25">
      <c r="A16">
        <v>15</v>
      </c>
      <c r="B16" s="4" t="s">
        <v>0</v>
      </c>
      <c r="C16" s="4" t="s">
        <v>35</v>
      </c>
      <c r="D16" s="4" t="s">
        <v>0</v>
      </c>
      <c r="E16" s="4" t="s">
        <v>34</v>
      </c>
      <c r="F16" s="4" t="s">
        <v>37</v>
      </c>
      <c r="G16" s="7" t="s">
        <v>72</v>
      </c>
      <c r="H16" s="7" t="s">
        <v>72</v>
      </c>
      <c r="I16" s="7">
        <v>1</v>
      </c>
      <c r="J16" s="7" t="s">
        <v>72</v>
      </c>
      <c r="K16" s="7">
        <v>1</v>
      </c>
      <c r="L16" s="4" t="s">
        <v>36</v>
      </c>
      <c r="M16" s="7" t="s">
        <v>72</v>
      </c>
      <c r="N16" s="4"/>
      <c r="O16" s="7"/>
      <c r="P16" s="4"/>
      <c r="Q16" s="8" t="str">
        <f>VLOOKUP($C16,aws_cli_commands!$C$2:$E$10000,2,FALSE)</f>
        <v>y</v>
      </c>
      <c r="R16" s="8" t="str">
        <f>VLOOKUP($C16,aws_cli_commands!$C$2:$E$10000,3,FALSE)</f>
        <v>y</v>
      </c>
      <c r="S16" s="8" t="str">
        <f>IF(OR(C16=C15,C16=C17),"y","n")</f>
        <v>n</v>
      </c>
      <c r="T16" s="8" t="str">
        <f>B16&amp;"___"&amp;SUBSTITUTE(RIGHT(C16,LEN(C16)-FIND("-",C16)),"-","_")</f>
        <v>iam___role</v>
      </c>
      <c r="U16" s="8" t="str">
        <f>SUBSTITUTE(D16&amp;"___"&amp;RIGHT(E16,LEN(E16)-FIND("-",E16)),"-","_")</f>
        <v>iam___roles</v>
      </c>
      <c r="V16" s="8" t="str">
        <f>SUBSTITUTE(RIGHT($E16,LEN($E16)-FIND("-",$E16)),"-","_")</f>
        <v>roles</v>
      </c>
      <c r="W16" s="8" t="str">
        <f>IF(G16="y",V16&amp;"_"&amp;LOWER(F16),IF(M16="y","**hardcoded**",LOWER(F16)))</f>
        <v>rolename</v>
      </c>
      <c r="X16" s="8" t="str">
        <f t="shared" si="1"/>
        <v>n</v>
      </c>
      <c r="Y16" s="8">
        <f>IF(AND($C16=$C16,$M16="y"),1,0)+IF(AND($C15=$C16,$M15="y"),1,0)+IF(AND($C14=$C16,$M14="y"),1,0)+IF(AND($C13=$C16,$M13="y"),1,0)+IF(AND($C12=$C16,$M12="y"),1,0)+IF(AND($C11=$C16,$M11="y"),1,0)+IF(AND($C10=$C16,$M10="y"),1,0)+IF(AND($C9=$C16,$M9="y"),1,0)+IF(AND($C8=$C16,$M8="y"),1,0)</f>
        <v>0</v>
      </c>
      <c r="Z16" s="8">
        <f>IF(AND($C16=$C16,$M16="y"),1,0)+IF(AND($C16=$C17,$M17="y"),1,0)+IF(AND($C16=$C18,$M18="y"),1,0)+IF(AND($C16=$C19,$M19="y"),1,0)+IF(AND($C16=$C20,$M20="y"),1,0)+IF(AND($C16=$C21,$M21="y"),1,0)+IF(AND($C16=$C22,$M22="y"),1,0)+IF(AND($C16=$C23,$M23="y"),1,0)+IF(AND($C16=$C24,$M24="y"),1,0)</f>
        <v>0</v>
      </c>
      <c r="AA16" s="8" t="s">
        <v>127</v>
      </c>
      <c r="AB16" s="9" t="str">
        <f>IF(AND($H16="y",$C16&lt;&gt;$C15),B16&amp;" "&amp;AC16&amp;AD16&amp;AE16&amp;AF16&amp;AG16&amp;AH16&amp;AI16&amp;AJ16&amp;AK16,IF(H16="n",B16&amp;" "&amp;AC16&amp;AD16&amp;AE16&amp;AF16&amp;AG16&amp;AH16&amp;AI16&amp;AJ16&amp;AK16,""))</f>
        <v>iam get-role --role-name</v>
      </c>
      <c r="AC16" s="8" t="str">
        <f t="shared" si="2"/>
        <v>get-role</v>
      </c>
      <c r="AD16" s="8" t="str">
        <f>IF($I16&gt;=1," "&amp;$L16,"")</f>
        <v xml:space="preserve"> --role-name</v>
      </c>
      <c r="AE16" s="8" t="str">
        <f>IF($I16&gt;=2," "&amp;$L17,"")</f>
        <v/>
      </c>
      <c r="AF16" s="8" t="str">
        <f>IF($I16&gt;=3," "&amp;$L18,"")</f>
        <v/>
      </c>
      <c r="AG16" s="8" t="str">
        <f>IF($I16&gt;=4," "&amp;$L19,"")</f>
        <v/>
      </c>
      <c r="AH16" s="8" t="str">
        <f>IF($I16&gt;=5," "&amp;$L20,"")</f>
        <v/>
      </c>
      <c r="AI16" s="8" t="str">
        <f>IF($I16&gt;=6," "&amp;$L21,"")</f>
        <v/>
      </c>
      <c r="AJ16" s="8" t="str">
        <f>IF($I16&gt;=7," "&amp;$L22,"")</f>
        <v/>
      </c>
      <c r="AK16" s="8" t="str">
        <f>IF($I16&gt;=8," "&amp;$L23,"")</f>
        <v/>
      </c>
      <c r="AL16" s="8" t="str">
        <f>U16</f>
        <v>iam___roles</v>
      </c>
      <c r="AM16" s="8" t="str">
        <f>IF($I16&gt;=2,$U17,"")</f>
        <v/>
      </c>
      <c r="AN16" s="8" t="str">
        <f>IF($I16&gt;=3,$U18,"")</f>
        <v/>
      </c>
      <c r="AO16" s="8" t="str">
        <f>IF(I16&gt;=4,$U19,"")</f>
        <v/>
      </c>
      <c r="AP16" s="8" t="str">
        <f>IF($I16&gt;=5,$U20,"")</f>
        <v/>
      </c>
      <c r="AQ16" s="8" t="str">
        <f>IF($I16&gt;=6,$U21,"")</f>
        <v/>
      </c>
      <c r="AR16" s="8" t="str">
        <f>IF($I16&gt;=7,$U22,"")</f>
        <v/>
      </c>
      <c r="AS16" s="8" t="str">
        <f>IF(I16&gt;=8,$U23,"")</f>
        <v/>
      </c>
      <c r="AT16" s="8" t="str">
        <f>F16</f>
        <v>RoleName</v>
      </c>
      <c r="AU16" s="8" t="str">
        <f>IF($I16&gt;=2,$F17,"")</f>
        <v/>
      </c>
      <c r="AV16" s="8" t="str">
        <f>IF($I16&gt;=3,$F18,"")</f>
        <v/>
      </c>
      <c r="AW16" s="8" t="str">
        <f>IF($I16&gt;=4,$F19,"")</f>
        <v/>
      </c>
      <c r="AX16" s="8" t="str">
        <f>IF($I16&gt;=5,$F20,"")</f>
        <v/>
      </c>
      <c r="AY16" s="8" t="str">
        <f>IF($I16&gt;=6,$F21,"")</f>
        <v/>
      </c>
      <c r="AZ16" s="8" t="str">
        <f>IF($I16&gt;=7,$F22,"")</f>
        <v/>
      </c>
      <c r="BA16" s="8" t="str">
        <f>IF($I16&gt;=8,$F23,"")</f>
        <v/>
      </c>
      <c r="BB16" s="9" t="str">
        <f>IF(OR(R16&lt;&gt;"y",I16&lt;&gt;1),"","SELECT aws_command::text || ' ' || command_parameter::text AS aws_command_string, parameter_source_table, parameter_source_key FROM (SELECT  "&amp;"'"&amp;AB16&amp;"'"&amp;" AS aws_command,"&amp;U16&amp;"."&amp;V16&amp;" -&gt;&gt; "&amp;"'"&amp;F16&amp;"'"&amp;" AS command_parameter, "&amp;"'"&amp;AL16&amp;"'"&amp;" AS parameter_source_table, "&amp;"'"&amp;AT16&amp;"'"&amp;" AS parameter_source_key FROM "&amp;U16&amp;") AS f")</f>
        <v>SELECT aws_command::text || ' ' || command_parameter::text AS aws_command_string, parameter_source_table, parameter_source_key FROM (SELECT  'iam get-role --role-name' AS aws_command,iam___roles.roles -&gt;&gt; 'RoleName' AS command_parameter, 'iam___roles' AS parameter_source_table, 'RoleName' AS parameter_source_key FROM iam___roles) AS f</v>
      </c>
      <c r="BC16" s="9" t="str">
        <f>IF(AND(H16="y",H15&lt;&gt;"y"),BE16&amp;BF16&amp;BG16&amp;BR16&amp;CC16,"")</f>
        <v/>
      </c>
      <c r="BD16" s="8" t="str">
        <f>"/* recursive command: "&amp;C16&amp;" */ DROP TABLE IF EXISTS "&amp;T16&amp;"; CREATE TABLE "&amp;T16&amp;"(  id SERIAL PRIMARY KEY, "&amp;F16&amp;" TEXT); SELECT "&amp;U16&amp;"."&amp;V16&amp;" -&gt;&gt; '"&amp;F16&amp;"' AS "&amp;V16&amp;" FROM "&amp;U16&amp;" ;"</f>
        <v>/* recursive command: get-role */ DROP TABLE IF EXISTS iam___role; CREATE TABLE iam___role(  id SERIAL PRIMARY KEY, RoleName TEXT); SELECT iam___roles.roles -&gt;&gt; 'RoleName' AS roles FROM iam___roles ;</v>
      </c>
      <c r="BE16" s="8" t="str">
        <f t="shared" si="3"/>
        <v xml:space="preserve">/* recursive command multi: get-role */ </v>
      </c>
      <c r="BF16" s="8" t="str">
        <f t="shared" si="4"/>
        <v xml:space="preserve">DROP TABLE IF EXISTS iam___role; </v>
      </c>
      <c r="BG16" s="8" t="str">
        <f t="shared" si="5"/>
        <v>CREATE TABLE iam___role(  id SERIAL PRIMARY KEY, rolename TEXT );</v>
      </c>
      <c r="BH16" s="8" t="str">
        <f t="shared" si="6"/>
        <v xml:space="preserve">CREATE TABLE iam___role(  id SERIAL PRIMARY KEY, </v>
      </c>
      <c r="BI16" s="8" t="str">
        <f>IF($I16&gt;=1,$W16&amp;" TEXT","")</f>
        <v>rolename TEXT</v>
      </c>
      <c r="BJ16" s="8" t="str">
        <f>IF($I16&gt;=2,", "&amp;$W17&amp;" TEXT","")</f>
        <v/>
      </c>
      <c r="BK16" s="8" t="str">
        <f>IF($I16&gt;=3,", "&amp;$W18&amp;" TEXT","")</f>
        <v/>
      </c>
      <c r="BL16" s="8" t="str">
        <f>IF($I16&gt;=4,", "&amp;$W19&amp;" TEXT","")</f>
        <v/>
      </c>
      <c r="BM16" s="8" t="str">
        <f>IF($I16&gt;=5,", "&amp;$W20&amp;" TEXT","")</f>
        <v/>
      </c>
      <c r="BN16" s="8" t="str">
        <f>IF($I16&gt;=6,", "&amp;$W21&amp;" TEXT","")</f>
        <v/>
      </c>
      <c r="BO16" s="8" t="str">
        <f>IF($I16&gt;=7,", "&amp;$W22&amp;" TEXT","")</f>
        <v/>
      </c>
      <c r="BP16" s="8" t="str">
        <f>IF($I16&gt;=8,", "&amp;$W23&amp;" TEXT","")</f>
        <v/>
      </c>
      <c r="BQ16" s="8" t="str">
        <f t="shared" si="7"/>
        <v xml:space="preserve"> );</v>
      </c>
      <c r="BR16" s="9" t="str">
        <f t="shared" si="8"/>
        <v xml:space="preserve"> INSERT INTO iam___role(rolename)</v>
      </c>
      <c r="BS16" s="9" t="str">
        <f t="shared" si="9"/>
        <v xml:space="preserve"> INSERT INTO iam___role(</v>
      </c>
      <c r="BT16" s="9" t="str">
        <f>IF($I16&gt;=1,$W16,"")</f>
        <v>rolename</v>
      </c>
      <c r="BU16" s="9" t="str">
        <f>IF($I16&gt;=2,", "&amp;$W17,"")</f>
        <v/>
      </c>
      <c r="BV16" s="9" t="str">
        <f>IF($I16&gt;=3,", "&amp;$W18,"")</f>
        <v/>
      </c>
      <c r="BW16" s="9" t="str">
        <f>IF($I16&gt;=4,", "&amp;$W19,"")</f>
        <v/>
      </c>
      <c r="BX16" s="9" t="str">
        <f>IF($I16&gt;=5,", "&amp;$W20,"")</f>
        <v/>
      </c>
      <c r="BY16" s="9" t="str">
        <f>IF($I16&gt;=6,", "&amp;$W21,"")</f>
        <v/>
      </c>
      <c r="BZ16" s="9" t="str">
        <f>IF($I16&gt;=7,", "&amp;$W22,"")</f>
        <v/>
      </c>
      <c r="CA16" s="9" t="str">
        <f>IF($I16&gt;=8,", "&amp;$W23,"")</f>
        <v/>
      </c>
      <c r="CB16" s="9" t="str">
        <f t="shared" si="10"/>
        <v>)</v>
      </c>
      <c r="CC16" s="9" t="str">
        <f t="shared" si="0"/>
        <v xml:space="preserve"> SELECT iam___roles.roles -&gt;&gt; 'RoleName' AS roles_rolename FROM iam___roles ;</v>
      </c>
      <c r="CD16" s="8" t="str">
        <f>" SELECT "&amp;$U16&amp;"."&amp;$V16&amp;" -&gt;&gt; '"&amp;$F16&amp;"' AS "&amp;$V16&amp;"_"&amp;LOWER(F16)</f>
        <v xml:space="preserve"> SELECT iam___roles.roles -&gt;&gt; 'RoleName' AS roles_rolename</v>
      </c>
      <c r="CE16" s="8" t="str">
        <f>IF($I16&gt;=2,", "&amp;$U17&amp;"."&amp;$V17&amp;" -&gt;&gt; '"&amp;$F17&amp;"' AS "&amp;$V17&amp;"_"&amp;LOWER(F17),"")</f>
        <v/>
      </c>
      <c r="CF16" s="8" t="str">
        <f>IF($I16&gt;=3,", "&amp;$U18&amp;"."&amp;$V18&amp;" -&gt;&gt; '"&amp;$F18&amp;"' AS "&amp;$V18&amp;"_"&amp;LOWER(F18),"")</f>
        <v/>
      </c>
      <c r="CG16" s="8" t="str">
        <f>IF($I16&gt;=4,", "&amp;$U19&amp;"."&amp;$V19&amp;" -&gt;&gt; '"&amp;$F19&amp;"' AS "&amp;$V19&amp;"_"&amp;LOWER(F19),"")</f>
        <v/>
      </c>
      <c r="CH16" s="8" t="str">
        <f>IF($I16&gt;=5,", "&amp;$U20&amp;"."&amp;$V20&amp;" -&gt;&gt; '"&amp;$F20&amp;"' AS "&amp;$V20&amp;"_"&amp;LOWER(F20),"")</f>
        <v/>
      </c>
      <c r="CI16" s="8" t="str">
        <f>IF($I16&gt;=6,", "&amp;$U21&amp;"."&amp;$V21&amp;" -&gt;&gt; '"&amp;$F21&amp;"' AS "&amp;$V21&amp;"_"&amp;LOWER(F21),"")</f>
        <v/>
      </c>
      <c r="CJ16" s="8" t="str">
        <f>IF($I16&gt;=7,", "&amp;$U22&amp;"."&amp;$V22&amp;" -&gt;&gt; '"&amp;$F22&amp;"' AS "&amp;$V22&amp;"_"&amp;LOWER(F22),"")</f>
        <v/>
      </c>
      <c r="CK16" s="8" t="str">
        <f>IF($I16&gt;=8,", "&amp;$U23&amp;"."&amp;$V23&amp;" -&gt;&gt; '"&amp;$F23&amp;"' AS "&amp;$V23&amp;"_"&amp;LOWER(F23),"")</f>
        <v/>
      </c>
      <c r="CL16" s="8" t="str">
        <f>IF($I16&gt;=1," FROM "&amp;$U16,"")</f>
        <v xml:space="preserve"> FROM iam___roles</v>
      </c>
      <c r="CM16" s="9" t="str">
        <f>IF($I16&gt;=2," "&amp;$AA16&amp;" JOIN "&amp;$U16&amp;" USING ("&amp;$T16&amp;"."&amp;$W16&amp;", "&amp;$U16&amp;"."&amp;$V16&amp;" -&gt;&gt; '"&amp;$F16&amp;"')","")</f>
        <v/>
      </c>
      <c r="CN16" s="9" t="str">
        <f>IF($I16&gt;=3," "&amp;$AA17&amp;" JOIN "&amp;$U17&amp;" USING ("&amp;$T17&amp;"."&amp;$W17&amp;", "&amp;$U17&amp;"."&amp;$V17&amp;" -&gt;&gt; '"&amp;$F17&amp;"')","")</f>
        <v/>
      </c>
      <c r="CO16" s="9" t="str">
        <f>IF($I16&gt;=4," "&amp;$AA18&amp;" JOIN "&amp;$U18&amp;" USING ("&amp;$T18&amp;"."&amp;$W18&amp;", "&amp;$U18&amp;"."&amp;$V18&amp;" -&gt;&gt; '"&amp;$F18&amp;"')","")</f>
        <v/>
      </c>
      <c r="CP16" s="9" t="str">
        <f>IF($I16&gt;=5," "&amp;$AA19&amp;" JOIN "&amp;$U19&amp;" USING ("&amp;$T19&amp;"."&amp;$W19&amp;", "&amp;$U19&amp;"."&amp;$V19&amp;" -&gt;&gt; '"&amp;$F19&amp;"')","")</f>
        <v/>
      </c>
      <c r="CQ16" s="9" t="str">
        <f>IF($I16&gt;=6," "&amp;$AA20&amp;" JOIN "&amp;$U20&amp;" USING ("&amp;$T20&amp;"."&amp;$W20&amp;", "&amp;$U20&amp;"."&amp;$V20&amp;" -&gt;&gt; '"&amp;$F20&amp;"')","")</f>
        <v/>
      </c>
      <c r="CR16" s="8" t="str">
        <f>IF($I16&gt;=7," "&amp;$AA21&amp;" JOIN "&amp;$U21&amp;" USING ("&amp;$T21&amp;"."&amp;$W21&amp;", "&amp;$U21&amp;"."&amp;$V21&amp;" -&gt;&gt; '"&amp;$F21&amp;"')","")</f>
        <v/>
      </c>
      <c r="CS16" s="8" t="str">
        <f>IF($I16&gt;=8," "&amp;$AA22&amp;" JOIN "&amp;$U22&amp;" USING ("&amp;$T22&amp;"."&amp;$W22&amp;", "&amp;$U22&amp;"."&amp;$V22&amp;" -&gt;&gt; '"&amp;$F22&amp;"')","")</f>
        <v/>
      </c>
      <c r="CT16" s="8" t="str">
        <f t="shared" si="11"/>
        <v xml:space="preserve"> ;</v>
      </c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</row>
    <row r="17" spans="1:202" x14ac:dyDescent="0.25">
      <c r="A17">
        <v>16</v>
      </c>
      <c r="B17" s="4" t="s">
        <v>0</v>
      </c>
      <c r="C17" s="4" t="s">
        <v>62</v>
      </c>
      <c r="D17" s="4" t="s">
        <v>0</v>
      </c>
      <c r="E17" s="4" t="s">
        <v>40</v>
      </c>
      <c r="F17" s="4" t="s">
        <v>73</v>
      </c>
      <c r="G17" s="7" t="s">
        <v>72</v>
      </c>
      <c r="H17" s="7" t="s">
        <v>71</v>
      </c>
      <c r="I17" s="7">
        <v>2</v>
      </c>
      <c r="J17" s="7" t="s">
        <v>72</v>
      </c>
      <c r="K17" s="7">
        <v>1</v>
      </c>
      <c r="L17" s="4" t="s">
        <v>67</v>
      </c>
      <c r="M17" s="7" t="s">
        <v>72</v>
      </c>
      <c r="N17" s="4"/>
      <c r="O17" s="7"/>
      <c r="P17" s="4"/>
      <c r="Q17" s="8" t="str">
        <f>VLOOKUP($C17,aws_cli_commands!$C$2:$E$10000,2,FALSE)</f>
        <v>n</v>
      </c>
      <c r="R17" s="8" t="str">
        <f>VLOOKUP($C17,aws_cli_commands!$C$2:$E$10000,3,FALSE)</f>
        <v>y</v>
      </c>
      <c r="S17" s="8" t="str">
        <f>IF(OR(C17=C16,C17=C18),"y","n")</f>
        <v>y</v>
      </c>
      <c r="T17" s="8" t="str">
        <f>B17&amp;"___"&amp;SUBSTITUTE(RIGHT(C17,LEN(C17)-FIND("-",C17)),"-","_")</f>
        <v>iam___role_policy</v>
      </c>
      <c r="U17" s="8" t="str">
        <f>SUBSTITUTE(D17&amp;"___"&amp;RIGHT(E17,LEN(E17)-FIND("-",E17)),"-","_")</f>
        <v>iam___role_policies</v>
      </c>
      <c r="V17" s="8" t="str">
        <f>SUBSTITUTE(RIGHT($E17,LEN($E17)-FIND("-",$E17)),"-","_")</f>
        <v>role_policies</v>
      </c>
      <c r="W17" s="8" t="str">
        <f>IF(G17="y",V17&amp;"_"&amp;LOWER(F17),IF(M17="y","**hardcoded**",LOWER(F17)))</f>
        <v>policynames</v>
      </c>
      <c r="X17" s="8" t="str">
        <f t="shared" si="1"/>
        <v>n</v>
      </c>
      <c r="Y17" s="8">
        <f>IF(AND($C17=$C17,$M17="y"),1,0)+IF(AND($C16=$C17,$M16="y"),1,0)+IF(AND($C15=$C17,$M15="y"),1,0)+IF(AND($C14=$C17,$M14="y"),1,0)+IF(AND($C13=$C17,$M13="y"),1,0)+IF(AND($C12=$C17,$M12="y"),1,0)+IF(AND($C11=$C17,$M11="y"),1,0)+IF(AND($C10=$C17,$M10="y"),1,0)+IF(AND($C9=$C17,$M9="y"),1,0)</f>
        <v>0</v>
      </c>
      <c r="Z17" s="8">
        <f>IF(AND($C17=$C17,$M17="y"),1,0)+IF(AND($C17=$C18,$M18="y"),1,0)+IF(AND($C17=$C19,$M19="y"),1,0)+IF(AND($C17=$C20,$M20="y"),1,0)+IF(AND($C17=$C21,$M21="y"),1,0)+IF(AND($C17=$C22,$M22="y"),1,0)+IF(AND($C17=$C23,$M23="y"),1,0)+IF(AND($C17=$C24,$M24="y"),1,0)+IF(AND($C17=$C25,$M25="y"),1,0)</f>
        <v>0</v>
      </c>
      <c r="AA17" s="8" t="s">
        <v>127</v>
      </c>
      <c r="AB17" s="9" t="str">
        <f>IF(AND($H17="y",$C17&lt;&gt;$C16),B17&amp;" "&amp;AC17&amp;AD17&amp;AE17&amp;AF17&amp;AG17&amp;AH17&amp;AI17&amp;AJ17&amp;AK17,IF(H17="n",B17&amp;" "&amp;AC17&amp;AD17&amp;AE17&amp;AF17&amp;AG17&amp;AH17&amp;AI17&amp;AJ17&amp;AK17,""))</f>
        <v>iam get-role-policy --policy-name --role-name</v>
      </c>
      <c r="AC17" s="8" t="str">
        <f t="shared" si="2"/>
        <v>get-role-policy</v>
      </c>
      <c r="AD17" s="8" t="str">
        <f>IF($I17&gt;=1," "&amp;$L17,"")</f>
        <v xml:space="preserve"> --policy-name</v>
      </c>
      <c r="AE17" s="8" t="str">
        <f>IF($I17&gt;=2," "&amp;$L18,"")</f>
        <v xml:space="preserve"> --role-name</v>
      </c>
      <c r="AF17" s="8" t="str">
        <f>IF($I17&gt;=3," "&amp;$L19,"")</f>
        <v/>
      </c>
      <c r="AG17" s="8" t="str">
        <f>IF($I17&gt;=4," "&amp;$L20,"")</f>
        <v/>
      </c>
      <c r="AH17" s="8" t="str">
        <f>IF($I17&gt;=5," "&amp;$L21,"")</f>
        <v/>
      </c>
      <c r="AI17" s="8" t="str">
        <f>IF($I17&gt;=6," "&amp;$L22,"")</f>
        <v/>
      </c>
      <c r="AJ17" s="8" t="str">
        <f>IF($I17&gt;=7," "&amp;$L23,"")</f>
        <v/>
      </c>
      <c r="AK17" s="8" t="str">
        <f>IF($I17&gt;=8," "&amp;$L24,"")</f>
        <v/>
      </c>
      <c r="AL17" s="8" t="str">
        <f>U17</f>
        <v>iam___role_policies</v>
      </c>
      <c r="AM17" s="8" t="str">
        <f>IF($I17&gt;=2,$U18,"")</f>
        <v>iam___role_policies</v>
      </c>
      <c r="AN17" s="8" t="str">
        <f>IF($I17&gt;=3,$U19,"")</f>
        <v/>
      </c>
      <c r="AO17" s="8" t="str">
        <f>IF(I17&gt;=4,$U20,"")</f>
        <v/>
      </c>
      <c r="AP17" s="8" t="str">
        <f>IF($I17&gt;=5,$U21,"")</f>
        <v/>
      </c>
      <c r="AQ17" s="8" t="str">
        <f>IF($I17&gt;=6,$U22,"")</f>
        <v/>
      </c>
      <c r="AR17" s="8" t="str">
        <f>IF($I17&gt;=7,$U23,"")</f>
        <v/>
      </c>
      <c r="AS17" s="8" t="str">
        <f>IF(I17&gt;=8,$U24,"")</f>
        <v/>
      </c>
      <c r="AT17" s="8" t="str">
        <f>F17</f>
        <v>PolicyNames</v>
      </c>
      <c r="AU17" s="8" t="str">
        <f>IF($I17&gt;=2,$F18,"")</f>
        <v>RoleName</v>
      </c>
      <c r="AV17" s="8" t="str">
        <f>IF($I17&gt;=3,$F19,"")</f>
        <v/>
      </c>
      <c r="AW17" s="8" t="str">
        <f>IF($I17&gt;=4,$F20,"")</f>
        <v/>
      </c>
      <c r="AX17" s="8" t="str">
        <f>IF($I17&gt;=5,$F21,"")</f>
        <v/>
      </c>
      <c r="AY17" s="8" t="str">
        <f>IF($I17&gt;=6,$F22,"")</f>
        <v/>
      </c>
      <c r="AZ17" s="8" t="str">
        <f>IF($I17&gt;=7,$F23,"")</f>
        <v/>
      </c>
      <c r="BA17" s="8" t="str">
        <f>IF($I17&gt;=8,$F24,"")</f>
        <v/>
      </c>
      <c r="BB17" s="9" t="str">
        <f>IF(OR(R17&lt;&gt;"y",I17&lt;&gt;1),"","SELECT aws_command::text || ' ' || command_parameter::text AS aws_command_string, parameter_source_table, parameter_source_key FROM (SELECT  "&amp;"'"&amp;AB17&amp;"'"&amp;" AS aws_command,"&amp;U17&amp;"."&amp;V17&amp;" -&gt;&gt; "&amp;"'"&amp;F17&amp;"'"&amp;" AS command_parameter, "&amp;"'"&amp;AL17&amp;"'"&amp;" AS parameter_source_table, "&amp;"'"&amp;AT17&amp;"'"&amp;" AS parameter_source_key FROM "&amp;U17&amp;") AS f")</f>
        <v/>
      </c>
      <c r="BC17" s="9" t="str">
        <f>IF(AND(H17="y",H16&lt;&gt;"y"),BE17&amp;BF17&amp;BG17&amp;BR17&amp;CC17,"")</f>
        <v>/* recursive command multi: get-role-policy */ DROP TABLE IF EXISTS iam___role_policy; CREATE TABLE iam___role_policy(  id SERIAL PRIMARY KEY, policynames TEXT, rolename TEXT ); INSERT INTO iam___role_policy(policynames, rolename) SELECT iam___role_policies.role_policies -&gt;&gt; 'PolicyNames' AS role_policies_policynames, iam___role_policies.role_policies -&gt;&gt; 'RoleName' AS role_policies_rolename FROM iam___role_policies INNER JOIN iam___role_policies USING (iam___role_policy.policynames, iam___role_policies.role_policies -&gt;&gt; 'PolicyNames') ;</v>
      </c>
      <c r="BD17" s="8" t="str">
        <f>"/* recursive command: "&amp;C17&amp;" */ DROP TABLE IF EXISTS "&amp;T17&amp;"; CREATE TABLE "&amp;T17&amp;"(  id SERIAL PRIMARY KEY, "&amp;F17&amp;" TEXT); SELECT "&amp;U17&amp;"."&amp;V17&amp;" -&gt;&gt; '"&amp;F17&amp;"' AS "&amp;V17&amp;" FROM "&amp;U17&amp;" ;"</f>
        <v>/* recursive command: get-role-policy */ DROP TABLE IF EXISTS iam___role_policy; CREATE TABLE iam___role_policy(  id SERIAL PRIMARY KEY, PolicyNames TEXT); SELECT iam___role_policies.role_policies -&gt;&gt; 'PolicyNames' AS role_policies FROM iam___role_policies ;</v>
      </c>
      <c r="BE17" s="8" t="str">
        <f t="shared" si="3"/>
        <v xml:space="preserve">/* recursive command multi: get-role-policy */ </v>
      </c>
      <c r="BF17" s="8" t="str">
        <f t="shared" si="4"/>
        <v xml:space="preserve">DROP TABLE IF EXISTS iam___role_policy; </v>
      </c>
      <c r="BG17" s="8" t="str">
        <f t="shared" si="5"/>
        <v>CREATE TABLE iam___role_policy(  id SERIAL PRIMARY KEY, policynames TEXT, rolename TEXT );</v>
      </c>
      <c r="BH17" s="8" t="str">
        <f t="shared" si="6"/>
        <v xml:space="preserve">CREATE TABLE iam___role_policy(  id SERIAL PRIMARY KEY, </v>
      </c>
      <c r="BI17" s="8" t="str">
        <f>IF($I17&gt;=1,$W17&amp;" TEXT","")</f>
        <v>policynames TEXT</v>
      </c>
      <c r="BJ17" s="8" t="str">
        <f>IF($I17&gt;=2,", "&amp;$W18&amp;" TEXT","")</f>
        <v>, rolename TEXT</v>
      </c>
      <c r="BK17" s="8" t="str">
        <f>IF($I17&gt;=3,", "&amp;$W19&amp;" TEXT","")</f>
        <v/>
      </c>
      <c r="BL17" s="8" t="str">
        <f>IF($I17&gt;=4,", "&amp;$W20&amp;" TEXT","")</f>
        <v/>
      </c>
      <c r="BM17" s="8" t="str">
        <f>IF($I17&gt;=5,", "&amp;$W21&amp;" TEXT","")</f>
        <v/>
      </c>
      <c r="BN17" s="8" t="str">
        <f>IF($I17&gt;=6,", "&amp;$W22&amp;" TEXT","")</f>
        <v/>
      </c>
      <c r="BO17" s="8" t="str">
        <f>IF($I17&gt;=7,", "&amp;$W23&amp;" TEXT","")</f>
        <v/>
      </c>
      <c r="BP17" s="8" t="str">
        <f>IF($I17&gt;=8,", "&amp;$W24&amp;" TEXT","")</f>
        <v/>
      </c>
      <c r="BQ17" s="8" t="str">
        <f t="shared" si="7"/>
        <v xml:space="preserve"> );</v>
      </c>
      <c r="BR17" s="9" t="str">
        <f t="shared" si="8"/>
        <v xml:space="preserve"> INSERT INTO iam___role_policy(policynames, rolename)</v>
      </c>
      <c r="BS17" s="9" t="str">
        <f t="shared" si="9"/>
        <v xml:space="preserve"> INSERT INTO iam___role_policy(</v>
      </c>
      <c r="BT17" s="9" t="str">
        <f>IF($I17&gt;=1,$W17,"")</f>
        <v>policynames</v>
      </c>
      <c r="BU17" s="9" t="str">
        <f>IF($I17&gt;=2,", "&amp;$W18,"")</f>
        <v>, rolename</v>
      </c>
      <c r="BV17" s="9" t="str">
        <f>IF($I17&gt;=3,", "&amp;$W19,"")</f>
        <v/>
      </c>
      <c r="BW17" s="9" t="str">
        <f>IF($I17&gt;=4,", "&amp;$W20,"")</f>
        <v/>
      </c>
      <c r="BX17" s="9" t="str">
        <f>IF($I17&gt;=5,", "&amp;$W21,"")</f>
        <v/>
      </c>
      <c r="BY17" s="9" t="str">
        <f>IF($I17&gt;=6,", "&amp;$W22,"")</f>
        <v/>
      </c>
      <c r="BZ17" s="9" t="str">
        <f>IF($I17&gt;=7,", "&amp;$W23,"")</f>
        <v/>
      </c>
      <c r="CA17" s="9" t="str">
        <f>IF($I17&gt;=8,", "&amp;$W24,"")</f>
        <v/>
      </c>
      <c r="CB17" s="9" t="str">
        <f t="shared" si="10"/>
        <v>)</v>
      </c>
      <c r="CC17" s="9" t="str">
        <f t="shared" si="0"/>
        <v xml:space="preserve"> SELECT iam___role_policies.role_policies -&gt;&gt; 'PolicyNames' AS role_policies_policynames, iam___role_policies.role_policies -&gt;&gt; 'RoleName' AS role_policies_rolename FROM iam___role_policies INNER JOIN iam___role_policies USING (iam___role_policy.policynames, iam___role_policies.role_policies -&gt;&gt; 'PolicyNames') ;</v>
      </c>
      <c r="CD17" s="8" t="str">
        <f>" SELECT "&amp;$U17&amp;"."&amp;$V17&amp;" -&gt;&gt; '"&amp;$F17&amp;"' AS "&amp;$V17&amp;"_"&amp;LOWER(F17)</f>
        <v xml:space="preserve"> SELECT iam___role_policies.role_policies -&gt;&gt; 'PolicyNames' AS role_policies_policynames</v>
      </c>
      <c r="CE17" s="8" t="str">
        <f>IF($I17&gt;=2,", "&amp;$U18&amp;"."&amp;$V18&amp;" -&gt;&gt; '"&amp;$F18&amp;"' AS "&amp;$V18&amp;"_"&amp;LOWER(F18),"")</f>
        <v>, iam___role_policies.role_policies -&gt;&gt; 'RoleName' AS role_policies_rolename</v>
      </c>
      <c r="CF17" s="8" t="str">
        <f>IF($I17&gt;=3,", "&amp;$U19&amp;"."&amp;$V19&amp;" -&gt;&gt; '"&amp;$F19&amp;"' AS "&amp;$V19&amp;"_"&amp;LOWER(F19),"")</f>
        <v/>
      </c>
      <c r="CG17" s="8" t="str">
        <f>IF($I17&gt;=4,", "&amp;$U20&amp;"."&amp;$V20&amp;" -&gt;&gt; '"&amp;$F20&amp;"' AS "&amp;$V20&amp;"_"&amp;LOWER(F20),"")</f>
        <v/>
      </c>
      <c r="CH17" s="8" t="str">
        <f>IF($I17&gt;=5,", "&amp;$U21&amp;"."&amp;$V21&amp;" -&gt;&gt; '"&amp;$F21&amp;"' AS "&amp;$V21&amp;"_"&amp;LOWER(F21),"")</f>
        <v/>
      </c>
      <c r="CI17" s="8" t="str">
        <f>IF($I17&gt;=6,", "&amp;$U22&amp;"."&amp;$V22&amp;" -&gt;&gt; '"&amp;$F22&amp;"' AS "&amp;$V22&amp;"_"&amp;LOWER(F22),"")</f>
        <v/>
      </c>
      <c r="CJ17" s="8" t="str">
        <f>IF($I17&gt;=7,", "&amp;$U23&amp;"."&amp;$V23&amp;" -&gt;&gt; '"&amp;$F23&amp;"' AS "&amp;$V23&amp;"_"&amp;LOWER(F23),"")</f>
        <v/>
      </c>
      <c r="CK17" s="8" t="str">
        <f>IF($I17&gt;=8,", "&amp;$U24&amp;"."&amp;$V24&amp;" -&gt;&gt; '"&amp;$F24&amp;"' AS "&amp;$V24&amp;"_"&amp;LOWER(F24),"")</f>
        <v/>
      </c>
      <c r="CL17" s="8" t="str">
        <f>IF($I17&gt;=1," FROM "&amp;$U17,"")</f>
        <v xml:space="preserve"> FROM iam___role_policies</v>
      </c>
      <c r="CM17" s="9" t="str">
        <f>IF($I17&gt;=2," "&amp;$AA17&amp;" JOIN "&amp;$U17&amp;" USING ("&amp;$T17&amp;"."&amp;$W17&amp;", "&amp;$U17&amp;"."&amp;$V17&amp;" -&gt;&gt; '"&amp;$F17&amp;"')","")</f>
        <v xml:space="preserve"> INNER JOIN iam___role_policies USING (iam___role_policy.policynames, iam___role_policies.role_policies -&gt;&gt; 'PolicyNames')</v>
      </c>
      <c r="CN17" s="9" t="str">
        <f>IF($I17&gt;=3," "&amp;$AA18&amp;" JOIN "&amp;$U18&amp;" USING ("&amp;$T18&amp;"."&amp;$W18&amp;", "&amp;$U18&amp;"."&amp;$V18&amp;" -&gt;&gt; '"&amp;$F18&amp;"')","")</f>
        <v/>
      </c>
      <c r="CO17" s="9" t="str">
        <f>IF($I17&gt;=4," "&amp;$AA19&amp;" JOIN "&amp;$U19&amp;" USING ("&amp;$T19&amp;"."&amp;$W19&amp;", "&amp;$U19&amp;"."&amp;$V19&amp;" -&gt;&gt; '"&amp;$F19&amp;"')","")</f>
        <v/>
      </c>
      <c r="CP17" s="9" t="str">
        <f>IF($I17&gt;=5," "&amp;$AA20&amp;" JOIN "&amp;$U20&amp;" USING ("&amp;$T20&amp;"."&amp;$W20&amp;", "&amp;$U20&amp;"."&amp;$V20&amp;" -&gt;&gt; '"&amp;$F20&amp;"')","")</f>
        <v/>
      </c>
      <c r="CQ17" s="9" t="str">
        <f>IF($I17&gt;=6," "&amp;$AA21&amp;" JOIN "&amp;$U21&amp;" USING ("&amp;$T21&amp;"."&amp;$W21&amp;", "&amp;$U21&amp;"."&amp;$V21&amp;" -&gt;&gt; '"&amp;$F21&amp;"')","")</f>
        <v/>
      </c>
      <c r="CR17" s="8" t="str">
        <f>IF($I17&gt;=7," "&amp;$AA22&amp;" JOIN "&amp;$U22&amp;" USING ("&amp;$T22&amp;"."&amp;$W22&amp;", "&amp;$U22&amp;"."&amp;$V22&amp;" -&gt;&gt; '"&amp;$F22&amp;"')","")</f>
        <v/>
      </c>
      <c r="CS17" s="8" t="str">
        <f>IF($I17&gt;=8," "&amp;$AA23&amp;" JOIN "&amp;$U23&amp;" USING ("&amp;$T23&amp;"."&amp;$W23&amp;", "&amp;$U23&amp;"."&amp;$V23&amp;" -&gt;&gt; '"&amp;$F23&amp;"')","")</f>
        <v/>
      </c>
      <c r="CT17" s="8" t="str">
        <f t="shared" si="11"/>
        <v xml:space="preserve"> ;</v>
      </c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</row>
    <row r="18" spans="1:202" x14ac:dyDescent="0.25">
      <c r="A18">
        <v>17</v>
      </c>
      <c r="B18" s="4" t="s">
        <v>0</v>
      </c>
      <c r="C18" s="4" t="s">
        <v>62</v>
      </c>
      <c r="D18" s="4" t="s">
        <v>0</v>
      </c>
      <c r="E18" s="4" t="s">
        <v>40</v>
      </c>
      <c r="F18" s="4" t="s">
        <v>37</v>
      </c>
      <c r="G18" s="7" t="s">
        <v>72</v>
      </c>
      <c r="H18" s="7" t="s">
        <v>71</v>
      </c>
      <c r="I18" s="7">
        <v>2</v>
      </c>
      <c r="J18" s="7" t="s">
        <v>72</v>
      </c>
      <c r="K18" s="7">
        <v>1</v>
      </c>
      <c r="L18" s="4" t="s">
        <v>36</v>
      </c>
      <c r="M18" s="7" t="s">
        <v>72</v>
      </c>
      <c r="N18" s="4"/>
      <c r="O18" s="7"/>
      <c r="P18" s="4"/>
      <c r="Q18" s="8" t="str">
        <f>VLOOKUP($C18,aws_cli_commands!$C$2:$E$10000,2,FALSE)</f>
        <v>n</v>
      </c>
      <c r="R18" s="8" t="str">
        <f>VLOOKUP($C18,aws_cli_commands!$C$2:$E$10000,3,FALSE)</f>
        <v>y</v>
      </c>
      <c r="S18" s="8" t="str">
        <f>IF(OR(C18=C17,C18=C19),"y","n")</f>
        <v>y</v>
      </c>
      <c r="T18" s="8" t="str">
        <f>B18&amp;"___"&amp;SUBSTITUTE(RIGHT(C18,LEN(C18)-FIND("-",C18)),"-","_")</f>
        <v>iam___role_policy</v>
      </c>
      <c r="U18" s="8" t="str">
        <f>SUBSTITUTE(D18&amp;"___"&amp;RIGHT(E18,LEN(E18)-FIND("-",E18)),"-","_")</f>
        <v>iam___role_policies</v>
      </c>
      <c r="V18" s="8" t="str">
        <f>SUBSTITUTE(RIGHT($E18,LEN($E18)-FIND("-",$E18)),"-","_")</f>
        <v>role_policies</v>
      </c>
      <c r="W18" s="8" t="str">
        <f>IF(G18="y",V18&amp;"_"&amp;LOWER(F18),IF(M18="y","**hardcoded**",LOWER(F18)))</f>
        <v>rolename</v>
      </c>
      <c r="X18" s="8" t="str">
        <f t="shared" si="1"/>
        <v>n</v>
      </c>
      <c r="Y18" s="8">
        <f>IF(AND($C18=$C18,$M18="y"),1,0)+IF(AND($C17=$C18,$M17="y"),1,0)+IF(AND($C16=$C18,$M16="y"),1,0)+IF(AND($C15=$C18,$M15="y"),1,0)+IF(AND($C14=$C18,$M14="y"),1,0)+IF(AND($C13=$C18,$M13="y"),1,0)+IF(AND($C12=$C18,$M12="y"),1,0)+IF(AND($C11=$C18,$M11="y"),1,0)+IF(AND($C10=$C18,$M10="y"),1,0)</f>
        <v>0</v>
      </c>
      <c r="Z18" s="8">
        <f>IF(AND($C18=$C18,$M18="y"),1,0)+IF(AND($C18=$C19,$M19="y"),1,0)+IF(AND($C18=$C20,$M20="y"),1,0)+IF(AND($C18=$C21,$M21="y"),1,0)+IF(AND($C18=$C22,$M22="y"),1,0)+IF(AND($C18=$C23,$M23="y"),1,0)+IF(AND($C18=$C24,$M24="y"),1,0)+IF(AND($C18=$C25,$M25="y"),1,0)+IF(AND($C18=$C26,$M26="y"),1,0)</f>
        <v>0</v>
      </c>
      <c r="AA18" s="8" t="s">
        <v>127</v>
      </c>
      <c r="AB18" s="9" t="str">
        <f>IF(AND($H18="y",$C18&lt;&gt;$C17),B18&amp;" "&amp;AC18&amp;AD18&amp;AE18&amp;AF18&amp;AG18&amp;AH18&amp;AI18&amp;AJ18&amp;AK18,IF(H18="n",B18&amp;" "&amp;AC18&amp;AD18&amp;AE18&amp;AF18&amp;AG18&amp;AH18&amp;AI18&amp;AJ18&amp;AK18,""))</f>
        <v/>
      </c>
      <c r="AC18" s="8" t="str">
        <f t="shared" si="2"/>
        <v>get-role-policy</v>
      </c>
      <c r="AD18" s="8" t="str">
        <f>IF($I18&gt;=1," "&amp;$L18,"")</f>
        <v xml:space="preserve"> --role-name</v>
      </c>
      <c r="AE18" s="8" t="str">
        <f>IF($I18&gt;=2," "&amp;$L19,"")</f>
        <v xml:space="preserve"> --saml-provider-arn</v>
      </c>
      <c r="AF18" s="8" t="str">
        <f>IF($I18&gt;=3," "&amp;$L20,"")</f>
        <v/>
      </c>
      <c r="AG18" s="8" t="str">
        <f>IF($I18&gt;=4," "&amp;$L21,"")</f>
        <v/>
      </c>
      <c r="AH18" s="8" t="str">
        <f>IF($I18&gt;=5," "&amp;$L22,"")</f>
        <v/>
      </c>
      <c r="AI18" s="8" t="str">
        <f>IF($I18&gt;=6," "&amp;$L23,"")</f>
        <v/>
      </c>
      <c r="AJ18" s="8" t="str">
        <f>IF($I18&gt;=7," "&amp;$L24,"")</f>
        <v/>
      </c>
      <c r="AK18" s="8" t="str">
        <f>IF($I18&gt;=8," "&amp;$L25,"")</f>
        <v/>
      </c>
      <c r="AL18" s="8" t="str">
        <f>U18</f>
        <v>iam___role_policies</v>
      </c>
      <c r="AM18" s="8" t="str">
        <f>IF($I18&gt;=2,$U19,"")</f>
        <v>iam___saml_providers</v>
      </c>
      <c r="AN18" s="8" t="str">
        <f>IF($I18&gt;=3,$U20,"")</f>
        <v/>
      </c>
      <c r="AO18" s="8" t="str">
        <f>IF(I18&gt;=4,$U21,"")</f>
        <v/>
      </c>
      <c r="AP18" s="8" t="str">
        <f>IF($I18&gt;=5,$U22,"")</f>
        <v/>
      </c>
      <c r="AQ18" s="8" t="str">
        <f>IF($I18&gt;=6,$U23,"")</f>
        <v/>
      </c>
      <c r="AR18" s="8" t="str">
        <f>IF($I18&gt;=7,$U24,"")</f>
        <v/>
      </c>
      <c r="AS18" s="8" t="str">
        <f>IF(I18&gt;=8,$U25,"")</f>
        <v/>
      </c>
      <c r="AT18" s="8" t="str">
        <f>F18</f>
        <v>RoleName</v>
      </c>
      <c r="AU18" s="8" t="str">
        <f>IF($I18&gt;=2,$F19,"")</f>
        <v>Arn</v>
      </c>
      <c r="AV18" s="8" t="str">
        <f>IF($I18&gt;=3,$F20,"")</f>
        <v/>
      </c>
      <c r="AW18" s="8" t="str">
        <f>IF($I18&gt;=4,$F21,"")</f>
        <v/>
      </c>
      <c r="AX18" s="8" t="str">
        <f>IF($I18&gt;=5,$F22,"")</f>
        <v/>
      </c>
      <c r="AY18" s="8" t="str">
        <f>IF($I18&gt;=6,$F23,"")</f>
        <v/>
      </c>
      <c r="AZ18" s="8" t="str">
        <f>IF($I18&gt;=7,$F24,"")</f>
        <v/>
      </c>
      <c r="BA18" s="8" t="str">
        <f>IF($I18&gt;=8,$F25,"")</f>
        <v/>
      </c>
      <c r="BB18" s="9" t="str">
        <f>IF(OR(R18&lt;&gt;"y",I18&lt;&gt;1),"","SELECT aws_command::text || ' ' || command_parameter::text AS aws_command_string, parameter_source_table, parameter_source_key FROM (SELECT  "&amp;"'"&amp;AB18&amp;"'"&amp;" AS aws_command,"&amp;U18&amp;"."&amp;V18&amp;" -&gt;&gt; "&amp;"'"&amp;F18&amp;"'"&amp;" AS command_parameter, "&amp;"'"&amp;AL18&amp;"'"&amp;" AS parameter_source_table, "&amp;"'"&amp;AT18&amp;"'"&amp;" AS parameter_source_key FROM "&amp;U18&amp;") AS f")</f>
        <v/>
      </c>
      <c r="BC18" s="9" t="str">
        <f>IF(AND(H18="y",H17&lt;&gt;"y"),BE18&amp;BF18&amp;BG18&amp;BR18&amp;CC18,"")</f>
        <v/>
      </c>
      <c r="BD18" s="8" t="str">
        <f>"/* recursive command: "&amp;C18&amp;" */ DROP TABLE IF EXISTS "&amp;T18&amp;"; CREATE TABLE "&amp;T18&amp;"(  id SERIAL PRIMARY KEY, "&amp;F18&amp;" TEXT); SELECT "&amp;U18&amp;"."&amp;V18&amp;" -&gt;&gt; '"&amp;F18&amp;"' AS "&amp;V18&amp;" FROM "&amp;U18&amp;" ;"</f>
        <v>/* recursive command: get-role-policy */ DROP TABLE IF EXISTS iam___role_policy; CREATE TABLE iam___role_policy(  id SERIAL PRIMARY KEY, RoleName TEXT); SELECT iam___role_policies.role_policies -&gt;&gt; 'RoleName' AS role_policies FROM iam___role_policies ;</v>
      </c>
      <c r="BE18" s="8" t="str">
        <f t="shared" si="3"/>
        <v xml:space="preserve">/* recursive command multi: get-role-policy */ </v>
      </c>
      <c r="BF18" s="8" t="str">
        <f t="shared" si="4"/>
        <v xml:space="preserve">DROP TABLE IF EXISTS iam___role_policy; </v>
      </c>
      <c r="BG18" s="8" t="str">
        <f t="shared" si="5"/>
        <v>CREATE TABLE iam___role_policy(  id SERIAL PRIMARY KEY, rolename TEXT, arn TEXT );</v>
      </c>
      <c r="BH18" s="8" t="str">
        <f t="shared" si="6"/>
        <v xml:space="preserve">CREATE TABLE iam___role_policy(  id SERIAL PRIMARY KEY, </v>
      </c>
      <c r="BI18" s="8" t="str">
        <f>IF($I18&gt;=1,$W18&amp;" TEXT","")</f>
        <v>rolename TEXT</v>
      </c>
      <c r="BJ18" s="8" t="str">
        <f>IF($I18&gt;=2,", "&amp;$W19&amp;" TEXT","")</f>
        <v>, arn TEXT</v>
      </c>
      <c r="BK18" s="8" t="str">
        <f>IF($I18&gt;=3,", "&amp;$W20&amp;" TEXT","")</f>
        <v/>
      </c>
      <c r="BL18" s="8" t="str">
        <f>IF($I18&gt;=4,", "&amp;$W21&amp;" TEXT","")</f>
        <v/>
      </c>
      <c r="BM18" s="8" t="str">
        <f>IF($I18&gt;=5,", "&amp;$W22&amp;" TEXT","")</f>
        <v/>
      </c>
      <c r="BN18" s="8" t="str">
        <f>IF($I18&gt;=6,", "&amp;$W23&amp;" TEXT","")</f>
        <v/>
      </c>
      <c r="BO18" s="8" t="str">
        <f>IF($I18&gt;=7,", "&amp;$W24&amp;" TEXT","")</f>
        <v/>
      </c>
      <c r="BP18" s="8" t="str">
        <f>IF($I18&gt;=8,", "&amp;$W25&amp;" TEXT","")</f>
        <v/>
      </c>
      <c r="BQ18" s="8" t="str">
        <f t="shared" si="7"/>
        <v xml:space="preserve"> );</v>
      </c>
      <c r="BR18" s="9" t="str">
        <f t="shared" si="8"/>
        <v xml:space="preserve"> INSERT INTO iam___role_policy(rolename, arn)</v>
      </c>
      <c r="BS18" s="9" t="str">
        <f t="shared" si="9"/>
        <v xml:space="preserve"> INSERT INTO iam___role_policy(</v>
      </c>
      <c r="BT18" s="9" t="str">
        <f>IF($I18&gt;=1,$W18,"")</f>
        <v>rolename</v>
      </c>
      <c r="BU18" s="9" t="str">
        <f>IF($I18&gt;=2,", "&amp;$W19,"")</f>
        <v>, arn</v>
      </c>
      <c r="BV18" s="9" t="str">
        <f>IF($I18&gt;=3,", "&amp;$W20,"")</f>
        <v/>
      </c>
      <c r="BW18" s="9" t="str">
        <f>IF($I18&gt;=4,", "&amp;$W21,"")</f>
        <v/>
      </c>
      <c r="BX18" s="9" t="str">
        <f>IF($I18&gt;=5,", "&amp;$W22,"")</f>
        <v/>
      </c>
      <c r="BY18" s="9" t="str">
        <f>IF($I18&gt;=6,", "&amp;$W23,"")</f>
        <v/>
      </c>
      <c r="BZ18" s="9" t="str">
        <f>IF($I18&gt;=7,", "&amp;$W24,"")</f>
        <v/>
      </c>
      <c r="CA18" s="9" t="str">
        <f>IF($I18&gt;=8,", "&amp;$W25,"")</f>
        <v/>
      </c>
      <c r="CB18" s="9" t="str">
        <f t="shared" si="10"/>
        <v>)</v>
      </c>
      <c r="CC18" s="9" t="str">
        <f t="shared" si="0"/>
        <v xml:space="preserve"> SELECT iam___role_policies.role_policies -&gt;&gt; 'RoleName' AS role_policies_rolename, iam___saml_providers.saml_providers -&gt;&gt; 'Arn' AS saml_providers_arn FROM iam___role_policies INNER JOIN iam___role_policies USING (iam___role_policy.rolename, iam___role_policies.role_policies -&gt;&gt; 'RoleName') ;</v>
      </c>
      <c r="CD18" s="8" t="str">
        <f>" SELECT "&amp;$U18&amp;"."&amp;$V18&amp;" -&gt;&gt; '"&amp;$F18&amp;"' AS "&amp;$V18&amp;"_"&amp;LOWER(F18)</f>
        <v xml:space="preserve"> SELECT iam___role_policies.role_policies -&gt;&gt; 'RoleName' AS role_policies_rolename</v>
      </c>
      <c r="CE18" s="8" t="str">
        <f>IF($I18&gt;=2,", "&amp;$U19&amp;"."&amp;$V19&amp;" -&gt;&gt; '"&amp;$F19&amp;"' AS "&amp;$V19&amp;"_"&amp;LOWER(F19),"")</f>
        <v>, iam___saml_providers.saml_providers -&gt;&gt; 'Arn' AS saml_providers_arn</v>
      </c>
      <c r="CF18" s="8" t="str">
        <f>IF($I18&gt;=3,", "&amp;$U20&amp;"."&amp;$V20&amp;" -&gt;&gt; '"&amp;$F20&amp;"' AS "&amp;$V20&amp;"_"&amp;LOWER(F20),"")</f>
        <v/>
      </c>
      <c r="CG18" s="8" t="str">
        <f>IF($I18&gt;=4,", "&amp;$U21&amp;"."&amp;$V21&amp;" -&gt;&gt; '"&amp;$F21&amp;"' AS "&amp;$V21&amp;"_"&amp;LOWER(F21),"")</f>
        <v/>
      </c>
      <c r="CH18" s="8" t="str">
        <f>IF($I18&gt;=5,", "&amp;$U22&amp;"."&amp;$V22&amp;" -&gt;&gt; '"&amp;$F22&amp;"' AS "&amp;$V22&amp;"_"&amp;LOWER(F22),"")</f>
        <v/>
      </c>
      <c r="CI18" s="8" t="str">
        <f>IF($I18&gt;=6,", "&amp;$U23&amp;"."&amp;$V23&amp;" -&gt;&gt; '"&amp;$F23&amp;"' AS "&amp;$V23&amp;"_"&amp;LOWER(F23),"")</f>
        <v/>
      </c>
      <c r="CJ18" s="8" t="str">
        <f>IF($I18&gt;=7,", "&amp;$U24&amp;"."&amp;$V24&amp;" -&gt;&gt; '"&amp;$F24&amp;"' AS "&amp;$V24&amp;"_"&amp;LOWER(F24),"")</f>
        <v/>
      </c>
      <c r="CK18" s="8" t="str">
        <f>IF($I18&gt;=8,", "&amp;$U25&amp;"."&amp;$V25&amp;" -&gt;&gt; '"&amp;$F25&amp;"' AS "&amp;$V25&amp;"_"&amp;LOWER(F25),"")</f>
        <v/>
      </c>
      <c r="CL18" s="8" t="str">
        <f>IF($I18&gt;=1," FROM "&amp;$U18,"")</f>
        <v xml:space="preserve"> FROM iam___role_policies</v>
      </c>
      <c r="CM18" s="9" t="str">
        <f>IF($I18&gt;=2," "&amp;$AA18&amp;" JOIN "&amp;$U18&amp;" USING ("&amp;$T18&amp;"."&amp;$W18&amp;", "&amp;$U18&amp;"."&amp;$V18&amp;" -&gt;&gt; '"&amp;$F18&amp;"')","")</f>
        <v xml:space="preserve"> INNER JOIN iam___role_policies USING (iam___role_policy.rolename, iam___role_policies.role_policies -&gt;&gt; 'RoleName')</v>
      </c>
      <c r="CN18" s="9" t="str">
        <f>IF($I18&gt;=3," "&amp;$AA19&amp;" JOIN "&amp;$U19&amp;" USING ("&amp;$T19&amp;"."&amp;$W19&amp;", "&amp;$U19&amp;"."&amp;$V19&amp;" -&gt;&gt; '"&amp;$F19&amp;"')","")</f>
        <v/>
      </c>
      <c r="CO18" s="9" t="str">
        <f>IF($I18&gt;=4," "&amp;$AA20&amp;" JOIN "&amp;$U20&amp;" USING ("&amp;$T20&amp;"."&amp;$W20&amp;", "&amp;$U20&amp;"."&amp;$V20&amp;" -&gt;&gt; '"&amp;$F20&amp;"')","")</f>
        <v/>
      </c>
      <c r="CP18" s="9" t="str">
        <f>IF($I18&gt;=5," "&amp;$AA21&amp;" JOIN "&amp;$U21&amp;" USING ("&amp;$T21&amp;"."&amp;$W21&amp;", "&amp;$U21&amp;"."&amp;$V21&amp;" -&gt;&gt; '"&amp;$F21&amp;"')","")</f>
        <v/>
      </c>
      <c r="CQ18" s="9" t="str">
        <f>IF($I18&gt;=6," "&amp;$AA22&amp;" JOIN "&amp;$U22&amp;" USING ("&amp;$T22&amp;"."&amp;$W22&amp;", "&amp;$U22&amp;"."&amp;$V22&amp;" -&gt;&gt; '"&amp;$F22&amp;"')","")</f>
        <v/>
      </c>
      <c r="CR18" s="8" t="str">
        <f>IF($I18&gt;=7," "&amp;$AA23&amp;" JOIN "&amp;$U23&amp;" USING ("&amp;$T23&amp;"."&amp;$W23&amp;", "&amp;$U23&amp;"."&amp;$V23&amp;" -&gt;&gt; '"&amp;$F23&amp;"')","")</f>
        <v/>
      </c>
      <c r="CS18" s="8" t="str">
        <f>IF($I18&gt;=8," "&amp;$AA24&amp;" JOIN "&amp;$U24&amp;" USING ("&amp;$T24&amp;"."&amp;$W24&amp;", "&amp;$U24&amp;"."&amp;$V24&amp;" -&gt;&gt; '"&amp;$F24&amp;"')","")</f>
        <v/>
      </c>
      <c r="CT18" s="8" t="str">
        <f t="shared" si="11"/>
        <v xml:space="preserve"> ;</v>
      </c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</row>
    <row r="19" spans="1:202" x14ac:dyDescent="0.25">
      <c r="A19">
        <v>18</v>
      </c>
      <c r="B19" s="4" t="s">
        <v>0</v>
      </c>
      <c r="C19" s="4" t="s">
        <v>42</v>
      </c>
      <c r="D19" s="4" t="s">
        <v>0</v>
      </c>
      <c r="E19" s="4" t="s">
        <v>41</v>
      </c>
      <c r="F19" s="4" t="s">
        <v>28</v>
      </c>
      <c r="G19" s="7" t="s">
        <v>72</v>
      </c>
      <c r="H19" s="7" t="s">
        <v>72</v>
      </c>
      <c r="I19" s="7">
        <v>1</v>
      </c>
      <c r="J19" s="7" t="s">
        <v>72</v>
      </c>
      <c r="K19" s="7">
        <v>1</v>
      </c>
      <c r="L19" s="4" t="s">
        <v>43</v>
      </c>
      <c r="M19" s="7" t="s">
        <v>72</v>
      </c>
      <c r="N19" s="4"/>
      <c r="O19" s="7"/>
      <c r="P19" s="4"/>
      <c r="Q19" s="8" t="str">
        <f>VLOOKUP($C19,aws_cli_commands!$C$2:$E$10000,2,FALSE)</f>
        <v>n</v>
      </c>
      <c r="R19" s="8" t="str">
        <f>VLOOKUP($C19,aws_cli_commands!$C$2:$E$10000,3,FALSE)</f>
        <v>y</v>
      </c>
      <c r="S19" s="8" t="str">
        <f>IF(OR(C19=C18,C19=C20),"y","n")</f>
        <v>n</v>
      </c>
      <c r="T19" s="8" t="str">
        <f>B19&amp;"___"&amp;SUBSTITUTE(RIGHT(C19,LEN(C19)-FIND("-",C19)),"-","_")</f>
        <v>iam___saml_provider</v>
      </c>
      <c r="U19" s="8" t="str">
        <f>SUBSTITUTE(D19&amp;"___"&amp;RIGHT(E19,LEN(E19)-FIND("-",E19)),"-","_")</f>
        <v>iam___saml_providers</v>
      </c>
      <c r="V19" s="8" t="str">
        <f>SUBSTITUTE(RIGHT($E19,LEN($E19)-FIND("-",$E19)),"-","_")</f>
        <v>saml_providers</v>
      </c>
      <c r="W19" s="8" t="str">
        <f>IF(G19="y",V19&amp;"_"&amp;LOWER(F19),IF(M19="y","**hardcoded**",LOWER(F19)))</f>
        <v>arn</v>
      </c>
      <c r="X19" s="8" t="str">
        <f t="shared" si="1"/>
        <v>n</v>
      </c>
      <c r="Y19" s="8">
        <f>IF(AND($C19=$C19,$M19="y"),1,0)+IF(AND($C18=$C19,$M18="y"),1,0)+IF(AND($C17=$C19,$M17="y"),1,0)+IF(AND($C16=$C19,$M16="y"),1,0)+IF(AND($C15=$C19,$M15="y"),1,0)+IF(AND($C14=$C19,$M14="y"),1,0)+IF(AND($C13=$C19,$M13="y"),1,0)+IF(AND($C12=$C19,$M12="y"),1,0)+IF(AND($C11=$C19,$M11="y"),1,0)</f>
        <v>0</v>
      </c>
      <c r="Z19" s="8">
        <f>IF(AND($C19=$C19,$M19="y"),1,0)+IF(AND($C19=$C20,$M20="y"),1,0)+IF(AND($C19=$C21,$M21="y"),1,0)+IF(AND($C19=$C22,$M22="y"),1,0)+IF(AND($C19=$C23,$M23="y"),1,0)+IF(AND($C19=$C24,$M24="y"),1,0)+IF(AND($C19=$C25,$M25="y"),1,0)+IF(AND($C19=$C26,$M26="y"),1,0)+IF(AND($C19=$C27,$M27="y"),1,0)</f>
        <v>0</v>
      </c>
      <c r="AA19" s="8" t="s">
        <v>127</v>
      </c>
      <c r="AB19" s="9" t="str">
        <f>IF(AND($H19="y",$C19&lt;&gt;$C18),B19&amp;" "&amp;AC19&amp;AD19&amp;AE19&amp;AF19&amp;AG19&amp;AH19&amp;AI19&amp;AJ19&amp;AK19,IF(H19="n",B19&amp;" "&amp;AC19&amp;AD19&amp;AE19&amp;AF19&amp;AG19&amp;AH19&amp;AI19&amp;AJ19&amp;AK19,""))</f>
        <v>iam get-saml-provider --saml-provider-arn</v>
      </c>
      <c r="AC19" s="8" t="str">
        <f t="shared" si="2"/>
        <v>get-saml-provider</v>
      </c>
      <c r="AD19" s="8" t="str">
        <f>IF($I19&gt;=1," "&amp;$L19,"")</f>
        <v xml:space="preserve"> --saml-provider-arn</v>
      </c>
      <c r="AE19" s="8" t="str">
        <f>IF($I19&gt;=2," "&amp;$L20,"")</f>
        <v/>
      </c>
      <c r="AF19" s="8" t="str">
        <f>IF($I19&gt;=3," "&amp;$L21,"")</f>
        <v/>
      </c>
      <c r="AG19" s="8" t="str">
        <f>IF($I19&gt;=4," "&amp;$L22,"")</f>
        <v/>
      </c>
      <c r="AH19" s="8" t="str">
        <f>IF($I19&gt;=5," "&amp;$L23,"")</f>
        <v/>
      </c>
      <c r="AI19" s="8" t="str">
        <f>IF($I19&gt;=6," "&amp;$L24,"")</f>
        <v/>
      </c>
      <c r="AJ19" s="8" t="str">
        <f>IF($I19&gt;=7," "&amp;$L25,"")</f>
        <v/>
      </c>
      <c r="AK19" s="8" t="str">
        <f>IF($I19&gt;=8," "&amp;$L26,"")</f>
        <v/>
      </c>
      <c r="AL19" s="8" t="str">
        <f>U19</f>
        <v>iam___saml_providers</v>
      </c>
      <c r="AM19" s="8" t="str">
        <f>IF($I19&gt;=2,$U20,"")</f>
        <v/>
      </c>
      <c r="AN19" s="8" t="str">
        <f>IF($I19&gt;=3,$U21,"")</f>
        <v/>
      </c>
      <c r="AO19" s="8" t="str">
        <f>IF(I19&gt;=4,$U22,"")</f>
        <v/>
      </c>
      <c r="AP19" s="8" t="str">
        <f>IF($I19&gt;=5,$U23,"")</f>
        <v/>
      </c>
      <c r="AQ19" s="8" t="str">
        <f>IF($I19&gt;=6,$U24,"")</f>
        <v/>
      </c>
      <c r="AR19" s="8" t="str">
        <f>IF($I19&gt;=7,$U25,"")</f>
        <v/>
      </c>
      <c r="AS19" s="8" t="str">
        <f>IF(I19&gt;=8,$U26,"")</f>
        <v/>
      </c>
      <c r="AT19" s="8" t="str">
        <f>F19</f>
        <v>Arn</v>
      </c>
      <c r="AU19" s="8" t="str">
        <f>IF($I19&gt;=2,$F20,"")</f>
        <v/>
      </c>
      <c r="AV19" s="8" t="str">
        <f>IF($I19&gt;=3,$F21,"")</f>
        <v/>
      </c>
      <c r="AW19" s="8" t="str">
        <f>IF($I19&gt;=4,$F22,"")</f>
        <v/>
      </c>
      <c r="AX19" s="8" t="str">
        <f>IF($I19&gt;=5,$F23,"")</f>
        <v/>
      </c>
      <c r="AY19" s="8" t="str">
        <f>IF($I19&gt;=6,$F24,"")</f>
        <v/>
      </c>
      <c r="AZ19" s="8" t="str">
        <f>IF($I19&gt;=7,$F25,"")</f>
        <v/>
      </c>
      <c r="BA19" s="8" t="str">
        <f>IF($I19&gt;=8,$F26,"")</f>
        <v/>
      </c>
      <c r="BB19" s="9" t="str">
        <f>IF(OR(R19&lt;&gt;"y",I19&lt;&gt;1),"","SELECT aws_command::text || ' ' || command_parameter::text AS aws_command_string, parameter_source_table, parameter_source_key FROM (SELECT  "&amp;"'"&amp;AB19&amp;"'"&amp;" AS aws_command,"&amp;U19&amp;"."&amp;V19&amp;" -&gt;&gt; "&amp;"'"&amp;F19&amp;"'"&amp;" AS command_parameter, "&amp;"'"&amp;AL19&amp;"'"&amp;" AS parameter_source_table, "&amp;"'"&amp;AT19&amp;"'"&amp;" AS parameter_source_key FROM "&amp;U19&amp;") AS f")</f>
        <v>SELECT aws_command::text || ' ' || command_parameter::text AS aws_command_string, parameter_source_table, parameter_source_key FROM (SELECT  'iam get-saml-provider --saml-provider-arn' AS aws_command,iam___saml_providers.saml_providers -&gt;&gt; 'Arn' AS command_parameter, 'iam___saml_providers' AS parameter_source_table, 'Arn' AS parameter_source_key FROM iam___saml_providers) AS f</v>
      </c>
      <c r="BC19" s="9" t="str">
        <f>IF(AND(H19="y",H18&lt;&gt;"y"),BE19&amp;BF19&amp;BG19&amp;BR19&amp;CC19,"")</f>
        <v/>
      </c>
      <c r="BD19" s="8" t="str">
        <f>"/* recursive command: "&amp;C19&amp;" */ DROP TABLE IF EXISTS "&amp;T19&amp;"; CREATE TABLE "&amp;T19&amp;"(  id SERIAL PRIMARY KEY, "&amp;F19&amp;" TEXT); SELECT "&amp;U19&amp;"."&amp;V19&amp;" -&gt;&gt; '"&amp;F19&amp;"' AS "&amp;V19&amp;" FROM "&amp;U19&amp;" ;"</f>
        <v>/* recursive command: get-saml-provider */ DROP TABLE IF EXISTS iam___saml_provider; CREATE TABLE iam___saml_provider(  id SERIAL PRIMARY KEY, Arn TEXT); SELECT iam___saml_providers.saml_providers -&gt;&gt; 'Arn' AS saml_providers FROM iam___saml_providers ;</v>
      </c>
      <c r="BE19" s="8" t="str">
        <f t="shared" si="3"/>
        <v xml:space="preserve">/* recursive command multi: get-saml-provider */ </v>
      </c>
      <c r="BF19" s="8" t="str">
        <f t="shared" si="4"/>
        <v xml:space="preserve">DROP TABLE IF EXISTS iam___saml_provider; </v>
      </c>
      <c r="BG19" s="8" t="str">
        <f t="shared" si="5"/>
        <v>CREATE TABLE iam___saml_provider(  id SERIAL PRIMARY KEY, arn TEXT );</v>
      </c>
      <c r="BH19" s="8" t="str">
        <f t="shared" si="6"/>
        <v xml:space="preserve">CREATE TABLE iam___saml_provider(  id SERIAL PRIMARY KEY, </v>
      </c>
      <c r="BI19" s="8" t="str">
        <f>IF($I19&gt;=1,$W19&amp;" TEXT","")</f>
        <v>arn TEXT</v>
      </c>
      <c r="BJ19" s="8" t="str">
        <f>IF($I19&gt;=2,", "&amp;$W20&amp;" TEXT","")</f>
        <v/>
      </c>
      <c r="BK19" s="8" t="str">
        <f>IF($I19&gt;=3,", "&amp;$W21&amp;" TEXT","")</f>
        <v/>
      </c>
      <c r="BL19" s="8" t="str">
        <f>IF($I19&gt;=4,", "&amp;$W22&amp;" TEXT","")</f>
        <v/>
      </c>
      <c r="BM19" s="8" t="str">
        <f>IF($I19&gt;=5,", "&amp;$W23&amp;" TEXT","")</f>
        <v/>
      </c>
      <c r="BN19" s="8" t="str">
        <f>IF($I19&gt;=6,", "&amp;$W24&amp;" TEXT","")</f>
        <v/>
      </c>
      <c r="BO19" s="8" t="str">
        <f>IF($I19&gt;=7,", "&amp;$W25&amp;" TEXT","")</f>
        <v/>
      </c>
      <c r="BP19" s="8" t="str">
        <f>IF($I19&gt;=8,", "&amp;$W26&amp;" TEXT","")</f>
        <v/>
      </c>
      <c r="BQ19" s="8" t="str">
        <f t="shared" si="7"/>
        <v xml:space="preserve"> );</v>
      </c>
      <c r="BR19" s="9" t="str">
        <f t="shared" si="8"/>
        <v xml:space="preserve"> INSERT INTO iam___saml_provider(arn)</v>
      </c>
      <c r="BS19" s="9" t="str">
        <f t="shared" si="9"/>
        <v xml:space="preserve"> INSERT INTO iam___saml_provider(</v>
      </c>
      <c r="BT19" s="9" t="str">
        <f>IF($I19&gt;=1,$W19,"")</f>
        <v>arn</v>
      </c>
      <c r="BU19" s="9" t="str">
        <f>IF($I19&gt;=2,", "&amp;$W20,"")</f>
        <v/>
      </c>
      <c r="BV19" s="9" t="str">
        <f>IF($I19&gt;=3,", "&amp;$W21,"")</f>
        <v/>
      </c>
      <c r="BW19" s="9" t="str">
        <f>IF($I19&gt;=4,", "&amp;$W22,"")</f>
        <v/>
      </c>
      <c r="BX19" s="9" t="str">
        <f>IF($I19&gt;=5,", "&amp;$W23,"")</f>
        <v/>
      </c>
      <c r="BY19" s="9" t="str">
        <f>IF($I19&gt;=6,", "&amp;$W24,"")</f>
        <v/>
      </c>
      <c r="BZ19" s="9" t="str">
        <f>IF($I19&gt;=7,", "&amp;$W25,"")</f>
        <v/>
      </c>
      <c r="CA19" s="9" t="str">
        <f>IF($I19&gt;=8,", "&amp;$W26,"")</f>
        <v/>
      </c>
      <c r="CB19" s="9" t="str">
        <f t="shared" si="10"/>
        <v>)</v>
      </c>
      <c r="CC19" s="9" t="str">
        <f t="shared" si="0"/>
        <v xml:space="preserve"> SELECT iam___saml_providers.saml_providers -&gt;&gt; 'Arn' AS saml_providers_arn FROM iam___saml_providers ;</v>
      </c>
      <c r="CD19" s="8" t="str">
        <f>" SELECT "&amp;$U19&amp;"."&amp;$V19&amp;" -&gt;&gt; '"&amp;$F19&amp;"' AS "&amp;$V19&amp;"_"&amp;LOWER(F19)</f>
        <v xml:space="preserve"> SELECT iam___saml_providers.saml_providers -&gt;&gt; 'Arn' AS saml_providers_arn</v>
      </c>
      <c r="CE19" s="8" t="str">
        <f>IF($I19&gt;=2,", "&amp;$U20&amp;"."&amp;$V20&amp;" -&gt;&gt; '"&amp;$F20&amp;"' AS "&amp;$V20&amp;"_"&amp;LOWER(F20),"")</f>
        <v/>
      </c>
      <c r="CF19" s="8" t="str">
        <f>IF($I19&gt;=3,", "&amp;$U21&amp;"."&amp;$V21&amp;" -&gt;&gt; '"&amp;$F21&amp;"' AS "&amp;$V21&amp;"_"&amp;LOWER(F21),"")</f>
        <v/>
      </c>
      <c r="CG19" s="8" t="str">
        <f>IF($I19&gt;=4,", "&amp;$U22&amp;"."&amp;$V22&amp;" -&gt;&gt; '"&amp;$F22&amp;"' AS "&amp;$V22&amp;"_"&amp;LOWER(F22),"")</f>
        <v/>
      </c>
      <c r="CH19" s="8" t="str">
        <f>IF($I19&gt;=5,", "&amp;$U23&amp;"."&amp;$V23&amp;" -&gt;&gt; '"&amp;$F23&amp;"' AS "&amp;$V23&amp;"_"&amp;LOWER(F23),"")</f>
        <v/>
      </c>
      <c r="CI19" s="8" t="str">
        <f>IF($I19&gt;=6,", "&amp;$U24&amp;"."&amp;$V24&amp;" -&gt;&gt; '"&amp;$F24&amp;"' AS "&amp;$V24&amp;"_"&amp;LOWER(F24),"")</f>
        <v/>
      </c>
      <c r="CJ19" s="8" t="str">
        <f>IF($I19&gt;=7,", "&amp;$U25&amp;"."&amp;$V25&amp;" -&gt;&gt; '"&amp;$F25&amp;"' AS "&amp;$V25&amp;"_"&amp;LOWER(F25),"")</f>
        <v/>
      </c>
      <c r="CK19" s="8" t="str">
        <f>IF($I19&gt;=8,", "&amp;$U26&amp;"."&amp;$V26&amp;" -&gt;&gt; '"&amp;$F26&amp;"' AS "&amp;$V26&amp;"_"&amp;LOWER(F26),"")</f>
        <v/>
      </c>
      <c r="CL19" s="8" t="str">
        <f>IF($I19&gt;=1," FROM "&amp;$U19,"")</f>
        <v xml:space="preserve"> FROM iam___saml_providers</v>
      </c>
      <c r="CM19" s="9" t="str">
        <f>IF($I19&gt;=2," "&amp;$AA19&amp;" JOIN "&amp;$U19&amp;" USING ("&amp;$T19&amp;"."&amp;$W19&amp;", "&amp;$U19&amp;"."&amp;$V19&amp;" -&gt;&gt; '"&amp;$F19&amp;"')","")</f>
        <v/>
      </c>
      <c r="CN19" s="9" t="str">
        <f>IF($I19&gt;=3," "&amp;$AA20&amp;" JOIN "&amp;$U20&amp;" USING ("&amp;$T20&amp;"."&amp;$W20&amp;", "&amp;$U20&amp;"."&amp;$V20&amp;" -&gt;&gt; '"&amp;$F20&amp;"')","")</f>
        <v/>
      </c>
      <c r="CO19" s="9" t="str">
        <f>IF($I19&gt;=4," "&amp;$AA21&amp;" JOIN "&amp;$U21&amp;" USING ("&amp;$T21&amp;"."&amp;$W21&amp;", "&amp;$U21&amp;"."&amp;$V21&amp;" -&gt;&gt; '"&amp;$F21&amp;"')","")</f>
        <v/>
      </c>
      <c r="CP19" s="9" t="str">
        <f>IF($I19&gt;=5," "&amp;$AA22&amp;" JOIN "&amp;$U22&amp;" USING ("&amp;$T22&amp;"."&amp;$W22&amp;", "&amp;$U22&amp;"."&amp;$V22&amp;" -&gt;&gt; '"&amp;$F22&amp;"')","")</f>
        <v/>
      </c>
      <c r="CQ19" s="9" t="str">
        <f>IF($I19&gt;=6," "&amp;$AA23&amp;" JOIN "&amp;$U23&amp;" USING ("&amp;$T23&amp;"."&amp;$W23&amp;", "&amp;$U23&amp;"."&amp;$V23&amp;" -&gt;&gt; '"&amp;$F23&amp;"')","")</f>
        <v/>
      </c>
      <c r="CR19" s="8" t="str">
        <f>IF($I19&gt;=7," "&amp;$AA24&amp;" JOIN "&amp;$U24&amp;" USING ("&amp;$T24&amp;"."&amp;$W24&amp;", "&amp;$U24&amp;"."&amp;$V24&amp;" -&gt;&gt; '"&amp;$F24&amp;"')","")</f>
        <v/>
      </c>
      <c r="CS19" s="8" t="str">
        <f>IF($I19&gt;=8," "&amp;$AA25&amp;" JOIN "&amp;$U25&amp;" USING ("&amp;$T25&amp;"."&amp;$W25&amp;", "&amp;$U25&amp;"."&amp;$V25&amp;" -&gt;&gt; '"&amp;$F25&amp;"')","")</f>
        <v/>
      </c>
      <c r="CT19" s="8" t="str">
        <f t="shared" si="11"/>
        <v xml:space="preserve"> ;</v>
      </c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</row>
    <row r="20" spans="1:202" x14ac:dyDescent="0.25">
      <c r="A20">
        <v>19</v>
      </c>
      <c r="B20" s="4" t="s">
        <v>0</v>
      </c>
      <c r="C20" s="4" t="s">
        <v>45</v>
      </c>
      <c r="D20" s="4" t="s">
        <v>0</v>
      </c>
      <c r="E20" s="4" t="s">
        <v>44</v>
      </c>
      <c r="F20" s="4" t="s">
        <v>47</v>
      </c>
      <c r="G20" s="7" t="s">
        <v>72</v>
      </c>
      <c r="H20" s="7" t="s">
        <v>72</v>
      </c>
      <c r="I20" s="7">
        <v>1</v>
      </c>
      <c r="J20" s="7" t="s">
        <v>72</v>
      </c>
      <c r="K20" s="7">
        <v>1</v>
      </c>
      <c r="L20" s="4" t="s">
        <v>46</v>
      </c>
      <c r="M20" s="7" t="s">
        <v>72</v>
      </c>
      <c r="N20" s="4"/>
      <c r="O20" s="7"/>
      <c r="P20" s="4"/>
      <c r="Q20" s="8" t="str">
        <f>VLOOKUP($C20,aws_cli_commands!$C$2:$E$10000,2,FALSE)</f>
        <v>n</v>
      </c>
      <c r="R20" s="8" t="str">
        <f>VLOOKUP($C20,aws_cli_commands!$C$2:$E$10000,3,FALSE)</f>
        <v>y</v>
      </c>
      <c r="S20" s="8" t="str">
        <f>IF(OR(C20=C19,C20=C21),"y","n")</f>
        <v>n</v>
      </c>
      <c r="T20" s="8" t="str">
        <f>B20&amp;"___"&amp;SUBSTITUTE(RIGHT(C20,LEN(C20)-FIND("-",C20)),"-","_")</f>
        <v>iam___server_certificate</v>
      </c>
      <c r="U20" s="8" t="str">
        <f>SUBSTITUTE(D20&amp;"___"&amp;RIGHT(E20,LEN(E20)-FIND("-",E20)),"-","_")</f>
        <v>iam___server_certificates</v>
      </c>
      <c r="V20" s="8" t="str">
        <f>SUBSTITUTE(RIGHT($E20,LEN($E20)-FIND("-",$E20)),"-","_")</f>
        <v>server_certificates</v>
      </c>
      <c r="W20" s="8" t="str">
        <f>IF(G20="y",V20&amp;"_"&amp;LOWER(F20),IF(M20="y","**hardcoded**",LOWER(F20)))</f>
        <v>servercertificatename</v>
      </c>
      <c r="X20" s="8" t="str">
        <f t="shared" si="1"/>
        <v>n</v>
      </c>
      <c r="Y20" s="8">
        <f>IF(AND($C20=$C20,$M20="y"),1,0)+IF(AND($C19=$C20,$M19="y"),1,0)+IF(AND($C18=$C20,$M18="y"),1,0)+IF(AND($C17=$C20,$M17="y"),1,0)+IF(AND($C16=$C20,$M16="y"),1,0)+IF(AND($C15=$C20,$M15="y"),1,0)+IF(AND($C14=$C20,$M14="y"),1,0)+IF(AND($C13=$C20,$M13="y"),1,0)+IF(AND($C12=$C20,$M12="y"),1,0)</f>
        <v>0</v>
      </c>
      <c r="Z20" s="8">
        <f>IF(AND($C20=$C20,$M20="y"),1,0)+IF(AND($C20=$C21,$M21="y"),1,0)+IF(AND($C20=$C22,$M22="y"),1,0)+IF(AND($C20=$C23,$M23="y"),1,0)+IF(AND($C20=$C24,$M24="y"),1,0)+IF(AND($C20=$C25,$M25="y"),1,0)+IF(AND($C20=$C26,$M26="y"),1,0)+IF(AND($C20=$C27,$M27="y"),1,0)+IF(AND($C20=$C28,$M28="y"),1,0)</f>
        <v>0</v>
      </c>
      <c r="AA20" s="8" t="s">
        <v>127</v>
      </c>
      <c r="AB20" s="9" t="str">
        <f>IF(AND($H20="y",$C20&lt;&gt;$C19),B20&amp;" "&amp;AC20&amp;AD20&amp;AE20&amp;AF20&amp;AG20&amp;AH20&amp;AI20&amp;AJ20&amp;AK20,IF(H20="n",B20&amp;" "&amp;AC20&amp;AD20&amp;AE20&amp;AF20&amp;AG20&amp;AH20&amp;AI20&amp;AJ20&amp;AK20,""))</f>
        <v>iam get-server-certificate --server-certificate-name</v>
      </c>
      <c r="AC20" s="8" t="str">
        <f t="shared" si="2"/>
        <v>get-server-certificate</v>
      </c>
      <c r="AD20" s="8" t="str">
        <f>IF($I20&gt;=1," "&amp;$L20,"")</f>
        <v xml:space="preserve"> --server-certificate-name</v>
      </c>
      <c r="AE20" s="8" t="str">
        <f>IF($I20&gt;=2," "&amp;$L21,"")</f>
        <v/>
      </c>
      <c r="AF20" s="8" t="str">
        <f>IF($I20&gt;=3," "&amp;$L22,"")</f>
        <v/>
      </c>
      <c r="AG20" s="8" t="str">
        <f>IF($I20&gt;=4," "&amp;$L23,"")</f>
        <v/>
      </c>
      <c r="AH20" s="8" t="str">
        <f>IF($I20&gt;=5," "&amp;$L24,"")</f>
        <v/>
      </c>
      <c r="AI20" s="8" t="str">
        <f>IF($I20&gt;=6," "&amp;$L25,"")</f>
        <v/>
      </c>
      <c r="AJ20" s="8" t="str">
        <f>IF($I20&gt;=7," "&amp;$L26,"")</f>
        <v/>
      </c>
      <c r="AK20" s="8" t="str">
        <f>IF($I20&gt;=8," "&amp;$L27,"")</f>
        <v/>
      </c>
      <c r="AL20" s="8" t="str">
        <f>U20</f>
        <v>iam___server_certificates</v>
      </c>
      <c r="AM20" s="8" t="str">
        <f>IF($I20&gt;=2,$U21,"")</f>
        <v/>
      </c>
      <c r="AN20" s="8" t="str">
        <f>IF($I20&gt;=3,$U22,"")</f>
        <v/>
      </c>
      <c r="AO20" s="8" t="str">
        <f>IF(I20&gt;=4,$U23,"")</f>
        <v/>
      </c>
      <c r="AP20" s="8" t="str">
        <f>IF($I20&gt;=5,$U24,"")</f>
        <v/>
      </c>
      <c r="AQ20" s="8" t="str">
        <f>IF($I20&gt;=6,$U25,"")</f>
        <v/>
      </c>
      <c r="AR20" s="8" t="str">
        <f>IF($I20&gt;=7,$U26,"")</f>
        <v/>
      </c>
      <c r="AS20" s="8" t="str">
        <f>IF(I20&gt;=8,$U27,"")</f>
        <v/>
      </c>
      <c r="AT20" s="8" t="str">
        <f>F20</f>
        <v>ServerCertificateName</v>
      </c>
      <c r="AU20" s="8" t="str">
        <f>IF($I20&gt;=2,$F21,"")</f>
        <v/>
      </c>
      <c r="AV20" s="8" t="str">
        <f>IF($I20&gt;=3,$F22,"")</f>
        <v/>
      </c>
      <c r="AW20" s="8" t="str">
        <f>IF($I20&gt;=4,$F23,"")</f>
        <v/>
      </c>
      <c r="AX20" s="8" t="str">
        <f>IF($I20&gt;=5,$F24,"")</f>
        <v/>
      </c>
      <c r="AY20" s="8" t="str">
        <f>IF($I20&gt;=6,$F25,"")</f>
        <v/>
      </c>
      <c r="AZ20" s="8" t="str">
        <f>IF($I20&gt;=7,$F26,"")</f>
        <v/>
      </c>
      <c r="BA20" s="8" t="str">
        <f>IF($I20&gt;=8,$F27,"")</f>
        <v/>
      </c>
      <c r="BB20" s="9" t="str">
        <f>IF(OR(R20&lt;&gt;"y",I20&lt;&gt;1),"","SELECT aws_command::text || ' ' || command_parameter::text AS aws_command_string, parameter_source_table, parameter_source_key FROM (SELECT  "&amp;"'"&amp;AB20&amp;"'"&amp;" AS aws_command,"&amp;U20&amp;"."&amp;V20&amp;" -&gt;&gt; "&amp;"'"&amp;F20&amp;"'"&amp;" AS command_parameter, "&amp;"'"&amp;AL20&amp;"'"&amp;" AS parameter_source_table, "&amp;"'"&amp;AT20&amp;"'"&amp;" AS parameter_source_key FROM "&amp;U20&amp;") AS f")</f>
        <v>SELECT aws_command::text || ' ' || command_parameter::text AS aws_command_string, parameter_source_table, parameter_source_key FROM (SELECT  'iam get-server-certificate --server-certificate-name' AS aws_command,iam___server_certificates.server_certificates -&gt;&gt; 'ServerCertificateName' AS command_parameter, 'iam___server_certificates' AS parameter_source_table, 'ServerCertificateName' AS parameter_source_key FROM iam___server_certificates) AS f</v>
      </c>
      <c r="BC20" s="9" t="str">
        <f>IF(AND(H20="y",H19&lt;&gt;"y"),BE20&amp;BF20&amp;BG20&amp;BR20&amp;CC20,"")</f>
        <v/>
      </c>
      <c r="BD20" s="8" t="str">
        <f>"/* recursive command: "&amp;C20&amp;" */ DROP TABLE IF EXISTS "&amp;T20&amp;"; CREATE TABLE "&amp;T20&amp;"(  id SERIAL PRIMARY KEY, "&amp;F20&amp;" TEXT); SELECT "&amp;U20&amp;"."&amp;V20&amp;" -&gt;&gt; '"&amp;F20&amp;"' AS "&amp;V20&amp;" FROM "&amp;U20&amp;" ;"</f>
        <v>/* recursive command: get-server-certificate */ DROP TABLE IF EXISTS iam___server_certificate; CREATE TABLE iam___server_certificate(  id SERIAL PRIMARY KEY, ServerCertificateName TEXT); SELECT iam___server_certificates.server_certificates -&gt;&gt; 'ServerCertificateName' AS server_certificates FROM iam___server_certificates ;</v>
      </c>
      <c r="BE20" s="8" t="str">
        <f t="shared" si="3"/>
        <v xml:space="preserve">/* recursive command multi: get-server-certificate */ </v>
      </c>
      <c r="BF20" s="8" t="str">
        <f t="shared" si="4"/>
        <v xml:space="preserve">DROP TABLE IF EXISTS iam___server_certificate; </v>
      </c>
      <c r="BG20" s="8" t="str">
        <f t="shared" si="5"/>
        <v>CREATE TABLE iam___server_certificate(  id SERIAL PRIMARY KEY, servercertificatename TEXT );</v>
      </c>
      <c r="BH20" s="8" t="str">
        <f t="shared" si="6"/>
        <v xml:space="preserve">CREATE TABLE iam___server_certificate(  id SERIAL PRIMARY KEY, </v>
      </c>
      <c r="BI20" s="8" t="str">
        <f>IF($I20&gt;=1,$W20&amp;" TEXT","")</f>
        <v>servercertificatename TEXT</v>
      </c>
      <c r="BJ20" s="8" t="str">
        <f>IF($I20&gt;=2,", "&amp;$W21&amp;" TEXT","")</f>
        <v/>
      </c>
      <c r="BK20" s="8" t="str">
        <f>IF($I20&gt;=3,", "&amp;$W22&amp;" TEXT","")</f>
        <v/>
      </c>
      <c r="BL20" s="8" t="str">
        <f>IF($I20&gt;=4,", "&amp;$W23&amp;" TEXT","")</f>
        <v/>
      </c>
      <c r="BM20" s="8" t="str">
        <f>IF($I20&gt;=5,", "&amp;$W24&amp;" TEXT","")</f>
        <v/>
      </c>
      <c r="BN20" s="8" t="str">
        <f>IF($I20&gt;=6,", "&amp;$W25&amp;" TEXT","")</f>
        <v/>
      </c>
      <c r="BO20" s="8" t="str">
        <f>IF($I20&gt;=7,", "&amp;$W26&amp;" TEXT","")</f>
        <v/>
      </c>
      <c r="BP20" s="8" t="str">
        <f>IF($I20&gt;=8,", "&amp;$W27&amp;" TEXT","")</f>
        <v/>
      </c>
      <c r="BQ20" s="8" t="str">
        <f t="shared" si="7"/>
        <v xml:space="preserve"> );</v>
      </c>
      <c r="BR20" s="9" t="str">
        <f t="shared" si="8"/>
        <v xml:space="preserve"> INSERT INTO iam___server_certificate(servercertificatename)</v>
      </c>
      <c r="BS20" s="9" t="str">
        <f t="shared" si="9"/>
        <v xml:space="preserve"> INSERT INTO iam___server_certificate(</v>
      </c>
      <c r="BT20" s="9" t="str">
        <f>IF($I20&gt;=1,$W20,"")</f>
        <v>servercertificatename</v>
      </c>
      <c r="BU20" s="9" t="str">
        <f>IF($I20&gt;=2,", "&amp;$W21,"")</f>
        <v/>
      </c>
      <c r="BV20" s="9" t="str">
        <f>IF($I20&gt;=3,", "&amp;$W22,"")</f>
        <v/>
      </c>
      <c r="BW20" s="9" t="str">
        <f>IF($I20&gt;=4,", "&amp;$W23,"")</f>
        <v/>
      </c>
      <c r="BX20" s="9" t="str">
        <f>IF($I20&gt;=5,", "&amp;$W24,"")</f>
        <v/>
      </c>
      <c r="BY20" s="9" t="str">
        <f>IF($I20&gt;=6,", "&amp;$W25,"")</f>
        <v/>
      </c>
      <c r="BZ20" s="9" t="str">
        <f>IF($I20&gt;=7,", "&amp;$W26,"")</f>
        <v/>
      </c>
      <c r="CA20" s="9" t="str">
        <f>IF($I20&gt;=8,", "&amp;$W27,"")</f>
        <v/>
      </c>
      <c r="CB20" s="9" t="str">
        <f t="shared" si="10"/>
        <v>)</v>
      </c>
      <c r="CC20" s="9" t="str">
        <f t="shared" si="0"/>
        <v xml:space="preserve"> SELECT iam___server_certificates.server_certificates -&gt;&gt; 'ServerCertificateName' AS server_certificates_servercertificatename FROM iam___server_certificates ;</v>
      </c>
      <c r="CD20" s="8" t="str">
        <f>" SELECT "&amp;$U20&amp;"."&amp;$V20&amp;" -&gt;&gt; '"&amp;$F20&amp;"' AS "&amp;$V20&amp;"_"&amp;LOWER(F20)</f>
        <v xml:space="preserve"> SELECT iam___server_certificates.server_certificates -&gt;&gt; 'ServerCertificateName' AS server_certificates_servercertificatename</v>
      </c>
      <c r="CE20" s="8" t="str">
        <f>IF($I20&gt;=2,", "&amp;$U21&amp;"."&amp;$V21&amp;" -&gt;&gt; '"&amp;$F21&amp;"' AS "&amp;$V21&amp;"_"&amp;LOWER(F21),"")</f>
        <v/>
      </c>
      <c r="CF20" s="8" t="str">
        <f>IF($I20&gt;=3,", "&amp;$U22&amp;"."&amp;$V22&amp;" -&gt;&gt; '"&amp;$F22&amp;"' AS "&amp;$V22&amp;"_"&amp;LOWER(F22),"")</f>
        <v/>
      </c>
      <c r="CG20" s="8" t="str">
        <f>IF($I20&gt;=4,", "&amp;$U23&amp;"."&amp;$V23&amp;" -&gt;&gt; '"&amp;$F23&amp;"' AS "&amp;$V23&amp;"_"&amp;LOWER(F23),"")</f>
        <v/>
      </c>
      <c r="CH20" s="8" t="str">
        <f>IF($I20&gt;=5,", "&amp;$U24&amp;"."&amp;$V24&amp;" -&gt;&gt; '"&amp;$F24&amp;"' AS "&amp;$V24&amp;"_"&amp;LOWER(F24),"")</f>
        <v/>
      </c>
      <c r="CI20" s="8" t="str">
        <f>IF($I20&gt;=6,", "&amp;$U25&amp;"."&amp;$V25&amp;" -&gt;&gt; '"&amp;$F25&amp;"' AS "&amp;$V25&amp;"_"&amp;LOWER(F25),"")</f>
        <v/>
      </c>
      <c r="CJ20" s="8" t="str">
        <f>IF($I20&gt;=7,", "&amp;$U26&amp;"."&amp;$V26&amp;" -&gt;&gt; '"&amp;$F26&amp;"' AS "&amp;$V26&amp;"_"&amp;LOWER(F26),"")</f>
        <v/>
      </c>
      <c r="CK20" s="8" t="str">
        <f>IF($I20&gt;=8,", "&amp;$U27&amp;"."&amp;$V27&amp;" -&gt;&gt; '"&amp;$F27&amp;"' AS "&amp;$V27&amp;"_"&amp;LOWER(F27),"")</f>
        <v/>
      </c>
      <c r="CL20" s="8" t="str">
        <f>IF($I20&gt;=1," FROM "&amp;$U20,"")</f>
        <v xml:space="preserve"> FROM iam___server_certificates</v>
      </c>
      <c r="CM20" s="9" t="str">
        <f>IF($I20&gt;=2," "&amp;$AA20&amp;" JOIN "&amp;$U20&amp;" USING ("&amp;$T20&amp;"."&amp;$W20&amp;", "&amp;$U20&amp;"."&amp;$V20&amp;" -&gt;&gt; '"&amp;$F20&amp;"')","")</f>
        <v/>
      </c>
      <c r="CN20" s="9" t="str">
        <f>IF($I20&gt;=3," "&amp;$AA21&amp;" JOIN "&amp;$U21&amp;" USING ("&amp;$T21&amp;"."&amp;$W21&amp;", "&amp;$U21&amp;"."&amp;$V21&amp;" -&gt;&gt; '"&amp;$F21&amp;"')","")</f>
        <v/>
      </c>
      <c r="CO20" s="9" t="str">
        <f>IF($I20&gt;=4," "&amp;$AA22&amp;" JOIN "&amp;$U22&amp;" USING ("&amp;$T22&amp;"."&amp;$W22&amp;", "&amp;$U22&amp;"."&amp;$V22&amp;" -&gt;&gt; '"&amp;$F22&amp;"')","")</f>
        <v/>
      </c>
      <c r="CP20" s="9" t="str">
        <f>IF($I20&gt;=5," "&amp;$AA23&amp;" JOIN "&amp;$U23&amp;" USING ("&amp;$T23&amp;"."&amp;$W23&amp;", "&amp;$U23&amp;"."&amp;$V23&amp;" -&gt;&gt; '"&amp;$F23&amp;"')","")</f>
        <v/>
      </c>
      <c r="CQ20" s="9" t="str">
        <f>IF($I20&gt;=6," "&amp;$AA24&amp;" JOIN "&amp;$U24&amp;" USING ("&amp;$T24&amp;"."&amp;$W24&amp;", "&amp;$U24&amp;"."&amp;$V24&amp;" -&gt;&gt; '"&amp;$F24&amp;"')","")</f>
        <v/>
      </c>
      <c r="CR20" s="8" t="str">
        <f>IF($I20&gt;=7," "&amp;$AA25&amp;" JOIN "&amp;$U25&amp;" USING ("&amp;$T25&amp;"."&amp;$W25&amp;", "&amp;$U25&amp;"."&amp;$V25&amp;" -&gt;&gt; '"&amp;$F25&amp;"')","")</f>
        <v/>
      </c>
      <c r="CS20" s="8" t="str">
        <f>IF($I20&gt;=8," "&amp;$AA26&amp;" JOIN "&amp;$U26&amp;" USING ("&amp;$T26&amp;"."&amp;$W26&amp;", "&amp;$U26&amp;"."&amp;$V26&amp;" -&gt;&gt; '"&amp;$F26&amp;"')","")</f>
        <v/>
      </c>
      <c r="CT20" s="8" t="str">
        <f t="shared" si="11"/>
        <v xml:space="preserve"> ;</v>
      </c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</row>
    <row r="21" spans="1:202" x14ac:dyDescent="0.25">
      <c r="A21">
        <v>20</v>
      </c>
      <c r="B21" s="4" t="s">
        <v>0</v>
      </c>
      <c r="C21" s="4" t="s">
        <v>63</v>
      </c>
      <c r="D21" s="4" t="s">
        <v>0</v>
      </c>
      <c r="E21" s="4" t="s">
        <v>77</v>
      </c>
      <c r="F21" s="4" t="s">
        <v>130</v>
      </c>
      <c r="G21" s="7" t="s">
        <v>72</v>
      </c>
      <c r="H21" s="7" t="s">
        <v>72</v>
      </c>
      <c r="I21" s="7">
        <v>1</v>
      </c>
      <c r="J21" s="7" t="s">
        <v>72</v>
      </c>
      <c r="K21" s="7">
        <v>1</v>
      </c>
      <c r="L21" s="4" t="s">
        <v>64</v>
      </c>
      <c r="M21" s="7" t="s">
        <v>72</v>
      </c>
      <c r="N21" s="4"/>
      <c r="O21" s="7"/>
      <c r="P21" s="4"/>
      <c r="Q21" s="8" t="str">
        <f>VLOOKUP($C21,aws_cli_commands!$C$2:$E$10000,2,FALSE)</f>
        <v>n</v>
      </c>
      <c r="R21" s="8" t="str">
        <f>VLOOKUP($C21,aws_cli_commands!$C$2:$E$10000,3,FALSE)</f>
        <v>y</v>
      </c>
      <c r="S21" s="8" t="str">
        <f>IF(OR(C21=C20,C21=C22),"y","n")</f>
        <v>n</v>
      </c>
      <c r="T21" s="8" t="str">
        <f>B21&amp;"___"&amp;SUBSTITUTE(RIGHT(C21,LEN(C21)-FIND("-",C21)),"-","_")</f>
        <v>iam___service_linked_role_deletion_status</v>
      </c>
      <c r="U21" s="8" t="str">
        <f>SUBSTITUTE(D21&amp;"___"&amp;RIGHT(E21,LEN(E21)-FIND("-",E21)),"-","_")</f>
        <v>iam___service_linked_role</v>
      </c>
      <c r="V21" s="8" t="str">
        <f>SUBSTITUTE(RIGHT($E21,LEN($E21)-FIND("-",$E21)),"-","_")</f>
        <v>service_linked_role</v>
      </c>
      <c r="W21" s="8" t="str">
        <f>IF(G21="y",V21&amp;"_"&amp;LOWER(F21),IF(M21="y","**hardcoded**",LOWER(F21)))</f>
        <v>*unknown*</v>
      </c>
      <c r="X21" s="8" t="str">
        <f t="shared" si="1"/>
        <v>n</v>
      </c>
      <c r="Y21" s="8">
        <f>IF(AND($C21=$C21,$M21="y"),1,0)+IF(AND($C20=$C21,$M20="y"),1,0)+IF(AND($C19=$C21,$M19="y"),1,0)+IF(AND($C18=$C21,$M18="y"),1,0)+IF(AND($C17=$C21,$M17="y"),1,0)+IF(AND($C16=$C21,$M16="y"),1,0)+IF(AND($C15=$C21,$M15="y"),1,0)+IF(AND($C14=$C21,$M14="y"),1,0)+IF(AND($C13=$C21,$M13="y"),1,0)</f>
        <v>0</v>
      </c>
      <c r="Z21" s="8">
        <f>IF(AND($C21=$C21,$M21="y"),1,0)+IF(AND($C21=$C22,$M22="y"),1,0)+IF(AND($C21=$C23,$M23="y"),1,0)+IF(AND($C21=$C24,$M24="y"),1,0)+IF(AND($C21=$C25,$M25="y"),1,0)+IF(AND($C21=$C26,$M26="y"),1,0)+IF(AND($C21=$C27,$M27="y"),1,0)+IF(AND($C21=$C28,$M28="y"),1,0)+IF(AND($C21=$C29,$M29="y"),1,0)</f>
        <v>0</v>
      </c>
      <c r="AA21" s="8" t="s">
        <v>127</v>
      </c>
      <c r="AB21" s="9" t="str">
        <f>IF(AND($H21="y",$C21&lt;&gt;$C20),B21&amp;" "&amp;AC21&amp;AD21&amp;AE21&amp;AF21&amp;AG21&amp;AH21&amp;AI21&amp;AJ21&amp;AK21,IF(H21="n",B21&amp;" "&amp;AC21&amp;AD21&amp;AE21&amp;AF21&amp;AG21&amp;AH21&amp;AI21&amp;AJ21&amp;AK21,""))</f>
        <v>iam get-service-linked-role-deletion-status --deletion-task-id</v>
      </c>
      <c r="AC21" s="8" t="str">
        <f t="shared" si="2"/>
        <v>get-service-linked-role-deletion-status</v>
      </c>
      <c r="AD21" s="8" t="str">
        <f>IF($I21&gt;=1," "&amp;$L21,"")</f>
        <v xml:space="preserve"> --deletion-task-id</v>
      </c>
      <c r="AE21" s="8" t="str">
        <f>IF($I21&gt;=2," "&amp;$L22,"")</f>
        <v/>
      </c>
      <c r="AF21" s="8" t="str">
        <f>IF($I21&gt;=3," "&amp;$L23,"")</f>
        <v/>
      </c>
      <c r="AG21" s="8" t="str">
        <f>IF($I21&gt;=4," "&amp;$L24,"")</f>
        <v/>
      </c>
      <c r="AH21" s="8" t="str">
        <f>IF($I21&gt;=5," "&amp;$L25,"")</f>
        <v/>
      </c>
      <c r="AI21" s="8" t="str">
        <f>IF($I21&gt;=6," "&amp;$L26,"")</f>
        <v/>
      </c>
      <c r="AJ21" s="8" t="str">
        <f>IF($I21&gt;=7," "&amp;$L27,"")</f>
        <v/>
      </c>
      <c r="AK21" s="8" t="str">
        <f>IF($I21&gt;=8," "&amp;$L28,"")</f>
        <v/>
      </c>
      <c r="AL21" s="8" t="str">
        <f>U21</f>
        <v>iam___service_linked_role</v>
      </c>
      <c r="AM21" s="8" t="str">
        <f>IF($I21&gt;=2,$U22,"")</f>
        <v/>
      </c>
      <c r="AN21" s="8" t="str">
        <f>IF($I21&gt;=3,$U23,"")</f>
        <v/>
      </c>
      <c r="AO21" s="8" t="str">
        <f>IF(I21&gt;=4,$U24,"")</f>
        <v/>
      </c>
      <c r="AP21" s="8" t="str">
        <f>IF($I21&gt;=5,$U25,"")</f>
        <v/>
      </c>
      <c r="AQ21" s="8" t="str">
        <f>IF($I21&gt;=6,$U26,"")</f>
        <v/>
      </c>
      <c r="AR21" s="8" t="str">
        <f>IF($I21&gt;=7,$U27,"")</f>
        <v/>
      </c>
      <c r="AS21" s="8" t="str">
        <f>IF(I21&gt;=8,$U28,"")</f>
        <v/>
      </c>
      <c r="AT21" s="8" t="str">
        <f>F21</f>
        <v>*unknown*</v>
      </c>
      <c r="AU21" s="8" t="str">
        <f>IF($I21&gt;=2,$F22,"")</f>
        <v/>
      </c>
      <c r="AV21" s="8" t="str">
        <f>IF($I21&gt;=3,$F23,"")</f>
        <v/>
      </c>
      <c r="AW21" s="8" t="str">
        <f>IF($I21&gt;=4,$F24,"")</f>
        <v/>
      </c>
      <c r="AX21" s="8" t="str">
        <f>IF($I21&gt;=5,$F25,"")</f>
        <v/>
      </c>
      <c r="AY21" s="8" t="str">
        <f>IF($I21&gt;=6,$F26,"")</f>
        <v/>
      </c>
      <c r="AZ21" s="8" t="str">
        <f>IF($I21&gt;=7,$F27,"")</f>
        <v/>
      </c>
      <c r="BA21" s="8" t="str">
        <f>IF($I21&gt;=8,$F28,"")</f>
        <v/>
      </c>
      <c r="BB21" s="9" t="str">
        <f>IF(OR(R21&lt;&gt;"y",I21&lt;&gt;1),"","SELECT aws_command::text || ' ' || command_parameter::text AS aws_command_string, parameter_source_table, parameter_source_key FROM (SELECT  "&amp;"'"&amp;AB21&amp;"'"&amp;" AS aws_command,"&amp;U21&amp;"."&amp;V21&amp;" -&gt;&gt; "&amp;"'"&amp;F21&amp;"'"&amp;" AS command_parameter, "&amp;"'"&amp;AL21&amp;"'"&amp;" AS parameter_source_table, "&amp;"'"&amp;AT21&amp;"'"&amp;" AS parameter_source_key FROM "&amp;U21&amp;") AS f")</f>
        <v>SELECT aws_command::text || ' ' || command_parameter::text AS aws_command_string, parameter_source_table, parameter_source_key FROM (SELECT  'iam get-service-linked-role-deletion-status --deletion-task-id' AS aws_command,iam___service_linked_role.service_linked_role -&gt;&gt; '*unknown*' AS command_parameter, 'iam___service_linked_role' AS parameter_source_table, '*unknown*' AS parameter_source_key FROM iam___service_linked_role) AS f</v>
      </c>
      <c r="BC21" s="9" t="str">
        <f>IF(AND(H21="y",H20&lt;&gt;"y"),BE21&amp;BF21&amp;BG21&amp;BR21&amp;CC21,"")</f>
        <v/>
      </c>
      <c r="BD21" s="8" t="str">
        <f>"/* recursive command: "&amp;C21&amp;" */ DROP TABLE IF EXISTS "&amp;T21&amp;"; CREATE TABLE "&amp;T21&amp;"(  id SERIAL PRIMARY KEY, "&amp;F21&amp;" TEXT); SELECT "&amp;U21&amp;"."&amp;V21&amp;" -&gt;&gt; '"&amp;F21&amp;"' AS "&amp;V21&amp;" FROM "&amp;U21&amp;" ;"</f>
        <v>/* recursive command: get-service-linked-role-deletion-status */ DROP TABLE IF EXISTS iam___service_linked_role_deletion_status; CREATE TABLE iam___service_linked_role_deletion_status(  id SERIAL PRIMARY KEY, *unknown* TEXT); SELECT iam___service_linked_role.service_linked_role -&gt;&gt; '*unknown*' AS service_linked_role FROM iam___service_linked_role ;</v>
      </c>
      <c r="BE21" s="8" t="str">
        <f t="shared" si="3"/>
        <v xml:space="preserve">/* recursive command multi: get-service-linked-role-deletion-status */ </v>
      </c>
      <c r="BF21" s="8" t="str">
        <f t="shared" si="4"/>
        <v xml:space="preserve">DROP TABLE IF EXISTS iam___service_linked_role_deletion_status; </v>
      </c>
      <c r="BG21" s="8" t="str">
        <f t="shared" si="5"/>
        <v>CREATE TABLE iam___service_linked_role_deletion_status(  id SERIAL PRIMARY KEY, *unknown* TEXT );</v>
      </c>
      <c r="BH21" s="8" t="str">
        <f t="shared" si="6"/>
        <v xml:space="preserve">CREATE TABLE iam___service_linked_role_deletion_status(  id SERIAL PRIMARY KEY, </v>
      </c>
      <c r="BI21" s="8" t="str">
        <f>IF($I21&gt;=1,$W21&amp;" TEXT","")</f>
        <v>*unknown* TEXT</v>
      </c>
      <c r="BJ21" s="8" t="str">
        <f>IF($I21&gt;=2,", "&amp;$W22&amp;" TEXT","")</f>
        <v/>
      </c>
      <c r="BK21" s="8" t="str">
        <f>IF($I21&gt;=3,", "&amp;$W23&amp;" TEXT","")</f>
        <v/>
      </c>
      <c r="BL21" s="8" t="str">
        <f>IF($I21&gt;=4,", "&amp;$W24&amp;" TEXT","")</f>
        <v/>
      </c>
      <c r="BM21" s="8" t="str">
        <f>IF($I21&gt;=5,", "&amp;$W25&amp;" TEXT","")</f>
        <v/>
      </c>
      <c r="BN21" s="8" t="str">
        <f>IF($I21&gt;=6,", "&amp;$W26&amp;" TEXT","")</f>
        <v/>
      </c>
      <c r="BO21" s="8" t="str">
        <f>IF($I21&gt;=7,", "&amp;$W27&amp;" TEXT","")</f>
        <v/>
      </c>
      <c r="BP21" s="8" t="str">
        <f>IF($I21&gt;=8,", "&amp;$W28&amp;" TEXT","")</f>
        <v/>
      </c>
      <c r="BQ21" s="8" t="str">
        <f t="shared" si="7"/>
        <v xml:space="preserve"> );</v>
      </c>
      <c r="BR21" s="9" t="str">
        <f t="shared" si="8"/>
        <v xml:space="preserve"> INSERT INTO iam___service_linked_role_deletion_status(*unknown*)</v>
      </c>
      <c r="BS21" s="9" t="str">
        <f t="shared" si="9"/>
        <v xml:space="preserve"> INSERT INTO iam___service_linked_role_deletion_status(</v>
      </c>
      <c r="BT21" s="9" t="str">
        <f>IF($I21&gt;=1,$W21,"")</f>
        <v>*unknown*</v>
      </c>
      <c r="BU21" s="9" t="str">
        <f>IF($I21&gt;=2,", "&amp;$W22,"")</f>
        <v/>
      </c>
      <c r="BV21" s="9" t="str">
        <f>IF($I21&gt;=3,", "&amp;$W23,"")</f>
        <v/>
      </c>
      <c r="BW21" s="9" t="str">
        <f>IF($I21&gt;=4,", "&amp;$W24,"")</f>
        <v/>
      </c>
      <c r="BX21" s="9" t="str">
        <f>IF($I21&gt;=5,", "&amp;$W25,"")</f>
        <v/>
      </c>
      <c r="BY21" s="9" t="str">
        <f>IF($I21&gt;=6,", "&amp;$W26,"")</f>
        <v/>
      </c>
      <c r="BZ21" s="9" t="str">
        <f>IF($I21&gt;=7,", "&amp;$W27,"")</f>
        <v/>
      </c>
      <c r="CA21" s="9" t="str">
        <f>IF($I21&gt;=8,", "&amp;$W28,"")</f>
        <v/>
      </c>
      <c r="CB21" s="9" t="str">
        <f t="shared" si="10"/>
        <v>)</v>
      </c>
      <c r="CC21" s="9" t="str">
        <f t="shared" si="0"/>
        <v xml:space="preserve"> SELECT iam___service_linked_role.service_linked_role -&gt;&gt; '*unknown*' AS service_linked_role_*unknown* FROM iam___service_linked_role ;</v>
      </c>
      <c r="CD21" s="8" t="str">
        <f>" SELECT "&amp;$U21&amp;"."&amp;$V21&amp;" -&gt;&gt; '"&amp;$F21&amp;"' AS "&amp;$V21&amp;"_"&amp;LOWER(F21)</f>
        <v xml:space="preserve"> SELECT iam___service_linked_role.service_linked_role -&gt;&gt; '*unknown*' AS service_linked_role_*unknown*</v>
      </c>
      <c r="CE21" s="8" t="str">
        <f>IF($I21&gt;=2,", "&amp;$U22&amp;"."&amp;$V22&amp;" -&gt;&gt; '"&amp;$F22&amp;"' AS "&amp;$V22&amp;"_"&amp;LOWER(F22),"")</f>
        <v/>
      </c>
      <c r="CF21" s="8" t="str">
        <f>IF($I21&gt;=3,", "&amp;$U23&amp;"."&amp;$V23&amp;" -&gt;&gt; '"&amp;$F23&amp;"' AS "&amp;$V23&amp;"_"&amp;LOWER(F23),"")</f>
        <v/>
      </c>
      <c r="CG21" s="8" t="str">
        <f>IF($I21&gt;=4,", "&amp;$U24&amp;"."&amp;$V24&amp;" -&gt;&gt; '"&amp;$F24&amp;"' AS "&amp;$V24&amp;"_"&amp;LOWER(F24),"")</f>
        <v/>
      </c>
      <c r="CH21" s="8" t="str">
        <f>IF($I21&gt;=5,", "&amp;$U25&amp;"."&amp;$V25&amp;" -&gt;&gt; '"&amp;$F25&amp;"' AS "&amp;$V25&amp;"_"&amp;LOWER(F25),"")</f>
        <v/>
      </c>
      <c r="CI21" s="8" t="str">
        <f>IF($I21&gt;=6,", "&amp;$U26&amp;"."&amp;$V26&amp;" -&gt;&gt; '"&amp;$F26&amp;"' AS "&amp;$V26&amp;"_"&amp;LOWER(F26),"")</f>
        <v/>
      </c>
      <c r="CJ21" s="8" t="str">
        <f>IF($I21&gt;=7,", "&amp;$U27&amp;"."&amp;$V27&amp;" -&gt;&gt; '"&amp;$F27&amp;"' AS "&amp;$V27&amp;"_"&amp;LOWER(F27),"")</f>
        <v/>
      </c>
      <c r="CK21" s="8" t="str">
        <f>IF($I21&gt;=8,", "&amp;$U28&amp;"."&amp;$V28&amp;" -&gt;&gt; '"&amp;$F28&amp;"' AS "&amp;$V28&amp;"_"&amp;LOWER(F28),"")</f>
        <v/>
      </c>
      <c r="CL21" s="8" t="str">
        <f>IF($I21&gt;=1," FROM "&amp;$U21,"")</f>
        <v xml:space="preserve"> FROM iam___service_linked_role</v>
      </c>
      <c r="CM21" s="9" t="str">
        <f>IF($I21&gt;=2," "&amp;$AA21&amp;" JOIN "&amp;$U21&amp;" USING ("&amp;$T21&amp;"."&amp;$W21&amp;", "&amp;$U21&amp;"."&amp;$V21&amp;" -&gt;&gt; '"&amp;$F21&amp;"')","")</f>
        <v/>
      </c>
      <c r="CN21" s="9" t="str">
        <f>IF($I21&gt;=3," "&amp;$AA22&amp;" JOIN "&amp;$U22&amp;" USING ("&amp;$T22&amp;"."&amp;$W22&amp;", "&amp;$U22&amp;"."&amp;$V22&amp;" -&gt;&gt; '"&amp;$F22&amp;"')","")</f>
        <v/>
      </c>
      <c r="CO21" s="9" t="str">
        <f>IF($I21&gt;=4," "&amp;$AA23&amp;" JOIN "&amp;$U23&amp;" USING ("&amp;$T23&amp;"."&amp;$W23&amp;", "&amp;$U23&amp;"."&amp;$V23&amp;" -&gt;&gt; '"&amp;$F23&amp;"')","")</f>
        <v/>
      </c>
      <c r="CP21" s="9" t="str">
        <f>IF($I21&gt;=5," "&amp;$AA24&amp;" JOIN "&amp;$U24&amp;" USING ("&amp;$T24&amp;"."&amp;$W24&amp;", "&amp;$U24&amp;"."&amp;$V24&amp;" -&gt;&gt; '"&amp;$F24&amp;"')","")</f>
        <v/>
      </c>
      <c r="CQ21" s="9" t="str">
        <f>IF($I21&gt;=6," "&amp;$AA25&amp;" JOIN "&amp;$U25&amp;" USING ("&amp;$T25&amp;"."&amp;$W25&amp;", "&amp;$U25&amp;"."&amp;$V25&amp;" -&gt;&gt; '"&amp;$F25&amp;"')","")</f>
        <v/>
      </c>
      <c r="CR21" s="8" t="str">
        <f>IF($I21&gt;=7," "&amp;$AA26&amp;" JOIN "&amp;$U26&amp;" USING ("&amp;$T26&amp;"."&amp;$W26&amp;", "&amp;$U26&amp;"."&amp;$V26&amp;" -&gt;&gt; '"&amp;$F26&amp;"')","")</f>
        <v/>
      </c>
      <c r="CS21" s="8" t="str">
        <f>IF($I21&gt;=8," "&amp;$AA27&amp;" JOIN "&amp;$U27&amp;" USING ("&amp;$T27&amp;"."&amp;$W27&amp;", "&amp;$U27&amp;"."&amp;$V27&amp;" -&gt;&gt; '"&amp;$F27&amp;"')","")</f>
        <v/>
      </c>
      <c r="CT21" s="8" t="str">
        <f t="shared" si="11"/>
        <v xml:space="preserve"> ;</v>
      </c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</row>
    <row r="22" spans="1:202" x14ac:dyDescent="0.25">
      <c r="A22">
        <v>21</v>
      </c>
      <c r="B22" s="4" t="s">
        <v>0</v>
      </c>
      <c r="C22" s="4" t="s">
        <v>65</v>
      </c>
      <c r="D22" s="4" t="s">
        <v>0</v>
      </c>
      <c r="E22" s="4" t="s">
        <v>9</v>
      </c>
      <c r="F22" s="4" t="s">
        <v>181</v>
      </c>
      <c r="G22" s="7" t="s">
        <v>72</v>
      </c>
      <c r="H22" s="7" t="s">
        <v>71</v>
      </c>
      <c r="I22" s="7">
        <v>3</v>
      </c>
      <c r="J22" s="7" t="s">
        <v>72</v>
      </c>
      <c r="K22" s="7">
        <v>1</v>
      </c>
      <c r="L22" s="4" t="s">
        <v>70</v>
      </c>
      <c r="M22" s="7" t="s">
        <v>71</v>
      </c>
      <c r="N22" s="4" t="s">
        <v>76</v>
      </c>
      <c r="O22" s="7"/>
      <c r="P22" s="4"/>
      <c r="Q22" s="8" t="str">
        <f>VLOOKUP($C22,aws_cli_commands!$C$2:$E$10000,2,FALSE)</f>
        <v>n</v>
      </c>
      <c r="R22" s="8" t="str">
        <f>VLOOKUP($C22,aws_cli_commands!$C$2:$E$10000,3,FALSE)</f>
        <v>y</v>
      </c>
      <c r="S22" s="8" t="str">
        <f>IF(OR(C22=C21,C22=C23),"y","n")</f>
        <v>y</v>
      </c>
      <c r="T22" s="8" t="str">
        <f>B22&amp;"___"&amp;SUBSTITUTE(RIGHT(C22,LEN(C22)-FIND("-",C22)),"-","_")</f>
        <v>iam___ssh_public_key</v>
      </c>
      <c r="U22" s="8" t="str">
        <f>SUBSTITUTE(D22&amp;"___"&amp;RIGHT(E22,LEN(E22)-FIND("-",E22)),"-","_")</f>
        <v>iam___ssh_public_keys</v>
      </c>
      <c r="V22" s="8" t="str">
        <f>SUBSTITUTE(RIGHT($E22,LEN($E22)-FIND("-",$E22)),"-","_")</f>
        <v>ssh_public_keys</v>
      </c>
      <c r="W22" s="8" t="str">
        <f>IF(G22="y",V22&amp;"_"&amp;LOWER(F22),IF(M22="y","**hardcoded**",LOWER(F22)))</f>
        <v>**hardcoded**</v>
      </c>
      <c r="X22" s="8" t="str">
        <f t="shared" si="1"/>
        <v>y</v>
      </c>
      <c r="Y22" s="8">
        <f>IF(AND($C22=$C22,$M22="y"),1,0)+IF(AND($C21=$C22,$M21="y"),1,0)+IF(AND($C20=$C22,$M20="y"),1,0)+IF(AND($C19=$C22,$M19="y"),1,0)+IF(AND($C18=$C22,$M18="y"),1,0)+IF(AND($C17=$C22,$M17="y"),1,0)+IF(AND($C16=$C22,$M16="y"),1,0)+IF(AND($C15=$C22,$M15="y"),1,0)+IF(AND($C14=$C22,$M14="y"),1,0)</f>
        <v>1</v>
      </c>
      <c r="Z22" s="8">
        <f>IF(AND($C22=$C22,$M22="y"),1,0)+IF(AND($C22=$C23,$M23="y"),1,0)+IF(AND($C22=$C24,$M24="y"),1,0)+IF(AND($C22=$C25,$M25="y"),1,0)+IF(AND($C22=$C26,$M26="y"),1,0)+IF(AND($C22=$C27,$M27="y"),1,0)+IF(AND($C22=$C28,$M28="y"),1,0)+IF(AND($C22=$C29,$M29="y"),1,0)+IF(AND($C22=$C30,$M30="y"),1,0)</f>
        <v>1</v>
      </c>
      <c r="AA22" s="8" t="s">
        <v>127</v>
      </c>
      <c r="AB22" s="9" t="str">
        <f>IF(AND($H22="y",$C22&lt;&gt;$C21),B22&amp;" "&amp;AC22&amp;AD22&amp;AE22&amp;AF22&amp;AG22&amp;AH22&amp;AI22&amp;AJ22&amp;AK22,IF(H22="n",B22&amp;" "&amp;AC22&amp;AD22&amp;AE22&amp;AF22&amp;AG22&amp;AH22&amp;AI22&amp;AJ22&amp;AK22,""))</f>
        <v>iam get-ssh-public-key --encoding --ssh-public-key-id --user-name</v>
      </c>
      <c r="AC22" s="8" t="str">
        <f t="shared" si="2"/>
        <v>get-ssh-public-key</v>
      </c>
      <c r="AD22" s="8" t="str">
        <f>IF($I22&gt;=1," "&amp;$L22,"")</f>
        <v xml:space="preserve"> --encoding</v>
      </c>
      <c r="AE22" s="8" t="str">
        <f>IF($I22&gt;=2," "&amp;$L23,"")</f>
        <v xml:space="preserve"> --ssh-public-key-id</v>
      </c>
      <c r="AF22" s="8" t="str">
        <f>IF($I22&gt;=3," "&amp;$L24,"")</f>
        <v xml:space="preserve"> --user-name</v>
      </c>
      <c r="AG22" s="8" t="str">
        <f>IF($I22&gt;=4," "&amp;$L25,"")</f>
        <v/>
      </c>
      <c r="AH22" s="8" t="str">
        <f>IF($I22&gt;=5," "&amp;$L26,"")</f>
        <v/>
      </c>
      <c r="AI22" s="8" t="str">
        <f>IF($I22&gt;=6," "&amp;$L27,"")</f>
        <v/>
      </c>
      <c r="AJ22" s="8" t="str">
        <f>IF($I22&gt;=7," "&amp;$L28,"")</f>
        <v/>
      </c>
      <c r="AK22" s="8" t="str">
        <f>IF($I22&gt;=8," "&amp;$L29,"")</f>
        <v/>
      </c>
      <c r="AL22" s="8" t="str">
        <f>U22</f>
        <v>iam___ssh_public_keys</v>
      </c>
      <c r="AM22" s="8" t="str">
        <f>IF($I22&gt;=2,$U23,"")</f>
        <v>iam___ssh_public_keys</v>
      </c>
      <c r="AN22" s="8" t="str">
        <f>IF($I22&gt;=3,$U24,"")</f>
        <v>iam___ssh_public_keys</v>
      </c>
      <c r="AO22" s="8" t="str">
        <f>IF(I22&gt;=4,$U25,"")</f>
        <v/>
      </c>
      <c r="AP22" s="8" t="str">
        <f>IF($I22&gt;=5,$U26,"")</f>
        <v/>
      </c>
      <c r="AQ22" s="8" t="str">
        <f>IF($I22&gt;=6,$U27,"")</f>
        <v/>
      </c>
      <c r="AR22" s="8" t="str">
        <f>IF($I22&gt;=7,$U28,"")</f>
        <v/>
      </c>
      <c r="AS22" s="8" t="str">
        <f>IF(I22&gt;=8,$U29,"")</f>
        <v/>
      </c>
      <c r="AT22" s="8" t="str">
        <f>F22</f>
        <v>**hardcoded**</v>
      </c>
      <c r="AU22" s="8" t="str">
        <f>IF($I22&gt;=2,$F23,"")</f>
        <v>SSHPublicKeyId</v>
      </c>
      <c r="AV22" s="8" t="str">
        <f>IF($I22&gt;=3,$F24,"")</f>
        <v>UserName</v>
      </c>
      <c r="AW22" s="8" t="str">
        <f>IF($I22&gt;=4,$F25,"")</f>
        <v/>
      </c>
      <c r="AX22" s="8" t="str">
        <f>IF($I22&gt;=5,$F26,"")</f>
        <v/>
      </c>
      <c r="AY22" s="8" t="str">
        <f>IF($I22&gt;=6,$F27,"")</f>
        <v/>
      </c>
      <c r="AZ22" s="8" t="str">
        <f>IF($I22&gt;=7,$F28,"")</f>
        <v/>
      </c>
      <c r="BA22" s="8" t="str">
        <f>IF($I22&gt;=8,$F29,"")</f>
        <v/>
      </c>
      <c r="BB22" s="9" t="str">
        <f>IF(OR(R22&lt;&gt;"y",I22&lt;&gt;1),"","SELECT aws_command::text || ' ' || command_parameter::text AS aws_command_string, parameter_source_table, parameter_source_key FROM (SELECT  "&amp;"'"&amp;AB22&amp;"'"&amp;" AS aws_command,"&amp;U22&amp;"."&amp;V22&amp;" -&gt;&gt; "&amp;"'"&amp;F22&amp;"'"&amp;" AS command_parameter, "&amp;"'"&amp;AL22&amp;"'"&amp;" AS parameter_source_table, "&amp;"'"&amp;AT22&amp;"'"&amp;" AS parameter_source_key FROM "&amp;U22&amp;") AS f")</f>
        <v/>
      </c>
      <c r="BC22" s="9" t="str">
        <f>IF(AND(H22="y",H21&lt;&gt;"y"),BE22&amp;BF22&amp;BG22&amp;BR22&amp;CC22,"")</f>
        <v>/* recursive command multi: get-ssh-public-key */ DROP TABLE IF EXISTS iam___ssh_public_key; CREATE TABLE iam___ssh_public_key(  id SERIAL PRIMARY KEY, **hardcoded** TEXT, sshpublickeyid TEXT, username TEXT ); INSERT INTO iam___ssh_public_key(**hardcoded**, sshpublickeyid, username) SELECT iam___ssh_public_keys.ssh_public_keys -&gt;&gt; '**hardcoded**' AS ssh_public_keys_**hardcoded**, iam___ssh_public_keys.ssh_public_keys -&gt;&gt; 'SSHPublicKeyId' AS ssh_public_keys_sshpublickeyid, iam___ssh_public_keys.ssh_public_keys -&gt;&gt; 'UserName' AS ssh_public_keys_username FROM iam___ssh_public_keys INNER JOIN iam___ssh_public_keys USING (iam___ssh_public_key.**hardcoded**, iam___ssh_public_keys.ssh_public_keys -&gt;&gt; '**hardcoded**') INNER JOIN iam___ssh_public_keys USING (iam___ssh_public_key.sshpublickeyid, iam___ssh_public_keys.ssh_public_keys -&gt;&gt; 'SSHPublicKeyId') ;</v>
      </c>
      <c r="BD22" s="8" t="str">
        <f>"/* recursive command: "&amp;C22&amp;" */ DROP TABLE IF EXISTS "&amp;T22&amp;"; CREATE TABLE "&amp;T22&amp;"(  id SERIAL PRIMARY KEY, "&amp;N22&amp;" TEXT); SELECT "&amp;U22&amp;"."&amp;V22&amp;" -&gt;&gt; '"&amp;N22&amp;"' AS "&amp;V22&amp;" FROM "&amp;U22&amp;" ;"</f>
        <v>/* recursive command: get-ssh-public-key */ DROP TABLE IF EXISTS iam___ssh_public_key; CREATE TABLE iam___ssh_public_key(  id SERIAL PRIMARY KEY, SSH TEXT); SELECT iam___ssh_public_keys.ssh_public_keys -&gt;&gt; 'SSH' AS ssh_public_keys FROM iam___ssh_public_keys ;</v>
      </c>
      <c r="BE22" s="8" t="str">
        <f t="shared" si="3"/>
        <v xml:space="preserve">/* recursive command multi: get-ssh-public-key */ </v>
      </c>
      <c r="BF22" s="8" t="str">
        <f t="shared" si="4"/>
        <v xml:space="preserve">DROP TABLE IF EXISTS iam___ssh_public_key; </v>
      </c>
      <c r="BG22" s="8" t="str">
        <f t="shared" si="5"/>
        <v>CREATE TABLE iam___ssh_public_key(  id SERIAL PRIMARY KEY, **hardcoded** TEXT, sshpublickeyid TEXT, username TEXT );</v>
      </c>
      <c r="BH22" s="8" t="str">
        <f t="shared" si="6"/>
        <v xml:space="preserve">CREATE TABLE iam___ssh_public_key(  id SERIAL PRIMARY KEY, </v>
      </c>
      <c r="BI22" s="8" t="str">
        <f>IF($I22&gt;=1,$W22&amp;" TEXT","")</f>
        <v>**hardcoded** TEXT</v>
      </c>
      <c r="BJ22" s="8" t="str">
        <f>IF($I22&gt;=2,", "&amp;$W23&amp;" TEXT","")</f>
        <v>, sshpublickeyid TEXT</v>
      </c>
      <c r="BK22" s="8" t="str">
        <f>IF($I22&gt;=3,", "&amp;$W24&amp;" TEXT","")</f>
        <v>, username TEXT</v>
      </c>
      <c r="BL22" s="8" t="str">
        <f>IF($I22&gt;=4,", "&amp;$W25&amp;" TEXT","")</f>
        <v/>
      </c>
      <c r="BM22" s="8" t="str">
        <f>IF($I22&gt;=5,", "&amp;$W26&amp;" TEXT","")</f>
        <v/>
      </c>
      <c r="BN22" s="8" t="str">
        <f>IF($I22&gt;=6,", "&amp;$W27&amp;" TEXT","")</f>
        <v/>
      </c>
      <c r="BO22" s="8" t="str">
        <f>IF($I22&gt;=7,", "&amp;$W28&amp;" TEXT","")</f>
        <v/>
      </c>
      <c r="BP22" s="8" t="str">
        <f>IF($I22&gt;=8,", "&amp;$W29&amp;" TEXT","")</f>
        <v/>
      </c>
      <c r="BQ22" s="8" t="str">
        <f t="shared" si="7"/>
        <v xml:space="preserve"> );</v>
      </c>
      <c r="BR22" s="9" t="str">
        <f t="shared" si="8"/>
        <v xml:space="preserve"> INSERT INTO iam___ssh_public_key(**hardcoded**, sshpublickeyid, username)</v>
      </c>
      <c r="BS22" s="9" t="str">
        <f t="shared" si="9"/>
        <v xml:space="preserve"> INSERT INTO iam___ssh_public_key(</v>
      </c>
      <c r="BT22" s="9" t="str">
        <f>IF($I22&gt;=1,$W22,"")</f>
        <v>**hardcoded**</v>
      </c>
      <c r="BU22" s="9" t="str">
        <f>IF($I22&gt;=2,", "&amp;$W23,"")</f>
        <v>, sshpublickeyid</v>
      </c>
      <c r="BV22" s="9" t="str">
        <f>IF($I22&gt;=3,", "&amp;$W24,"")</f>
        <v>, username</v>
      </c>
      <c r="BW22" s="9" t="str">
        <f>IF($I22&gt;=4,", "&amp;$W25,"")</f>
        <v/>
      </c>
      <c r="BX22" s="9" t="str">
        <f>IF($I22&gt;=5,", "&amp;$W26,"")</f>
        <v/>
      </c>
      <c r="BY22" s="9" t="str">
        <f>IF($I22&gt;=6,", "&amp;$W27,"")</f>
        <v/>
      </c>
      <c r="BZ22" s="9" t="str">
        <f>IF($I22&gt;=7,", "&amp;$W28,"")</f>
        <v/>
      </c>
      <c r="CA22" s="9" t="str">
        <f>IF($I22&gt;=8,", "&amp;$W29,"")</f>
        <v/>
      </c>
      <c r="CB22" s="9" t="str">
        <f t="shared" si="10"/>
        <v>)</v>
      </c>
      <c r="CC22" s="9" t="str">
        <f t="shared" si="0"/>
        <v xml:space="preserve"> SELECT iam___ssh_public_keys.ssh_public_keys -&gt;&gt; '**hardcoded**' AS ssh_public_keys_**hardcoded**, iam___ssh_public_keys.ssh_public_keys -&gt;&gt; 'SSHPublicKeyId' AS ssh_public_keys_sshpublickeyid, iam___ssh_public_keys.ssh_public_keys -&gt;&gt; 'UserName' AS ssh_public_keys_username FROM iam___ssh_public_keys INNER JOIN iam___ssh_public_keys USING (iam___ssh_public_key.**hardcoded**, iam___ssh_public_keys.ssh_public_keys -&gt;&gt; '**hardcoded**') INNER JOIN iam___ssh_public_keys USING (iam___ssh_public_key.sshpublickeyid, iam___ssh_public_keys.ssh_public_keys -&gt;&gt; 'SSHPublicKeyId') ;</v>
      </c>
      <c r="CD22" s="8" t="str">
        <f>" SELECT "&amp;$U22&amp;"."&amp;$V22&amp;" -&gt;&gt; '"&amp;$F22&amp;"' AS "&amp;$V22&amp;"_"&amp;LOWER(F22)</f>
        <v xml:space="preserve"> SELECT iam___ssh_public_keys.ssh_public_keys -&gt;&gt; '**hardcoded**' AS ssh_public_keys_**hardcoded**</v>
      </c>
      <c r="CE22" s="8" t="str">
        <f>IF($I22&gt;=2,", "&amp;$U23&amp;"."&amp;$V23&amp;" -&gt;&gt; '"&amp;$F23&amp;"' AS "&amp;$V23&amp;"_"&amp;LOWER(F23),"")</f>
        <v>, iam___ssh_public_keys.ssh_public_keys -&gt;&gt; 'SSHPublicKeyId' AS ssh_public_keys_sshpublickeyid</v>
      </c>
      <c r="CF22" s="8" t="str">
        <f>IF($I22&gt;=3,", "&amp;$U24&amp;"."&amp;$V24&amp;" -&gt;&gt; '"&amp;$F24&amp;"' AS "&amp;$V24&amp;"_"&amp;LOWER(F24),"")</f>
        <v>, iam___ssh_public_keys.ssh_public_keys -&gt;&gt; 'UserName' AS ssh_public_keys_username</v>
      </c>
      <c r="CG22" s="8" t="str">
        <f>IF($I22&gt;=4,", "&amp;$U25&amp;"."&amp;$V25&amp;" -&gt;&gt; '"&amp;$F25&amp;"' AS "&amp;$V25&amp;"_"&amp;LOWER(F25),"")</f>
        <v/>
      </c>
      <c r="CH22" s="8" t="str">
        <f>IF($I22&gt;=5,", "&amp;$U26&amp;"."&amp;$V26&amp;" -&gt;&gt; '"&amp;$F26&amp;"' AS "&amp;$V26&amp;"_"&amp;LOWER(F26),"")</f>
        <v/>
      </c>
      <c r="CI22" s="8" t="str">
        <f>IF($I22&gt;=6,", "&amp;$U27&amp;"."&amp;$V27&amp;" -&gt;&gt; '"&amp;$F27&amp;"' AS "&amp;$V27&amp;"_"&amp;LOWER(F27),"")</f>
        <v/>
      </c>
      <c r="CJ22" s="8" t="str">
        <f>IF($I22&gt;=7,", "&amp;$U28&amp;"."&amp;$V28&amp;" -&gt;&gt; '"&amp;$F28&amp;"' AS "&amp;$V28&amp;"_"&amp;LOWER(F28),"")</f>
        <v/>
      </c>
      <c r="CK22" s="8" t="str">
        <f>IF($I22&gt;=8,", "&amp;$U29&amp;"."&amp;$V29&amp;" -&gt;&gt; '"&amp;$F29&amp;"' AS "&amp;$V29&amp;"_"&amp;LOWER(F29),"")</f>
        <v/>
      </c>
      <c r="CL22" s="8" t="str">
        <f>IF($I22&gt;=1," FROM "&amp;$U22,"")</f>
        <v xml:space="preserve"> FROM iam___ssh_public_keys</v>
      </c>
      <c r="CM22" s="9" t="str">
        <f>IF($I22&gt;=2," "&amp;$AA22&amp;" JOIN "&amp;$U22&amp;" USING ("&amp;$T22&amp;"."&amp;$W22&amp;", "&amp;$U22&amp;"."&amp;$V22&amp;" -&gt;&gt; '"&amp;$F22&amp;"')","")</f>
        <v xml:space="preserve"> INNER JOIN iam___ssh_public_keys USING (iam___ssh_public_key.**hardcoded**, iam___ssh_public_keys.ssh_public_keys -&gt;&gt; '**hardcoded**')</v>
      </c>
      <c r="CN22" s="9" t="str">
        <f>IF($I22&gt;=3," "&amp;$AA23&amp;" JOIN "&amp;$U23&amp;" USING ("&amp;$T23&amp;"."&amp;$W23&amp;", "&amp;$U23&amp;"."&amp;$V23&amp;" -&gt;&gt; '"&amp;$F23&amp;"')","")</f>
        <v xml:space="preserve"> INNER JOIN iam___ssh_public_keys USING (iam___ssh_public_key.sshpublickeyid, iam___ssh_public_keys.ssh_public_keys -&gt;&gt; 'SSHPublicKeyId')</v>
      </c>
      <c r="CO22" s="9" t="str">
        <f>IF($I22&gt;=4," "&amp;$AA24&amp;" JOIN "&amp;$U24&amp;" USING ("&amp;$T24&amp;"."&amp;$W24&amp;", "&amp;$U24&amp;"."&amp;$V24&amp;" -&gt;&gt; '"&amp;$F24&amp;"')","")</f>
        <v/>
      </c>
      <c r="CP22" s="9" t="str">
        <f>IF($I22&gt;=5," "&amp;$AA25&amp;" JOIN "&amp;$U25&amp;" USING ("&amp;$T25&amp;"."&amp;$W25&amp;", "&amp;$U25&amp;"."&amp;$V25&amp;" -&gt;&gt; '"&amp;$F25&amp;"')","")</f>
        <v/>
      </c>
      <c r="CQ22" s="9" t="str">
        <f>IF($I22&gt;=6," "&amp;$AA26&amp;" JOIN "&amp;$U26&amp;" USING ("&amp;$T26&amp;"."&amp;$W26&amp;", "&amp;$U26&amp;"."&amp;$V26&amp;" -&gt;&gt; '"&amp;$F26&amp;"')","")</f>
        <v/>
      </c>
      <c r="CR22" s="8" t="str">
        <f>IF($I22&gt;=7," "&amp;$AA27&amp;" JOIN "&amp;$U27&amp;" USING ("&amp;$T27&amp;"."&amp;$W27&amp;", "&amp;$U27&amp;"."&amp;$V27&amp;" -&gt;&gt; '"&amp;$F27&amp;"')","")</f>
        <v/>
      </c>
      <c r="CS22" s="8" t="str">
        <f>IF($I22&gt;=8," "&amp;$AA28&amp;" JOIN "&amp;$U28&amp;" USING ("&amp;$T28&amp;"."&amp;$W28&amp;", "&amp;$U28&amp;"."&amp;$V28&amp;" -&gt;&gt; '"&amp;$F28&amp;"')","")</f>
        <v/>
      </c>
      <c r="CT22" s="8" t="str">
        <f t="shared" si="11"/>
        <v xml:space="preserve"> ;</v>
      </c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</row>
    <row r="23" spans="1:202" x14ac:dyDescent="0.25">
      <c r="A23">
        <v>22</v>
      </c>
      <c r="B23" s="4" t="s">
        <v>0</v>
      </c>
      <c r="C23" s="4" t="s">
        <v>65</v>
      </c>
      <c r="D23" s="4" t="s">
        <v>0</v>
      </c>
      <c r="E23" s="4" t="s">
        <v>9</v>
      </c>
      <c r="F23" s="4" t="s">
        <v>75</v>
      </c>
      <c r="G23" s="7" t="s">
        <v>72</v>
      </c>
      <c r="H23" s="7" t="s">
        <v>71</v>
      </c>
      <c r="I23" s="7">
        <v>3</v>
      </c>
      <c r="J23" s="7" t="s">
        <v>72</v>
      </c>
      <c r="K23" s="7">
        <v>1</v>
      </c>
      <c r="L23" s="4" t="s">
        <v>69</v>
      </c>
      <c r="M23" s="7" t="s">
        <v>72</v>
      </c>
      <c r="N23" s="4"/>
      <c r="O23" s="7"/>
      <c r="P23" s="4"/>
      <c r="Q23" s="8" t="str">
        <f>VLOOKUP($C23,aws_cli_commands!$C$2:$E$10000,2,FALSE)</f>
        <v>n</v>
      </c>
      <c r="R23" s="8" t="str">
        <f>VLOOKUP($C23,aws_cli_commands!$C$2:$E$10000,3,FALSE)</f>
        <v>y</v>
      </c>
      <c r="S23" s="8" t="str">
        <f>IF(OR(C23=C22,C23=C24),"y","n")</f>
        <v>y</v>
      </c>
      <c r="T23" s="8" t="str">
        <f>B23&amp;"___"&amp;SUBSTITUTE(RIGHT(C23,LEN(C23)-FIND("-",C23)),"-","_")</f>
        <v>iam___ssh_public_key</v>
      </c>
      <c r="U23" s="8" t="str">
        <f>SUBSTITUTE(D23&amp;"___"&amp;RIGHT(E23,LEN(E23)-FIND("-",E23)),"-","_")</f>
        <v>iam___ssh_public_keys</v>
      </c>
      <c r="V23" s="8" t="str">
        <f>SUBSTITUTE(RIGHT($E23,LEN($E23)-FIND("-",$E23)),"-","_")</f>
        <v>ssh_public_keys</v>
      </c>
      <c r="W23" s="8" t="str">
        <f>IF(G23="y",V23&amp;"_"&amp;LOWER(F23),IF(M23="y","**hardcoded**",LOWER(F23)))</f>
        <v>sshpublickeyid</v>
      </c>
      <c r="X23" s="8" t="str">
        <f t="shared" si="1"/>
        <v>y</v>
      </c>
      <c r="Y23" s="8">
        <f>IF(AND($C23=$C23,$M23="y"),1,0)+IF(AND($C22=$C23,$M22="y"),1,0)+IF(AND($C21=$C23,$M21="y"),1,0)+IF(AND($C20=$C23,$M20="y"),1,0)+IF(AND($C19=$C23,$M19="y"),1,0)+IF(AND($C18=$C23,$M18="y"),1,0)+IF(AND($C17=$C23,$M17="y"),1,0)+IF(AND($C16=$C23,$M16="y"),1,0)+IF(AND($C15=$C23,$M15="y"),1,0)</f>
        <v>1</v>
      </c>
      <c r="Z23" s="8">
        <f>IF(AND($C23=$C23,$M23="y"),1,0)+IF(AND($C23=$C24,$M24="y"),1,0)+IF(AND($C23=$C25,$M25="y"),1,0)+IF(AND($C23=$C26,$M26="y"),1,0)+IF(AND($C23=$C27,$M27="y"),1,0)+IF(AND($C23=$C28,$M28="y"),1,0)+IF(AND($C23=$C29,$M29="y"),1,0)+IF(AND($C23=$C30,$M30="y"),1,0)+IF(AND($C23=$C31,$M31="y"),1,0)</f>
        <v>0</v>
      </c>
      <c r="AA23" s="8" t="s">
        <v>127</v>
      </c>
      <c r="AB23" s="9" t="str">
        <f>IF(AND($H23="y",$C23&lt;&gt;$C22),B23&amp;" "&amp;AC23&amp;AD23&amp;AE23&amp;AF23&amp;AG23&amp;AH23&amp;AI23&amp;AJ23&amp;AK23,IF(H23="n",B23&amp;" "&amp;AC23&amp;AD23&amp;AE23&amp;AF23&amp;AG23&amp;AH23&amp;AI23&amp;AJ23&amp;AK23,""))</f>
        <v/>
      </c>
      <c r="AC23" s="8" t="str">
        <f t="shared" si="2"/>
        <v>get-ssh-public-key</v>
      </c>
      <c r="AD23" s="8" t="str">
        <f>IF($I23&gt;=1," "&amp;$L23,"")</f>
        <v xml:space="preserve"> --ssh-public-key-id</v>
      </c>
      <c r="AE23" s="8" t="str">
        <f>IF($I23&gt;=2," "&amp;$L24,"")</f>
        <v xml:space="preserve"> --user-name</v>
      </c>
      <c r="AF23" s="8" t="str">
        <f>IF($I23&gt;=3," "&amp;$L25,"")</f>
        <v xml:space="preserve"> --user-name</v>
      </c>
      <c r="AG23" s="8" t="str">
        <f>IF($I23&gt;=4," "&amp;$L26,"")</f>
        <v/>
      </c>
      <c r="AH23" s="8" t="str">
        <f>IF($I23&gt;=5," "&amp;$L27,"")</f>
        <v/>
      </c>
      <c r="AI23" s="8" t="str">
        <f>IF($I23&gt;=6," "&amp;$L28,"")</f>
        <v/>
      </c>
      <c r="AJ23" s="8" t="str">
        <f>IF($I23&gt;=7," "&amp;$L29,"")</f>
        <v/>
      </c>
      <c r="AK23" s="8" t="str">
        <f>IF($I23&gt;=8," "&amp;$L30,"")</f>
        <v/>
      </c>
      <c r="AL23" s="8" t="str">
        <f>U23</f>
        <v>iam___ssh_public_keys</v>
      </c>
      <c r="AM23" s="8" t="str">
        <f>IF($I23&gt;=2,$U24,"")</f>
        <v>iam___ssh_public_keys</v>
      </c>
      <c r="AN23" s="8" t="str">
        <f>IF($I23&gt;=3,$U25,"")</f>
        <v>iam___users</v>
      </c>
      <c r="AO23" s="8" t="str">
        <f>IF(I23&gt;=4,$U26,"")</f>
        <v/>
      </c>
      <c r="AP23" s="8" t="str">
        <f>IF($I23&gt;=5,$U27,"")</f>
        <v/>
      </c>
      <c r="AQ23" s="8" t="str">
        <f>IF($I23&gt;=6,$U28,"")</f>
        <v/>
      </c>
      <c r="AR23" s="8" t="str">
        <f>IF($I23&gt;=7,$U29,"")</f>
        <v/>
      </c>
      <c r="AS23" s="8" t="str">
        <f>IF(I23&gt;=8,$U30,"")</f>
        <v/>
      </c>
      <c r="AT23" s="8" t="str">
        <f>F23</f>
        <v>SSHPublicKeyId</v>
      </c>
      <c r="AU23" s="8" t="str">
        <f>IF($I23&gt;=2,$F24,"")</f>
        <v>UserName</v>
      </c>
      <c r="AV23" s="8" t="str">
        <f>IF($I23&gt;=3,$F25,"")</f>
        <v>UserName</v>
      </c>
      <c r="AW23" s="8" t="str">
        <f>IF($I23&gt;=4,$F26,"")</f>
        <v/>
      </c>
      <c r="AX23" s="8" t="str">
        <f>IF($I23&gt;=5,$F27,"")</f>
        <v/>
      </c>
      <c r="AY23" s="8" t="str">
        <f>IF($I23&gt;=6,$F28,"")</f>
        <v/>
      </c>
      <c r="AZ23" s="8" t="str">
        <f>IF($I23&gt;=7,$F29,"")</f>
        <v/>
      </c>
      <c r="BA23" s="8" t="str">
        <f>IF($I23&gt;=8,$F30,"")</f>
        <v/>
      </c>
      <c r="BB23" s="9" t="str">
        <f>IF(OR(R23&lt;&gt;"y",I23&lt;&gt;1),"","SELECT aws_command::text || ' ' || command_parameter::text AS aws_command_string, parameter_source_table, parameter_source_key FROM (SELECT  "&amp;"'"&amp;AB23&amp;"'"&amp;" AS aws_command,"&amp;U23&amp;"."&amp;V23&amp;" -&gt;&gt; "&amp;"'"&amp;F23&amp;"'"&amp;" AS command_parameter, "&amp;"'"&amp;AL23&amp;"'"&amp;" AS parameter_source_table, "&amp;"'"&amp;AT23&amp;"'"&amp;" AS parameter_source_key FROM "&amp;U23&amp;") AS f")</f>
        <v/>
      </c>
      <c r="BC23" s="9" t="str">
        <f>IF(AND(H23="y",H22&lt;&gt;"y"),BE23&amp;BF23&amp;BG23&amp;BR23&amp;CC23,"")</f>
        <v/>
      </c>
      <c r="BD23" s="8" t="str">
        <f>"/* recursive command: "&amp;C23&amp;" */ DROP TABLE IF EXISTS "&amp;T23&amp;"; CREATE TABLE "&amp;T23&amp;"(  id SERIAL PRIMARY KEY, "&amp;F23&amp;" TEXT); SELECT "&amp;U23&amp;"."&amp;V23&amp;" -&gt;&gt; '"&amp;F23&amp;"' AS "&amp;V23&amp;" FROM "&amp;U23&amp;" ;"</f>
        <v>/* recursive command: get-ssh-public-key */ DROP TABLE IF EXISTS iam___ssh_public_key; CREATE TABLE iam___ssh_public_key(  id SERIAL PRIMARY KEY, SSHPublicKeyId TEXT); SELECT iam___ssh_public_keys.ssh_public_keys -&gt;&gt; 'SSHPublicKeyId' AS ssh_public_keys FROM iam___ssh_public_keys ;</v>
      </c>
      <c r="BE23" s="8" t="str">
        <f t="shared" si="3"/>
        <v xml:space="preserve">/* recursive command multi: get-ssh-public-key */ </v>
      </c>
      <c r="BF23" s="8" t="str">
        <f t="shared" si="4"/>
        <v xml:space="preserve">DROP TABLE IF EXISTS iam___ssh_public_key; </v>
      </c>
      <c r="BG23" s="8" t="str">
        <f t="shared" si="5"/>
        <v>CREATE TABLE iam___ssh_public_key(  id SERIAL PRIMARY KEY, sshpublickeyid TEXT, username TEXT, username TEXT );</v>
      </c>
      <c r="BH23" s="8" t="str">
        <f t="shared" si="6"/>
        <v xml:space="preserve">CREATE TABLE iam___ssh_public_key(  id SERIAL PRIMARY KEY, </v>
      </c>
      <c r="BI23" s="8" t="str">
        <f>IF($I23&gt;=1,$W23&amp;" TEXT","")</f>
        <v>sshpublickeyid TEXT</v>
      </c>
      <c r="BJ23" s="8" t="str">
        <f>IF($I23&gt;=2,", "&amp;$W24&amp;" TEXT","")</f>
        <v>, username TEXT</v>
      </c>
      <c r="BK23" s="8" t="str">
        <f>IF($I23&gt;=3,", "&amp;$W25&amp;" TEXT","")</f>
        <v>, username TEXT</v>
      </c>
      <c r="BL23" s="8" t="str">
        <f>IF($I23&gt;=4,", "&amp;$W26&amp;" TEXT","")</f>
        <v/>
      </c>
      <c r="BM23" s="8" t="str">
        <f>IF($I23&gt;=5,", "&amp;$W27&amp;" TEXT","")</f>
        <v/>
      </c>
      <c r="BN23" s="8" t="str">
        <f>IF($I23&gt;=6,", "&amp;$W28&amp;" TEXT","")</f>
        <v/>
      </c>
      <c r="BO23" s="8" t="str">
        <f>IF($I23&gt;=7,", "&amp;$W29&amp;" TEXT","")</f>
        <v/>
      </c>
      <c r="BP23" s="8" t="str">
        <f>IF($I23&gt;=8,", "&amp;$W30&amp;" TEXT","")</f>
        <v/>
      </c>
      <c r="BQ23" s="8" t="str">
        <f t="shared" si="7"/>
        <v xml:space="preserve"> );</v>
      </c>
      <c r="BR23" s="9" t="str">
        <f t="shared" si="8"/>
        <v xml:space="preserve"> INSERT INTO iam___ssh_public_key(sshpublickeyid, username, username)</v>
      </c>
      <c r="BS23" s="9" t="str">
        <f t="shared" si="9"/>
        <v xml:space="preserve"> INSERT INTO iam___ssh_public_key(</v>
      </c>
      <c r="BT23" s="9" t="str">
        <f>IF($I23&gt;=1,$W23,"")</f>
        <v>sshpublickeyid</v>
      </c>
      <c r="BU23" s="9" t="str">
        <f>IF($I23&gt;=2,", "&amp;$W24,"")</f>
        <v>, username</v>
      </c>
      <c r="BV23" s="9" t="str">
        <f>IF($I23&gt;=3,", "&amp;$W25,"")</f>
        <v>, username</v>
      </c>
      <c r="BW23" s="9" t="str">
        <f>IF($I23&gt;=4,", "&amp;$W26,"")</f>
        <v/>
      </c>
      <c r="BX23" s="9" t="str">
        <f>IF($I23&gt;=5,", "&amp;$W27,"")</f>
        <v/>
      </c>
      <c r="BY23" s="9" t="str">
        <f>IF($I23&gt;=6,", "&amp;$W28,"")</f>
        <v/>
      </c>
      <c r="BZ23" s="9" t="str">
        <f>IF($I23&gt;=7,", "&amp;$W29,"")</f>
        <v/>
      </c>
      <c r="CA23" s="9" t="str">
        <f>IF($I23&gt;=8,", "&amp;$W30,"")</f>
        <v/>
      </c>
      <c r="CB23" s="9" t="str">
        <f t="shared" si="10"/>
        <v>)</v>
      </c>
      <c r="CC23" s="9" t="str">
        <f t="shared" si="0"/>
        <v xml:space="preserve"> SELECT iam___ssh_public_keys.ssh_public_keys -&gt;&gt; 'SSHPublicKeyId' AS ssh_public_keys_sshpublickeyid, iam___ssh_public_keys.ssh_public_keys -&gt;&gt; 'UserName' AS ssh_public_keys_username, iam___users.users -&gt;&gt; 'UserName' AS users_username FROM iam___ssh_public_keys INNER JOIN iam___ssh_public_keys USING (iam___ssh_public_key.sshpublickeyid, iam___ssh_public_keys.ssh_public_keys -&gt;&gt; 'SSHPublicKeyId') INNER JOIN iam___ssh_public_keys USING (iam___ssh_public_key.username, iam___ssh_public_keys.ssh_public_keys -&gt;&gt; 'UserName') ;</v>
      </c>
      <c r="CD23" s="8" t="str">
        <f>" SELECT "&amp;$U23&amp;"."&amp;$V23&amp;" -&gt;&gt; '"&amp;$F23&amp;"' AS "&amp;$V23&amp;"_"&amp;LOWER(F23)</f>
        <v xml:space="preserve"> SELECT iam___ssh_public_keys.ssh_public_keys -&gt;&gt; 'SSHPublicKeyId' AS ssh_public_keys_sshpublickeyid</v>
      </c>
      <c r="CE23" s="8" t="str">
        <f>IF($I23&gt;=2,", "&amp;$U24&amp;"."&amp;$V24&amp;" -&gt;&gt; '"&amp;$F24&amp;"' AS "&amp;$V24&amp;"_"&amp;LOWER(F24),"")</f>
        <v>, iam___ssh_public_keys.ssh_public_keys -&gt;&gt; 'UserName' AS ssh_public_keys_username</v>
      </c>
      <c r="CF23" s="8" t="str">
        <f>IF($I23&gt;=3,", "&amp;$U25&amp;"."&amp;$V25&amp;" -&gt;&gt; '"&amp;$F25&amp;"' AS "&amp;$V25&amp;"_"&amp;LOWER(F25),"")</f>
        <v>, iam___users.users -&gt;&gt; 'UserName' AS users_username</v>
      </c>
      <c r="CG23" s="8" t="str">
        <f>IF($I23&gt;=4,", "&amp;$U26&amp;"."&amp;$V26&amp;" -&gt;&gt; '"&amp;$F26&amp;"' AS "&amp;$V26&amp;"_"&amp;LOWER(F26),"")</f>
        <v/>
      </c>
      <c r="CH23" s="8" t="str">
        <f>IF($I23&gt;=5,", "&amp;$U27&amp;"."&amp;$V27&amp;" -&gt;&gt; '"&amp;$F27&amp;"' AS "&amp;$V27&amp;"_"&amp;LOWER(F27),"")</f>
        <v/>
      </c>
      <c r="CI23" s="8" t="str">
        <f>IF($I23&gt;=6,", "&amp;$U28&amp;"."&amp;$V28&amp;" -&gt;&gt; '"&amp;$F28&amp;"' AS "&amp;$V28&amp;"_"&amp;LOWER(F28),"")</f>
        <v/>
      </c>
      <c r="CJ23" s="8" t="str">
        <f>IF($I23&gt;=7,", "&amp;$U29&amp;"."&amp;$V29&amp;" -&gt;&gt; '"&amp;$F29&amp;"' AS "&amp;$V29&amp;"_"&amp;LOWER(F29),"")</f>
        <v/>
      </c>
      <c r="CK23" s="8" t="str">
        <f>IF($I23&gt;=8,", "&amp;$U30&amp;"."&amp;$V30&amp;" -&gt;&gt; '"&amp;$F30&amp;"' AS "&amp;$V30&amp;"_"&amp;LOWER(F30),"")</f>
        <v/>
      </c>
      <c r="CL23" s="8" t="str">
        <f>IF($I23&gt;=1," FROM "&amp;$U23,"")</f>
        <v xml:space="preserve"> FROM iam___ssh_public_keys</v>
      </c>
      <c r="CM23" s="9" t="str">
        <f>IF($I23&gt;=2," "&amp;$AA23&amp;" JOIN "&amp;$U23&amp;" USING ("&amp;$T23&amp;"."&amp;$W23&amp;", "&amp;$U23&amp;"."&amp;$V23&amp;" -&gt;&gt; '"&amp;$F23&amp;"')","")</f>
        <v xml:space="preserve"> INNER JOIN iam___ssh_public_keys USING (iam___ssh_public_key.sshpublickeyid, iam___ssh_public_keys.ssh_public_keys -&gt;&gt; 'SSHPublicKeyId')</v>
      </c>
      <c r="CN23" s="9" t="str">
        <f>IF($I23&gt;=3," "&amp;$AA24&amp;" JOIN "&amp;$U24&amp;" USING ("&amp;$T24&amp;"."&amp;$W24&amp;", "&amp;$U24&amp;"."&amp;$V24&amp;" -&gt;&gt; '"&amp;$F24&amp;"')","")</f>
        <v xml:space="preserve"> INNER JOIN iam___ssh_public_keys USING (iam___ssh_public_key.username, iam___ssh_public_keys.ssh_public_keys -&gt;&gt; 'UserName')</v>
      </c>
      <c r="CO23" s="9" t="str">
        <f>IF($I23&gt;=4," "&amp;$AA25&amp;" JOIN "&amp;$U25&amp;" USING ("&amp;$T25&amp;"."&amp;$W25&amp;", "&amp;$U25&amp;"."&amp;$V25&amp;" -&gt;&gt; '"&amp;$F25&amp;"')","")</f>
        <v/>
      </c>
      <c r="CP23" s="9" t="str">
        <f>IF($I23&gt;=5," "&amp;$AA26&amp;" JOIN "&amp;$U26&amp;" USING ("&amp;$T26&amp;"."&amp;$W26&amp;", "&amp;$U26&amp;"."&amp;$V26&amp;" -&gt;&gt; '"&amp;$F26&amp;"')","")</f>
        <v/>
      </c>
      <c r="CQ23" s="9" t="str">
        <f>IF($I23&gt;=6," "&amp;$AA27&amp;" JOIN "&amp;$U27&amp;" USING ("&amp;$T27&amp;"."&amp;$W27&amp;", "&amp;$U27&amp;"."&amp;$V27&amp;" -&gt;&gt; '"&amp;$F27&amp;"')","")</f>
        <v/>
      </c>
      <c r="CR23" s="8" t="str">
        <f>IF($I23&gt;=7," "&amp;$AA28&amp;" JOIN "&amp;$U28&amp;" USING ("&amp;$T28&amp;"."&amp;$W28&amp;", "&amp;$U28&amp;"."&amp;$V28&amp;" -&gt;&gt; '"&amp;$F28&amp;"')","")</f>
        <v/>
      </c>
      <c r="CS23" s="8" t="str">
        <f>IF($I23&gt;=8," "&amp;$AA29&amp;" JOIN "&amp;$U29&amp;" USING ("&amp;$T29&amp;"."&amp;$W29&amp;", "&amp;$U29&amp;"."&amp;$V29&amp;" -&gt;&gt; '"&amp;$F29&amp;"')","")</f>
        <v/>
      </c>
      <c r="CT23" s="8" t="str">
        <f t="shared" si="11"/>
        <v xml:space="preserve"> ;</v>
      </c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</row>
    <row r="24" spans="1:202" x14ac:dyDescent="0.25">
      <c r="A24">
        <v>23</v>
      </c>
      <c r="B24" s="4" t="s">
        <v>0</v>
      </c>
      <c r="C24" s="4" t="s">
        <v>65</v>
      </c>
      <c r="D24" s="4" t="s">
        <v>0</v>
      </c>
      <c r="E24" s="4" t="s">
        <v>9</v>
      </c>
      <c r="F24" s="4" t="s">
        <v>51</v>
      </c>
      <c r="G24" s="7" t="s">
        <v>72</v>
      </c>
      <c r="H24" s="7" t="s">
        <v>71</v>
      </c>
      <c r="I24" s="7">
        <v>3</v>
      </c>
      <c r="J24" s="7" t="s">
        <v>72</v>
      </c>
      <c r="K24" s="7">
        <v>1</v>
      </c>
      <c r="L24" s="4" t="s">
        <v>50</v>
      </c>
      <c r="M24" s="7" t="s">
        <v>72</v>
      </c>
      <c r="N24" s="4"/>
      <c r="O24" s="7"/>
      <c r="P24" s="4"/>
      <c r="Q24" s="8" t="str">
        <f>VLOOKUP($C24,aws_cli_commands!$C$2:$E$10000,2,FALSE)</f>
        <v>n</v>
      </c>
      <c r="R24" s="8" t="str">
        <f>VLOOKUP($C24,aws_cli_commands!$C$2:$E$10000,3,FALSE)</f>
        <v>y</v>
      </c>
      <c r="S24" s="8" t="str">
        <f>IF(OR(C24=C23,C24=C25),"y","n")</f>
        <v>y</v>
      </c>
      <c r="T24" s="8" t="str">
        <f>B24&amp;"___"&amp;SUBSTITUTE(RIGHT(C24,LEN(C24)-FIND("-",C24)),"-","_")</f>
        <v>iam___ssh_public_key</v>
      </c>
      <c r="U24" s="8" t="str">
        <f>SUBSTITUTE(D24&amp;"___"&amp;RIGHT(E24,LEN(E24)-FIND("-",E24)),"-","_")</f>
        <v>iam___ssh_public_keys</v>
      </c>
      <c r="V24" s="8" t="str">
        <f>SUBSTITUTE(RIGHT($E24,LEN($E24)-FIND("-",$E24)),"-","_")</f>
        <v>ssh_public_keys</v>
      </c>
      <c r="W24" s="8" t="str">
        <f>IF(G24="y",V24&amp;"_"&amp;LOWER(F24),IF(M24="y","**hardcoded**",LOWER(F24)))</f>
        <v>username</v>
      </c>
      <c r="X24" s="8" t="str">
        <f t="shared" si="1"/>
        <v>y</v>
      </c>
      <c r="Y24" s="8">
        <f>IF(AND($C24=$C24,$M24="y"),1,0)+IF(AND($C23=$C24,$M23="y"),1,0)+IF(AND($C22=$C24,$M22="y"),1,0)+IF(AND($C21=$C24,$M21="y"),1,0)+IF(AND($C20=$C24,$M20="y"),1,0)+IF(AND($C19=$C24,$M19="y"),1,0)+IF(AND($C18=$C24,$M18="y"),1,0)+IF(AND($C17=$C24,$M17="y"),1,0)+IF(AND($C16=$C24,$M16="y"),1,0)</f>
        <v>1</v>
      </c>
      <c r="Z24" s="8">
        <f>IF(AND($C24=$C24,$M24="y"),1,0)+IF(AND($C24=$C25,$M25="y"),1,0)+IF(AND($C24=$C26,$M26="y"),1,0)+IF(AND($C24=$C27,$M27="y"),1,0)+IF(AND($C24=$C28,$M28="y"),1,0)+IF(AND($C24=$C29,$M29="y"),1,0)+IF(AND($C24=$C30,$M30="y"),1,0)+IF(AND($C24=$C31,$M31="y"),1,0)+IF(AND($C24=$C32,$M32="y"),1,0)</f>
        <v>0</v>
      </c>
      <c r="AA24" s="8" t="s">
        <v>127</v>
      </c>
      <c r="AB24" s="9" t="str">
        <f>IF(AND($H24="y",$C24&lt;&gt;$C23),B24&amp;" "&amp;AC24&amp;AD24&amp;AE24&amp;AF24&amp;AG24&amp;AH24&amp;AI24&amp;AJ24&amp;AK24,IF(H24="n",B24&amp;" "&amp;AC24&amp;AD24&amp;AE24&amp;AF24&amp;AG24&amp;AH24&amp;AI24&amp;AJ24&amp;AK24,""))</f>
        <v/>
      </c>
      <c r="AC24" s="8" t="str">
        <f t="shared" si="2"/>
        <v>get-ssh-public-key</v>
      </c>
      <c r="AD24" s="8" t="str">
        <f>IF($I24&gt;=1," "&amp;$L24,"")</f>
        <v xml:space="preserve"> --user-name</v>
      </c>
      <c r="AE24" s="8" t="str">
        <f>IF($I24&gt;=2," "&amp;$L25,"")</f>
        <v xml:space="preserve"> --user-name</v>
      </c>
      <c r="AF24" s="8" t="str">
        <f>IF($I24&gt;=3," "&amp;$L26,"")</f>
        <v xml:space="preserve"> --policy-name</v>
      </c>
      <c r="AG24" s="8" t="str">
        <f>IF($I24&gt;=4," "&amp;$L27,"")</f>
        <v/>
      </c>
      <c r="AH24" s="8" t="str">
        <f>IF($I24&gt;=5," "&amp;$L28,"")</f>
        <v/>
      </c>
      <c r="AI24" s="8" t="str">
        <f>IF($I24&gt;=6," "&amp;$L29,"")</f>
        <v/>
      </c>
      <c r="AJ24" s="8" t="str">
        <f>IF($I24&gt;=7," "&amp;$L30,"")</f>
        <v/>
      </c>
      <c r="AK24" s="8" t="str">
        <f>IF($I24&gt;=8," "&amp;$L31,"")</f>
        <v/>
      </c>
      <c r="AL24" s="8" t="str">
        <f>U24</f>
        <v>iam___ssh_public_keys</v>
      </c>
      <c r="AM24" s="8" t="str">
        <f>IF($I24&gt;=2,$U25,"")</f>
        <v>iam___users</v>
      </c>
      <c r="AN24" s="8" t="str">
        <f>IF($I24&gt;=3,$U26,"")</f>
        <v>iam___user_policies</v>
      </c>
      <c r="AO24" s="8" t="str">
        <f>IF(I24&gt;=4,$U27,"")</f>
        <v/>
      </c>
      <c r="AP24" s="8" t="str">
        <f>IF($I24&gt;=5,$U28,"")</f>
        <v/>
      </c>
      <c r="AQ24" s="8" t="str">
        <f>IF($I24&gt;=6,$U29,"")</f>
        <v/>
      </c>
      <c r="AR24" s="8" t="str">
        <f>IF($I24&gt;=7,$U30,"")</f>
        <v/>
      </c>
      <c r="AS24" s="8" t="str">
        <f>IF(I24&gt;=8,$U31,"")</f>
        <v/>
      </c>
      <c r="AT24" s="8" t="str">
        <f>F24</f>
        <v>UserName</v>
      </c>
      <c r="AU24" s="8" t="str">
        <f>IF($I24&gt;=2,$F25,"")</f>
        <v>UserName</v>
      </c>
      <c r="AV24" s="8" t="str">
        <f>IF($I24&gt;=3,$F26,"")</f>
        <v>PolicyNames</v>
      </c>
      <c r="AW24" s="8" t="str">
        <f>IF($I24&gt;=4,$F27,"")</f>
        <v/>
      </c>
      <c r="AX24" s="8" t="str">
        <f>IF($I24&gt;=5,$F28,"")</f>
        <v/>
      </c>
      <c r="AY24" s="8" t="str">
        <f>IF($I24&gt;=6,$F29,"")</f>
        <v/>
      </c>
      <c r="AZ24" s="8" t="str">
        <f>IF($I24&gt;=7,$F30,"")</f>
        <v/>
      </c>
      <c r="BA24" s="8" t="str">
        <f>IF($I24&gt;=8,$F31,"")</f>
        <v/>
      </c>
      <c r="BB24" s="9" t="str">
        <f>IF(OR(R24&lt;&gt;"y",I24&lt;&gt;1),"","SELECT aws_command::text || ' ' || command_parameter::text AS aws_command_string, parameter_source_table, parameter_source_key FROM (SELECT  "&amp;"'"&amp;AB24&amp;"'"&amp;" AS aws_command,"&amp;U24&amp;"."&amp;V24&amp;" -&gt;&gt; "&amp;"'"&amp;F24&amp;"'"&amp;" AS command_parameter, "&amp;"'"&amp;AL24&amp;"'"&amp;" AS parameter_source_table, "&amp;"'"&amp;AT24&amp;"'"&amp;" AS parameter_source_key FROM "&amp;U24&amp;") AS f")</f>
        <v/>
      </c>
      <c r="BC24" s="9" t="str">
        <f>IF(AND(H24="y",H23&lt;&gt;"y"),BE24&amp;BF24&amp;BG24&amp;BR24&amp;CC24,"")</f>
        <v/>
      </c>
      <c r="BD24" s="8" t="str">
        <f>"/* recursive command: "&amp;C24&amp;" */ DROP TABLE IF EXISTS "&amp;T24&amp;"; CREATE TABLE "&amp;T24&amp;"(  id SERIAL PRIMARY KEY, "&amp;F24&amp;" TEXT); SELECT "&amp;U24&amp;"."&amp;V24&amp;" -&gt;&gt; '"&amp;F24&amp;"' AS "&amp;V24&amp;" FROM "&amp;U24&amp;" ;"</f>
        <v>/* recursive command: get-ssh-public-key */ DROP TABLE IF EXISTS iam___ssh_public_key; CREATE TABLE iam___ssh_public_key(  id SERIAL PRIMARY KEY, UserName TEXT); SELECT iam___ssh_public_keys.ssh_public_keys -&gt;&gt; 'UserName' AS ssh_public_keys FROM iam___ssh_public_keys ;</v>
      </c>
      <c r="BE24" s="8" t="str">
        <f t="shared" si="3"/>
        <v xml:space="preserve">/* recursive command multi: get-ssh-public-key */ </v>
      </c>
      <c r="BF24" s="8" t="str">
        <f t="shared" si="4"/>
        <v xml:space="preserve">DROP TABLE IF EXISTS iam___ssh_public_key; </v>
      </c>
      <c r="BG24" s="8" t="str">
        <f t="shared" si="5"/>
        <v>CREATE TABLE iam___ssh_public_key(  id SERIAL PRIMARY KEY, username TEXT, username TEXT, user_policies_policynames TEXT );</v>
      </c>
      <c r="BH24" s="8" t="str">
        <f t="shared" si="6"/>
        <v xml:space="preserve">CREATE TABLE iam___ssh_public_key(  id SERIAL PRIMARY KEY, </v>
      </c>
      <c r="BI24" s="8" t="str">
        <f>IF($I24&gt;=1,$W24&amp;" TEXT","")</f>
        <v>username TEXT</v>
      </c>
      <c r="BJ24" s="8" t="str">
        <f>IF($I24&gt;=2,", "&amp;$W25&amp;" TEXT","")</f>
        <v>, username TEXT</v>
      </c>
      <c r="BK24" s="8" t="str">
        <f>IF($I24&gt;=3,", "&amp;$W26&amp;" TEXT","")</f>
        <v>, user_policies_policynames TEXT</v>
      </c>
      <c r="BL24" s="8" t="str">
        <f>IF($I24&gt;=4,", "&amp;$W27&amp;" TEXT","")</f>
        <v/>
      </c>
      <c r="BM24" s="8" t="str">
        <f>IF($I24&gt;=5,", "&amp;$W28&amp;" TEXT","")</f>
        <v/>
      </c>
      <c r="BN24" s="8" t="str">
        <f>IF($I24&gt;=6,", "&amp;$W29&amp;" TEXT","")</f>
        <v/>
      </c>
      <c r="BO24" s="8" t="str">
        <f>IF($I24&gt;=7,", "&amp;$W30&amp;" TEXT","")</f>
        <v/>
      </c>
      <c r="BP24" s="8" t="str">
        <f>IF($I24&gt;=8,", "&amp;$W31&amp;" TEXT","")</f>
        <v/>
      </c>
      <c r="BQ24" s="8" t="str">
        <f t="shared" si="7"/>
        <v xml:space="preserve"> );</v>
      </c>
      <c r="BR24" s="9" t="str">
        <f t="shared" si="8"/>
        <v xml:space="preserve"> INSERT INTO iam___ssh_public_key(username, username, user_policies_policynames)</v>
      </c>
      <c r="BS24" s="9" t="str">
        <f t="shared" si="9"/>
        <v xml:space="preserve"> INSERT INTO iam___ssh_public_key(</v>
      </c>
      <c r="BT24" s="9" t="str">
        <f>IF($I24&gt;=1,$W24,"")</f>
        <v>username</v>
      </c>
      <c r="BU24" s="9" t="str">
        <f>IF($I24&gt;=2,", "&amp;$W25,"")</f>
        <v>, username</v>
      </c>
      <c r="BV24" s="9" t="str">
        <f>IF($I24&gt;=3,", "&amp;$W26,"")</f>
        <v>, user_policies_policynames</v>
      </c>
      <c r="BW24" s="9" t="str">
        <f>IF($I24&gt;=4,", "&amp;$W27,"")</f>
        <v/>
      </c>
      <c r="BX24" s="9" t="str">
        <f>IF($I24&gt;=5,", "&amp;$W28,"")</f>
        <v/>
      </c>
      <c r="BY24" s="9" t="str">
        <f>IF($I24&gt;=6,", "&amp;$W29,"")</f>
        <v/>
      </c>
      <c r="BZ24" s="9" t="str">
        <f>IF($I24&gt;=7,", "&amp;$W30,"")</f>
        <v/>
      </c>
      <c r="CA24" s="9" t="str">
        <f>IF($I24&gt;=8,", "&amp;$W31,"")</f>
        <v/>
      </c>
      <c r="CB24" s="9" t="str">
        <f t="shared" si="10"/>
        <v>)</v>
      </c>
      <c r="CC24" s="9" t="str">
        <f t="shared" si="0"/>
        <v xml:space="preserve"> SELECT iam___ssh_public_keys.ssh_public_keys -&gt;&gt; 'UserName' AS ssh_public_keys_username, iam___users.users -&gt;&gt; 'UserName' AS users_username, iam___user_policies.user_policies -&gt;&gt; 'PolicyNames' AS user_policies_policynames FROM iam___ssh_public_keys INNER JOIN iam___ssh_public_keys USING (iam___ssh_public_key.username, iam___ssh_public_keys.ssh_public_keys -&gt;&gt; 'UserName') INNER JOIN iam___users USING (iam___user.username, iam___users.users -&gt;&gt; 'UserName') ;</v>
      </c>
      <c r="CD24" s="8" t="str">
        <f>" SELECT "&amp;$U24&amp;"."&amp;$V24&amp;" -&gt;&gt; '"&amp;$F24&amp;"' AS "&amp;$V24&amp;"_"&amp;LOWER(F24)</f>
        <v xml:space="preserve"> SELECT iam___ssh_public_keys.ssh_public_keys -&gt;&gt; 'UserName' AS ssh_public_keys_username</v>
      </c>
      <c r="CE24" s="8" t="str">
        <f>IF($I24&gt;=2,", "&amp;$U25&amp;"."&amp;$V25&amp;" -&gt;&gt; '"&amp;$F25&amp;"' AS "&amp;$V25&amp;"_"&amp;LOWER(F25),"")</f>
        <v>, iam___users.users -&gt;&gt; 'UserName' AS users_username</v>
      </c>
      <c r="CF24" s="8" t="str">
        <f>IF($I24&gt;=3,", "&amp;$U26&amp;"."&amp;$V26&amp;" -&gt;&gt; '"&amp;$F26&amp;"' AS "&amp;$V26&amp;"_"&amp;LOWER(F26),"")</f>
        <v>, iam___user_policies.user_policies -&gt;&gt; 'PolicyNames' AS user_policies_policynames</v>
      </c>
      <c r="CG24" s="8" t="str">
        <f>IF($I24&gt;=4,", "&amp;$U27&amp;"."&amp;$V27&amp;" -&gt;&gt; '"&amp;$F27&amp;"' AS "&amp;$V27&amp;"_"&amp;LOWER(F27),"")</f>
        <v/>
      </c>
      <c r="CH24" s="8" t="str">
        <f>IF($I24&gt;=5,", "&amp;$U28&amp;"."&amp;$V28&amp;" -&gt;&gt; '"&amp;$F28&amp;"' AS "&amp;$V28&amp;"_"&amp;LOWER(F28),"")</f>
        <v/>
      </c>
      <c r="CI24" s="8" t="str">
        <f>IF($I24&gt;=6,", "&amp;$U29&amp;"."&amp;$V29&amp;" -&gt;&gt; '"&amp;$F29&amp;"' AS "&amp;$V29&amp;"_"&amp;LOWER(F29),"")</f>
        <v/>
      </c>
      <c r="CJ24" s="8" t="str">
        <f>IF($I24&gt;=7,", "&amp;$U30&amp;"."&amp;$V30&amp;" -&gt;&gt; '"&amp;$F30&amp;"' AS "&amp;$V30&amp;"_"&amp;LOWER(F30),"")</f>
        <v/>
      </c>
      <c r="CK24" s="8" t="str">
        <f>IF($I24&gt;=8,", "&amp;$U31&amp;"."&amp;$V31&amp;" -&gt;&gt; '"&amp;$F31&amp;"' AS "&amp;$V31&amp;"_"&amp;LOWER(F31),"")</f>
        <v/>
      </c>
      <c r="CL24" s="8" t="str">
        <f>IF($I24&gt;=1," FROM "&amp;$U24,"")</f>
        <v xml:space="preserve"> FROM iam___ssh_public_keys</v>
      </c>
      <c r="CM24" s="9" t="str">
        <f>IF($I24&gt;=2," "&amp;$AA24&amp;" JOIN "&amp;$U24&amp;" USING ("&amp;$T24&amp;"."&amp;$W24&amp;", "&amp;$U24&amp;"."&amp;$V24&amp;" -&gt;&gt; '"&amp;$F24&amp;"')","")</f>
        <v xml:space="preserve"> INNER JOIN iam___ssh_public_keys USING (iam___ssh_public_key.username, iam___ssh_public_keys.ssh_public_keys -&gt;&gt; 'UserName')</v>
      </c>
      <c r="CN24" s="9" t="str">
        <f>IF($I24&gt;=3," "&amp;$AA25&amp;" JOIN "&amp;$U25&amp;" USING ("&amp;$T25&amp;"."&amp;$W25&amp;", "&amp;$U25&amp;"."&amp;$V25&amp;" -&gt;&gt; '"&amp;$F25&amp;"')","")</f>
        <v xml:space="preserve"> INNER JOIN iam___users USING (iam___user.username, iam___users.users -&gt;&gt; 'UserName')</v>
      </c>
      <c r="CO24" s="9" t="str">
        <f>IF($I24&gt;=4," "&amp;$AA26&amp;" JOIN "&amp;$U26&amp;" USING ("&amp;$T26&amp;"."&amp;$W26&amp;", "&amp;$U26&amp;"."&amp;$V26&amp;" -&gt;&gt; '"&amp;$F26&amp;"')","")</f>
        <v/>
      </c>
      <c r="CP24" s="9" t="str">
        <f>IF($I24&gt;=5," "&amp;$AA27&amp;" JOIN "&amp;$U27&amp;" USING ("&amp;$T27&amp;"."&amp;$W27&amp;", "&amp;$U27&amp;"."&amp;$V27&amp;" -&gt;&gt; '"&amp;$F27&amp;"')","")</f>
        <v/>
      </c>
      <c r="CQ24" s="9" t="str">
        <f>IF($I24&gt;=6," "&amp;$AA28&amp;" JOIN "&amp;$U28&amp;" USING ("&amp;$T28&amp;"."&amp;$W28&amp;", "&amp;$U28&amp;"."&amp;$V28&amp;" -&gt;&gt; '"&amp;$F28&amp;"')","")</f>
        <v/>
      </c>
      <c r="CR24" s="8" t="str">
        <f>IF($I24&gt;=7," "&amp;$AA29&amp;" JOIN "&amp;$U29&amp;" USING ("&amp;$T29&amp;"."&amp;$W29&amp;", "&amp;$U29&amp;"."&amp;$V29&amp;" -&gt;&gt; '"&amp;$F29&amp;"')","")</f>
        <v/>
      </c>
      <c r="CS24" s="8" t="str">
        <f>IF($I24&gt;=8," "&amp;$AA30&amp;" JOIN "&amp;$U30&amp;" USING ("&amp;$T30&amp;"."&amp;$W30&amp;", "&amp;$U30&amp;"."&amp;$V30&amp;" -&gt;&gt; '"&amp;$F30&amp;"')","")</f>
        <v/>
      </c>
      <c r="CT24" s="8" t="str">
        <f t="shared" si="11"/>
        <v xml:space="preserve"> ;</v>
      </c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</row>
    <row r="25" spans="1:202" x14ac:dyDescent="0.25">
      <c r="A25">
        <v>24</v>
      </c>
      <c r="B25" s="4" t="s">
        <v>0</v>
      </c>
      <c r="C25" s="4" t="s">
        <v>55</v>
      </c>
      <c r="D25" s="4" t="s">
        <v>0</v>
      </c>
      <c r="E25" s="4" t="s">
        <v>48</v>
      </c>
      <c r="F25" s="4" t="s">
        <v>51</v>
      </c>
      <c r="G25" s="7" t="s">
        <v>72</v>
      </c>
      <c r="H25" s="7" t="s">
        <v>72</v>
      </c>
      <c r="I25" s="7">
        <v>1</v>
      </c>
      <c r="J25" s="7" t="s">
        <v>72</v>
      </c>
      <c r="K25" s="7">
        <v>1</v>
      </c>
      <c r="L25" s="4" t="s">
        <v>50</v>
      </c>
      <c r="M25" s="7" t="s">
        <v>72</v>
      </c>
      <c r="N25" s="4"/>
      <c r="O25" s="7"/>
      <c r="P25" s="4"/>
      <c r="Q25" s="8" t="str">
        <f>VLOOKUP($C25,aws_cli_commands!$C$2:$E$10000,2,FALSE)</f>
        <v>y</v>
      </c>
      <c r="R25" s="8" t="str">
        <f>VLOOKUP($C25,aws_cli_commands!$C$2:$E$10000,3,FALSE)</f>
        <v>y</v>
      </c>
      <c r="S25" s="8" t="str">
        <f>IF(OR(C25=C24,C25=C26),"y","n")</f>
        <v>n</v>
      </c>
      <c r="T25" s="8" t="str">
        <f>B25&amp;"___"&amp;SUBSTITUTE(RIGHT(C25,LEN(C25)-FIND("-",C25)),"-","_")</f>
        <v>iam___user</v>
      </c>
      <c r="U25" s="8" t="str">
        <f>SUBSTITUTE(D25&amp;"___"&amp;RIGHT(E25,LEN(E25)-FIND("-",E25)),"-","_")</f>
        <v>iam___users</v>
      </c>
      <c r="V25" s="8" t="str">
        <f>SUBSTITUTE(RIGHT($E25,LEN($E25)-FIND("-",$E25)),"-","_")</f>
        <v>users</v>
      </c>
      <c r="W25" s="8" t="str">
        <f>IF(G25="y",V25&amp;"_"&amp;LOWER(F25),IF(M25="y","**hardcoded**",LOWER(F25)))</f>
        <v>username</v>
      </c>
      <c r="X25" s="8" t="str">
        <f t="shared" si="1"/>
        <v>n</v>
      </c>
      <c r="Y25" s="8">
        <f>IF(AND($C25=$C25,$M25="y"),1,0)+IF(AND($C24=$C25,$M24="y"),1,0)+IF(AND($C23=$C25,$M23="y"),1,0)+IF(AND($C22=$C25,$M22="y"),1,0)+IF(AND($C21=$C25,$M21="y"),1,0)+IF(AND($C20=$C25,$M20="y"),1,0)+IF(AND($C19=$C25,$M19="y"),1,0)+IF(AND($C18=$C25,$M18="y"),1,0)+IF(AND($C17=$C25,$M17="y"),1,0)</f>
        <v>0</v>
      </c>
      <c r="Z25" s="8">
        <f>IF(AND($C25=$C25,$M25="y"),1,0)+IF(AND($C25=$C26,$M26="y"),1,0)+IF(AND($C25=$C27,$M27="y"),1,0)+IF(AND($C25=$C28,$M28="y"),1,0)+IF(AND($C25=$C29,$M29="y"),1,0)+IF(AND($C25=$C30,$M30="y"),1,0)+IF(AND($C25=$C31,$M31="y"),1,0)+IF(AND($C25=$C32,$M32="y"),1,0)+IF(AND($C25=$C33,$M33="y"),1,0)</f>
        <v>0</v>
      </c>
      <c r="AA25" s="8" t="s">
        <v>127</v>
      </c>
      <c r="AB25" s="9" t="str">
        <f>IF(AND($H25="y",$C25&lt;&gt;$C24),B25&amp;" "&amp;AC25&amp;AD25&amp;AE25&amp;AF25&amp;AG25&amp;AH25&amp;AI25&amp;AJ25&amp;AK25,IF(H25="n",B25&amp;" "&amp;AC25&amp;AD25&amp;AE25&amp;AF25&amp;AG25&amp;AH25&amp;AI25&amp;AJ25&amp;AK25,""))</f>
        <v>iam get-user --user-name</v>
      </c>
      <c r="AC25" s="8" t="str">
        <f t="shared" si="2"/>
        <v>get-user</v>
      </c>
      <c r="AD25" s="8" t="str">
        <f>IF($I25&gt;=1," "&amp;$L25,"")</f>
        <v xml:space="preserve"> --user-name</v>
      </c>
      <c r="AE25" s="8" t="str">
        <f>IF($I25&gt;=2," "&amp;$L26,"")</f>
        <v/>
      </c>
      <c r="AF25" s="8" t="str">
        <f>IF($I25&gt;=3," "&amp;$L27,"")</f>
        <v/>
      </c>
      <c r="AG25" s="8" t="str">
        <f>IF($I25&gt;=4," "&amp;$L28,"")</f>
        <v/>
      </c>
      <c r="AH25" s="8" t="str">
        <f>IF($I25&gt;=5," "&amp;$L29,"")</f>
        <v/>
      </c>
      <c r="AI25" s="8" t="str">
        <f>IF($I25&gt;=6," "&amp;$L30,"")</f>
        <v/>
      </c>
      <c r="AJ25" s="8" t="str">
        <f>IF($I25&gt;=7," "&amp;$L31,"")</f>
        <v/>
      </c>
      <c r="AK25" s="8" t="str">
        <f>IF($I25&gt;=8," "&amp;$L32,"")</f>
        <v/>
      </c>
      <c r="AL25" s="8" t="str">
        <f>U25</f>
        <v>iam___users</v>
      </c>
      <c r="AM25" s="8" t="str">
        <f>IF($I25&gt;=2,$U26,"")</f>
        <v/>
      </c>
      <c r="AN25" s="8" t="str">
        <f>IF($I25&gt;=3,$U27,"")</f>
        <v/>
      </c>
      <c r="AO25" s="8" t="str">
        <f>IF(I25&gt;=4,$U28,"")</f>
        <v/>
      </c>
      <c r="AP25" s="8" t="str">
        <f>IF($I25&gt;=5,$U29,"")</f>
        <v/>
      </c>
      <c r="AQ25" s="8" t="str">
        <f>IF($I25&gt;=6,$U30,"")</f>
        <v/>
      </c>
      <c r="AR25" s="8" t="str">
        <f>IF($I25&gt;=7,$U31,"")</f>
        <v/>
      </c>
      <c r="AS25" s="8" t="str">
        <f>IF(I25&gt;=8,$U32,"")</f>
        <v/>
      </c>
      <c r="AT25" s="8" t="str">
        <f>F25</f>
        <v>UserName</v>
      </c>
      <c r="AU25" s="8" t="str">
        <f>IF($I25&gt;=2,$F26,"")</f>
        <v/>
      </c>
      <c r="AV25" s="8" t="str">
        <f>IF($I25&gt;=3,$F27,"")</f>
        <v/>
      </c>
      <c r="AW25" s="8" t="str">
        <f>IF($I25&gt;=4,$F28,"")</f>
        <v/>
      </c>
      <c r="AX25" s="8" t="str">
        <f>IF($I25&gt;=5,$F29,"")</f>
        <v/>
      </c>
      <c r="AY25" s="8" t="str">
        <f>IF($I25&gt;=6,$F30,"")</f>
        <v/>
      </c>
      <c r="AZ25" s="8" t="str">
        <f>IF($I25&gt;=7,$F31,"")</f>
        <v/>
      </c>
      <c r="BA25" s="8" t="str">
        <f>IF($I25&gt;=8,$F32,"")</f>
        <v/>
      </c>
      <c r="BB25" s="9" t="str">
        <f>IF(OR(R25&lt;&gt;"y",I25&lt;&gt;1),"","SELECT aws_command::text || ' ' || command_parameter::text AS aws_command_string, parameter_source_table, parameter_source_key FROM (SELECT  "&amp;"'"&amp;AB25&amp;"'"&amp;" AS aws_command,"&amp;U25&amp;"."&amp;V25&amp;" -&gt;&gt; "&amp;"'"&amp;F25&amp;"'"&amp;" AS command_parameter, "&amp;"'"&amp;AL25&amp;"'"&amp;" AS parameter_source_table, "&amp;"'"&amp;AT25&amp;"'"&amp;" AS parameter_source_key FROM "&amp;U25&amp;") AS f")</f>
        <v>SELECT aws_command::text || ' ' || command_parameter::text AS aws_command_string, parameter_source_table, parameter_source_key FROM (SELECT  'iam get-user --user-name' AS aws_command,iam___users.users -&gt;&gt; 'UserName' AS command_parameter, 'iam___users' AS parameter_source_table, 'UserName' AS parameter_source_key FROM iam___users) AS f</v>
      </c>
      <c r="BC25" s="9" t="str">
        <f>IF(AND(H25="y",H24&lt;&gt;"y"),BE25&amp;BF25&amp;BG25&amp;BR25&amp;CC25,"")</f>
        <v/>
      </c>
      <c r="BD25" s="8" t="str">
        <f>"/* recursive command: "&amp;C25&amp;" */ DROP TABLE IF EXISTS "&amp;T25&amp;"; CREATE TABLE "&amp;T25&amp;"(  id SERIAL PRIMARY KEY, "&amp;F25&amp;" TEXT); SELECT "&amp;U25&amp;"."&amp;V25&amp;" -&gt;&gt; '"&amp;F25&amp;"' AS "&amp;V25&amp;" FROM "&amp;U25&amp;" ;"</f>
        <v>/* recursive command: get-user */ DROP TABLE IF EXISTS iam___user; CREATE TABLE iam___user(  id SERIAL PRIMARY KEY, UserName TEXT); SELECT iam___users.users -&gt;&gt; 'UserName' AS users FROM iam___users ;</v>
      </c>
      <c r="BE25" s="8" t="str">
        <f t="shared" si="3"/>
        <v xml:space="preserve">/* recursive command multi: get-user */ </v>
      </c>
      <c r="BF25" s="8" t="str">
        <f t="shared" si="4"/>
        <v xml:space="preserve">DROP TABLE IF EXISTS iam___user; </v>
      </c>
      <c r="BG25" s="8" t="str">
        <f t="shared" si="5"/>
        <v>CREATE TABLE iam___user(  id SERIAL PRIMARY KEY, username TEXT );</v>
      </c>
      <c r="BH25" s="8" t="str">
        <f t="shared" si="6"/>
        <v xml:space="preserve">CREATE TABLE iam___user(  id SERIAL PRIMARY KEY, </v>
      </c>
      <c r="BI25" s="8" t="str">
        <f>IF($I25&gt;=1,$W25&amp;" TEXT","")</f>
        <v>username TEXT</v>
      </c>
      <c r="BJ25" s="8" t="str">
        <f>IF($I25&gt;=2,", "&amp;$W26&amp;" TEXT","")</f>
        <v/>
      </c>
      <c r="BK25" s="8" t="str">
        <f>IF($I25&gt;=3,", "&amp;$W27&amp;" TEXT","")</f>
        <v/>
      </c>
      <c r="BL25" s="8" t="str">
        <f>IF($I25&gt;=4,", "&amp;$W28&amp;" TEXT","")</f>
        <v/>
      </c>
      <c r="BM25" s="8" t="str">
        <f>IF($I25&gt;=5,", "&amp;$W29&amp;" TEXT","")</f>
        <v/>
      </c>
      <c r="BN25" s="8" t="str">
        <f>IF($I25&gt;=6,", "&amp;$W30&amp;" TEXT","")</f>
        <v/>
      </c>
      <c r="BO25" s="8" t="str">
        <f>IF($I25&gt;=7,", "&amp;$W31&amp;" TEXT","")</f>
        <v/>
      </c>
      <c r="BP25" s="8" t="str">
        <f>IF($I25&gt;=8,", "&amp;$W32&amp;" TEXT","")</f>
        <v/>
      </c>
      <c r="BQ25" s="8" t="str">
        <f t="shared" si="7"/>
        <v xml:space="preserve"> );</v>
      </c>
      <c r="BR25" s="9" t="str">
        <f t="shared" si="8"/>
        <v xml:space="preserve"> INSERT INTO iam___user(username)</v>
      </c>
      <c r="BS25" s="9" t="str">
        <f t="shared" si="9"/>
        <v xml:space="preserve"> INSERT INTO iam___user(</v>
      </c>
      <c r="BT25" s="9" t="str">
        <f>IF($I25&gt;=1,$W25,"")</f>
        <v>username</v>
      </c>
      <c r="BU25" s="9" t="str">
        <f>IF($I25&gt;=2,", "&amp;$W26,"")</f>
        <v/>
      </c>
      <c r="BV25" s="9" t="str">
        <f>IF($I25&gt;=3,", "&amp;$W27,"")</f>
        <v/>
      </c>
      <c r="BW25" s="9" t="str">
        <f>IF($I25&gt;=4,", "&amp;$W28,"")</f>
        <v/>
      </c>
      <c r="BX25" s="9" t="str">
        <f>IF($I25&gt;=5,", "&amp;$W29,"")</f>
        <v/>
      </c>
      <c r="BY25" s="9" t="str">
        <f>IF($I25&gt;=6,", "&amp;$W30,"")</f>
        <v/>
      </c>
      <c r="BZ25" s="9" t="str">
        <f>IF($I25&gt;=7,", "&amp;$W31,"")</f>
        <v/>
      </c>
      <c r="CA25" s="9" t="str">
        <f>IF($I25&gt;=8,", "&amp;$W32,"")</f>
        <v/>
      </c>
      <c r="CB25" s="9" t="str">
        <f t="shared" si="10"/>
        <v>)</v>
      </c>
      <c r="CC25" s="9" t="str">
        <f t="shared" si="0"/>
        <v xml:space="preserve"> SELECT iam___users.users -&gt;&gt; 'UserName' AS users_username FROM iam___users ;</v>
      </c>
      <c r="CD25" s="8" t="str">
        <f>" SELECT "&amp;$U25&amp;"."&amp;$V25&amp;" -&gt;&gt; '"&amp;$F25&amp;"' AS "&amp;$V25&amp;"_"&amp;LOWER(F25)</f>
        <v xml:space="preserve"> SELECT iam___users.users -&gt;&gt; 'UserName' AS users_username</v>
      </c>
      <c r="CE25" s="8" t="str">
        <f>IF($I25&gt;=2,", "&amp;$U26&amp;"."&amp;$V26&amp;" -&gt;&gt; '"&amp;$F26&amp;"' AS "&amp;$V26&amp;"_"&amp;LOWER(F26),"")</f>
        <v/>
      </c>
      <c r="CF25" s="8" t="str">
        <f>IF($I25&gt;=3,", "&amp;$U27&amp;"."&amp;$V27&amp;" -&gt;&gt; '"&amp;$F27&amp;"' AS "&amp;$V27&amp;"_"&amp;LOWER(F27),"")</f>
        <v/>
      </c>
      <c r="CG25" s="8" t="str">
        <f>IF($I25&gt;=4,", "&amp;$U28&amp;"."&amp;$V28&amp;" -&gt;&gt; '"&amp;$F28&amp;"' AS "&amp;$V28&amp;"_"&amp;LOWER(F28),"")</f>
        <v/>
      </c>
      <c r="CH25" s="8" t="str">
        <f>IF($I25&gt;=5,", "&amp;$U29&amp;"."&amp;$V29&amp;" -&gt;&gt; '"&amp;$F29&amp;"' AS "&amp;$V29&amp;"_"&amp;LOWER(F29),"")</f>
        <v/>
      </c>
      <c r="CI25" s="8" t="str">
        <f>IF($I25&gt;=6,", "&amp;$U30&amp;"."&amp;$V30&amp;" -&gt;&gt; '"&amp;$F30&amp;"' AS "&amp;$V30&amp;"_"&amp;LOWER(F30),"")</f>
        <v/>
      </c>
      <c r="CJ25" s="8" t="str">
        <f>IF($I25&gt;=7,", "&amp;$U31&amp;"."&amp;$V31&amp;" -&gt;&gt; '"&amp;$F31&amp;"' AS "&amp;$V31&amp;"_"&amp;LOWER(F31),"")</f>
        <v/>
      </c>
      <c r="CK25" s="8" t="str">
        <f>IF($I25&gt;=8,", "&amp;$U32&amp;"."&amp;$V32&amp;" -&gt;&gt; '"&amp;$F32&amp;"' AS "&amp;$V32&amp;"_"&amp;LOWER(F32),"")</f>
        <v/>
      </c>
      <c r="CL25" s="8" t="str">
        <f>IF($I25&gt;=1," FROM "&amp;$U25,"")</f>
        <v xml:space="preserve"> FROM iam___users</v>
      </c>
      <c r="CM25" s="9" t="str">
        <f>IF($I25&gt;=2," "&amp;$AA25&amp;" JOIN "&amp;$U25&amp;" USING ("&amp;$T25&amp;"."&amp;$W25&amp;", "&amp;$U25&amp;"."&amp;$V25&amp;" -&gt;&gt; '"&amp;$F25&amp;"')","")</f>
        <v/>
      </c>
      <c r="CN25" s="9" t="str">
        <f>IF($I25&gt;=3," "&amp;$AA26&amp;" JOIN "&amp;$U26&amp;" USING ("&amp;$T26&amp;"."&amp;$W26&amp;", "&amp;$U26&amp;"."&amp;$V26&amp;" -&gt;&gt; '"&amp;$F26&amp;"')","")</f>
        <v/>
      </c>
      <c r="CO25" s="9" t="str">
        <f>IF($I25&gt;=4," "&amp;$AA27&amp;" JOIN "&amp;$U27&amp;" USING ("&amp;$T27&amp;"."&amp;$W27&amp;", "&amp;$U27&amp;"."&amp;$V27&amp;" -&gt;&gt; '"&amp;$F27&amp;"')","")</f>
        <v/>
      </c>
      <c r="CP25" s="9" t="str">
        <f>IF($I25&gt;=5," "&amp;$AA28&amp;" JOIN "&amp;$U28&amp;" USING ("&amp;$T28&amp;"."&amp;$W28&amp;", "&amp;$U28&amp;"."&amp;$V28&amp;" -&gt;&gt; '"&amp;$F28&amp;"')","")</f>
        <v/>
      </c>
      <c r="CQ25" s="9" t="str">
        <f>IF($I25&gt;=6," "&amp;$AA29&amp;" JOIN "&amp;$U29&amp;" USING ("&amp;$T29&amp;"."&amp;$W29&amp;", "&amp;$U29&amp;"."&amp;$V29&amp;" -&gt;&gt; '"&amp;$F29&amp;"')","")</f>
        <v/>
      </c>
      <c r="CR25" s="8" t="str">
        <f>IF($I25&gt;=7," "&amp;$AA30&amp;" JOIN "&amp;$U30&amp;" USING ("&amp;$T30&amp;"."&amp;$W30&amp;", "&amp;$U30&amp;"."&amp;$V30&amp;" -&gt;&gt; '"&amp;$F30&amp;"')","")</f>
        <v/>
      </c>
      <c r="CS25" s="8" t="str">
        <f>IF($I25&gt;=8," "&amp;$AA31&amp;" JOIN "&amp;$U31&amp;" USING ("&amp;$T31&amp;"."&amp;$W31&amp;", "&amp;$U31&amp;"."&amp;$V31&amp;" -&gt;&gt; '"&amp;$F31&amp;"')","")</f>
        <v/>
      </c>
      <c r="CT25" s="8" t="str">
        <f t="shared" si="11"/>
        <v xml:space="preserve"> ;</v>
      </c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</row>
    <row r="26" spans="1:202" x14ac:dyDescent="0.25">
      <c r="A26">
        <v>25</v>
      </c>
      <c r="B26" s="4" t="s">
        <v>0</v>
      </c>
      <c r="C26" s="4" t="s">
        <v>66</v>
      </c>
      <c r="D26" s="4" t="s">
        <v>0</v>
      </c>
      <c r="E26" s="4" t="s">
        <v>52</v>
      </c>
      <c r="F26" s="4" t="s">
        <v>73</v>
      </c>
      <c r="G26" s="7" t="s">
        <v>71</v>
      </c>
      <c r="H26" s="7" t="s">
        <v>71</v>
      </c>
      <c r="I26" s="7">
        <v>2</v>
      </c>
      <c r="J26" s="7" t="s">
        <v>72</v>
      </c>
      <c r="K26" s="7">
        <v>2</v>
      </c>
      <c r="L26" s="4" t="s">
        <v>67</v>
      </c>
      <c r="M26" s="7" t="s">
        <v>72</v>
      </c>
      <c r="N26" s="4"/>
      <c r="O26" s="7"/>
      <c r="P26" s="4"/>
      <c r="Q26" s="8" t="str">
        <f>VLOOKUP($C26,aws_cli_commands!$C$2:$E$10000,2,FALSE)</f>
        <v>n</v>
      </c>
      <c r="R26" s="8" t="str">
        <f>VLOOKUP($C26,aws_cli_commands!$C$2:$E$10000,3,FALSE)</f>
        <v>y</v>
      </c>
      <c r="S26" s="8" t="str">
        <f>IF(OR(C26=C25,C26=C27),"y","n")</f>
        <v>y</v>
      </c>
      <c r="T26" s="8" t="str">
        <f>B26&amp;"___"&amp;SUBSTITUTE(RIGHT(C26,LEN(C26)-FIND("-",C26)),"-","_")</f>
        <v>iam___user_policy</v>
      </c>
      <c r="U26" s="8" t="str">
        <f>SUBSTITUTE(D26&amp;"___"&amp;RIGHT(E26,LEN(E26)-FIND("-",E26)),"-","_")</f>
        <v>iam___user_policies</v>
      </c>
      <c r="V26" s="8" t="str">
        <f>SUBSTITUTE(RIGHT($E26,LEN($E26)-FIND("-",$E26)),"-","_")</f>
        <v>user_policies</v>
      </c>
      <c r="W26" s="8" t="str">
        <f>IF(G26="y",V26&amp;"_"&amp;LOWER(F26),IF(M26="y","**hardcoded**",LOWER(F26)))</f>
        <v>user_policies_policynames</v>
      </c>
      <c r="X26" s="8" t="str">
        <f t="shared" si="1"/>
        <v>n</v>
      </c>
      <c r="Y26" s="8">
        <f>IF(AND($C26=$C26,$M26="y"),1,0)+IF(AND($C25=$C26,$M25="y"),1,0)+IF(AND($C24=$C26,$M24="y"),1,0)+IF(AND($C23=$C26,$M23="y"),1,0)+IF(AND($C22=$C26,$M22="y"),1,0)+IF(AND($C21=$C26,$M21="y"),1,0)+IF(AND($C20=$C26,$M20="y"),1,0)+IF(AND($C19=$C26,$M19="y"),1,0)+IF(AND($C18=$C26,$M18="y"),1,0)</f>
        <v>0</v>
      </c>
      <c r="Z26" s="8">
        <f>IF(AND($C26=$C26,$M26="y"),1,0)+IF(AND($C26=$C27,$M27="y"),1,0)+IF(AND($C26=$C28,$M28="y"),1,0)+IF(AND($C26=$C29,$M29="y"),1,0)+IF(AND($C26=$C30,$M30="y"),1,0)+IF(AND($C26=$C31,$M31="y"),1,0)+IF(AND($C26=$C32,$M32="y"),1,0)+IF(AND($C26=$C33,$M33="y"),1,0)+IF(AND($C26=$C34,$M34="y"),1,0)</f>
        <v>0</v>
      </c>
      <c r="AA26" s="8" t="s">
        <v>127</v>
      </c>
      <c r="AB26" s="9" t="str">
        <f>IF(AND($H26="y",$C26&lt;&gt;$C25),B26&amp;" "&amp;AC26&amp;AD26&amp;AE26&amp;AF26&amp;AG26&amp;AH26&amp;AI26&amp;AJ26&amp;AK26,IF(H26="n",B26&amp;" "&amp;AC26&amp;AD26&amp;AE26&amp;AF26&amp;AG26&amp;AH26&amp;AI26&amp;AJ26&amp;AK26,""))</f>
        <v>iam get-user-policy --policy-name --user-name</v>
      </c>
      <c r="AC26" s="8" t="str">
        <f t="shared" si="2"/>
        <v>get-user-policy</v>
      </c>
      <c r="AD26" s="8" t="str">
        <f>IF($I26&gt;=1," "&amp;$L26,"")</f>
        <v xml:space="preserve"> --policy-name</v>
      </c>
      <c r="AE26" s="8" t="str">
        <f>IF($I26&gt;=2," "&amp;$L27,"")</f>
        <v xml:space="preserve"> --user-name</v>
      </c>
      <c r="AF26" s="8" t="str">
        <f>IF($I26&gt;=3," "&amp;$L28,"")</f>
        <v/>
      </c>
      <c r="AG26" s="8" t="str">
        <f>IF($I26&gt;=4," "&amp;$L29,"")</f>
        <v/>
      </c>
      <c r="AH26" s="8" t="str">
        <f>IF($I26&gt;=5," "&amp;$L30,"")</f>
        <v/>
      </c>
      <c r="AI26" s="8" t="str">
        <f>IF($I26&gt;=6," "&amp;$L31,"")</f>
        <v/>
      </c>
      <c r="AJ26" s="8" t="str">
        <f>IF($I26&gt;=7," "&amp;$L32,"")</f>
        <v/>
      </c>
      <c r="AK26" s="8" t="str">
        <f>IF($I26&gt;=8," "&amp;$L33,"")</f>
        <v/>
      </c>
      <c r="AL26" s="8" t="str">
        <f>U26</f>
        <v>iam___user_policies</v>
      </c>
      <c r="AM26" s="8" t="str">
        <f>IF($I26&gt;=2,$U27,"")</f>
        <v>iam___users</v>
      </c>
      <c r="AN26" s="8" t="str">
        <f>IF($I26&gt;=3,$U28,"")</f>
        <v/>
      </c>
      <c r="AO26" s="8" t="str">
        <f>IF(I26&gt;=4,$U29,"")</f>
        <v/>
      </c>
      <c r="AP26" s="8" t="str">
        <f>IF($I26&gt;=5,$U30,"")</f>
        <v/>
      </c>
      <c r="AQ26" s="8" t="str">
        <f>IF($I26&gt;=6,$U31,"")</f>
        <v/>
      </c>
      <c r="AR26" s="8" t="str">
        <f>IF($I26&gt;=7,$U32,"")</f>
        <v/>
      </c>
      <c r="AS26" s="8" t="str">
        <f>IF(I26&gt;=8,$U33,"")</f>
        <v/>
      </c>
      <c r="AT26" s="8" t="str">
        <f>F26</f>
        <v>PolicyNames</v>
      </c>
      <c r="AU26" s="8" t="str">
        <f>IF($I26&gt;=2,$F27,"")</f>
        <v>UserName</v>
      </c>
      <c r="AV26" s="8" t="str">
        <f>IF($I26&gt;=3,$F28,"")</f>
        <v/>
      </c>
      <c r="AW26" s="8" t="str">
        <f>IF($I26&gt;=4,$F29,"")</f>
        <v/>
      </c>
      <c r="AX26" s="8" t="str">
        <f>IF($I26&gt;=5,$F30,"")</f>
        <v/>
      </c>
      <c r="AY26" s="8" t="str">
        <f>IF($I26&gt;=6,$F31,"")</f>
        <v/>
      </c>
      <c r="AZ26" s="8" t="str">
        <f>IF($I26&gt;=7,$F32,"")</f>
        <v/>
      </c>
      <c r="BA26" s="8" t="str">
        <f>IF($I26&gt;=8,$F33,"")</f>
        <v/>
      </c>
      <c r="BB26" s="9" t="str">
        <f>IF(OR(R26&lt;&gt;"y",I26&lt;&gt;1),"","SELECT aws_command::text || ' ' || command_parameter::text AS aws_command_string, parameter_source_table, parameter_source_key FROM (SELECT  "&amp;"'"&amp;AB26&amp;"'"&amp;" AS aws_command,"&amp;U26&amp;"."&amp;V26&amp;" -&gt;&gt; "&amp;"'"&amp;F26&amp;"'"&amp;" AS command_parameter, "&amp;"'"&amp;AL26&amp;"'"&amp;" AS parameter_source_table, "&amp;"'"&amp;AT26&amp;"'"&amp;" AS parameter_source_key FROM "&amp;U26&amp;") AS f")</f>
        <v/>
      </c>
      <c r="BC26" s="9" t="str">
        <f>IF(AND(H26="y",H25&lt;&gt;"y"),BE26&amp;BF26&amp;BG26&amp;BR26&amp;CC26,"")</f>
        <v>/* recursive command multi: get-user-policy */ DROP TABLE IF EXISTS iam___user_policy; CREATE TABLE iam___user_policy(  id SERIAL PRIMARY KEY, user_policies_policynames TEXT, username TEXT ); INSERT INTO iam___user_policy(user_policies_policynames, username) SELECT iam___user_policies.user_policies -&gt;&gt; 'PolicyNames' AS user_policies_policynames, iam___users.users -&gt;&gt; 'UserName' AS users_username FROM iam___user_policies INNER JOIN iam___user_policies USING (iam___user_policy.user_policies_policynames, iam___user_policies.user_policies -&gt;&gt; 'PolicyNames') ;</v>
      </c>
      <c r="BD26" s="8" t="str">
        <f>"/* recursive command: "&amp;C26&amp;" */ DROP TABLE IF EXISTS "&amp;T26&amp;"; CREATE TABLE "&amp;T26&amp;"(  id SERIAL PRIMARY KEY, "&amp;F26&amp;" TEXT); SELECT "&amp;U26&amp;"."&amp;V26&amp;" -&gt;&gt; '"&amp;F26&amp;"' AS "&amp;V26&amp;" FROM "&amp;U26&amp;" ;"</f>
        <v>/* recursive command: get-user-policy */ DROP TABLE IF EXISTS iam___user_policy; CREATE TABLE iam___user_policy(  id SERIAL PRIMARY KEY, PolicyNames TEXT); SELECT iam___user_policies.user_policies -&gt;&gt; 'PolicyNames' AS user_policies FROM iam___user_policies ;</v>
      </c>
      <c r="BE26" s="8" t="str">
        <f t="shared" si="3"/>
        <v xml:space="preserve">/* recursive command multi: get-user-policy */ </v>
      </c>
      <c r="BF26" s="8" t="str">
        <f t="shared" si="4"/>
        <v xml:space="preserve">DROP TABLE IF EXISTS iam___user_policy; </v>
      </c>
      <c r="BG26" s="8" t="str">
        <f t="shared" si="5"/>
        <v>CREATE TABLE iam___user_policy(  id SERIAL PRIMARY KEY, user_policies_policynames TEXT, username TEXT );</v>
      </c>
      <c r="BH26" s="8" t="str">
        <f t="shared" si="6"/>
        <v xml:space="preserve">CREATE TABLE iam___user_policy(  id SERIAL PRIMARY KEY, </v>
      </c>
      <c r="BI26" s="8" t="str">
        <f>IF($I26&gt;=1,$W26&amp;" TEXT","")</f>
        <v>user_policies_policynames TEXT</v>
      </c>
      <c r="BJ26" s="8" t="str">
        <f>IF($I26&gt;=2,", "&amp;$W27&amp;" TEXT","")</f>
        <v>, username TEXT</v>
      </c>
      <c r="BK26" s="8" t="str">
        <f>IF($I26&gt;=3,", "&amp;$W28&amp;" TEXT","")</f>
        <v/>
      </c>
      <c r="BL26" s="8" t="str">
        <f>IF($I26&gt;=4,", "&amp;$W29&amp;" TEXT","")</f>
        <v/>
      </c>
      <c r="BM26" s="8" t="str">
        <f>IF($I26&gt;=5,", "&amp;$W30&amp;" TEXT","")</f>
        <v/>
      </c>
      <c r="BN26" s="8" t="str">
        <f>IF($I26&gt;=6,", "&amp;$W31&amp;" TEXT","")</f>
        <v/>
      </c>
      <c r="BO26" s="8" t="str">
        <f>IF($I26&gt;=7,", "&amp;$W32&amp;" TEXT","")</f>
        <v/>
      </c>
      <c r="BP26" s="8" t="str">
        <f>IF($I26&gt;=8,", "&amp;$W33&amp;" TEXT","")</f>
        <v/>
      </c>
      <c r="BQ26" s="8" t="str">
        <f t="shared" si="7"/>
        <v xml:space="preserve"> );</v>
      </c>
      <c r="BR26" s="9" t="str">
        <f t="shared" si="8"/>
        <v xml:space="preserve"> INSERT INTO iam___user_policy(user_policies_policynames, username)</v>
      </c>
      <c r="BS26" s="9" t="str">
        <f t="shared" si="9"/>
        <v xml:space="preserve"> INSERT INTO iam___user_policy(</v>
      </c>
      <c r="BT26" s="9" t="str">
        <f>IF($I26&gt;=1,$W26,"")</f>
        <v>user_policies_policynames</v>
      </c>
      <c r="BU26" s="9" t="str">
        <f>IF($I26&gt;=2,", "&amp;$W27,"")</f>
        <v>, username</v>
      </c>
      <c r="BV26" s="9" t="str">
        <f>IF($I26&gt;=3,", "&amp;$W28,"")</f>
        <v/>
      </c>
      <c r="BW26" s="9" t="str">
        <f>IF($I26&gt;=4,", "&amp;$W29,"")</f>
        <v/>
      </c>
      <c r="BX26" s="9" t="str">
        <f>IF($I26&gt;=5,", "&amp;$W30,"")</f>
        <v/>
      </c>
      <c r="BY26" s="9" t="str">
        <f>IF($I26&gt;=6,", "&amp;$W31,"")</f>
        <v/>
      </c>
      <c r="BZ26" s="9" t="str">
        <f>IF($I26&gt;=7,", "&amp;$W32,"")</f>
        <v/>
      </c>
      <c r="CA26" s="9" t="str">
        <f>IF($I26&gt;=8,", "&amp;$W33,"")</f>
        <v/>
      </c>
      <c r="CB26" s="9" t="str">
        <f t="shared" si="10"/>
        <v>)</v>
      </c>
      <c r="CC26" s="9" t="str">
        <f t="shared" si="0"/>
        <v xml:space="preserve"> SELECT iam___user_policies.user_policies -&gt;&gt; 'PolicyNames' AS user_policies_policynames, iam___users.users -&gt;&gt; 'UserName' AS users_username FROM iam___user_policies INNER JOIN iam___user_policies USING (iam___user_policy.user_policies_policynames, iam___user_policies.user_policies -&gt;&gt; 'PolicyNames') ;</v>
      </c>
      <c r="CD26" s="8" t="str">
        <f>" SELECT "&amp;$U26&amp;"."&amp;$V26&amp;" -&gt;&gt; '"&amp;$F26&amp;"' AS "&amp;$V26&amp;"_"&amp;LOWER(F26)</f>
        <v xml:space="preserve"> SELECT iam___user_policies.user_policies -&gt;&gt; 'PolicyNames' AS user_policies_policynames</v>
      </c>
      <c r="CE26" s="8" t="str">
        <f>IF($I26&gt;=2,", "&amp;$U27&amp;"."&amp;$V27&amp;" -&gt;&gt; '"&amp;$F27&amp;"' AS "&amp;$V27&amp;"_"&amp;LOWER(F27),"")</f>
        <v>, iam___users.users -&gt;&gt; 'UserName' AS users_username</v>
      </c>
      <c r="CF26" s="8" t="str">
        <f>IF($I26&gt;=3,", "&amp;$U28&amp;"."&amp;$V28&amp;" -&gt;&gt; '"&amp;$F28&amp;"' AS "&amp;$V28&amp;"_"&amp;LOWER(F28),"")</f>
        <v/>
      </c>
      <c r="CG26" s="8" t="str">
        <f>IF($I26&gt;=4,", "&amp;$U29&amp;"."&amp;$V29&amp;" -&gt;&gt; '"&amp;$F29&amp;"' AS "&amp;$V29&amp;"_"&amp;LOWER(F29),"")</f>
        <v/>
      </c>
      <c r="CH26" s="8" t="str">
        <f>IF($I26&gt;=5,", "&amp;$U30&amp;"."&amp;$V30&amp;" -&gt;&gt; '"&amp;$F30&amp;"' AS "&amp;$V30&amp;"_"&amp;LOWER(F30),"")</f>
        <v/>
      </c>
      <c r="CI26" s="8" t="str">
        <f>IF($I26&gt;=6,", "&amp;$U31&amp;"."&amp;$V31&amp;" -&gt;&gt; '"&amp;$F31&amp;"' AS "&amp;$V31&amp;"_"&amp;LOWER(F31),"")</f>
        <v/>
      </c>
      <c r="CJ26" s="8" t="str">
        <f>IF($I26&gt;=7,", "&amp;$U32&amp;"."&amp;$V32&amp;" -&gt;&gt; '"&amp;$F32&amp;"' AS "&amp;$V32&amp;"_"&amp;LOWER(F32),"")</f>
        <v/>
      </c>
      <c r="CK26" s="8" t="str">
        <f>IF($I26&gt;=8,", "&amp;$U33&amp;"."&amp;$V33&amp;" -&gt;&gt; '"&amp;$F33&amp;"' AS "&amp;$V33&amp;"_"&amp;LOWER(F33),"")</f>
        <v/>
      </c>
      <c r="CL26" s="8" t="str">
        <f>IF($I26&gt;=1," FROM "&amp;$U26,"")</f>
        <v xml:space="preserve"> FROM iam___user_policies</v>
      </c>
      <c r="CM26" s="9" t="str">
        <f>IF($I26&gt;=2," "&amp;$AA26&amp;" JOIN "&amp;$U26&amp;" USING ("&amp;$T26&amp;"."&amp;$W26&amp;", "&amp;$U26&amp;"."&amp;$V26&amp;" -&gt;&gt; '"&amp;$F26&amp;"')","")</f>
        <v xml:space="preserve"> INNER JOIN iam___user_policies USING (iam___user_policy.user_policies_policynames, iam___user_policies.user_policies -&gt;&gt; 'PolicyNames')</v>
      </c>
      <c r="CN26" s="9" t="str">
        <f>IF($I26&gt;=3," "&amp;$AA27&amp;" JOIN "&amp;$U27&amp;" USING ("&amp;$T27&amp;"."&amp;$W27&amp;", "&amp;$U27&amp;"."&amp;$V27&amp;" -&gt;&gt; '"&amp;$F27&amp;"')","")</f>
        <v/>
      </c>
      <c r="CO26" s="9" t="str">
        <f>IF($I26&gt;=4," "&amp;$AA28&amp;" JOIN "&amp;$U28&amp;" USING ("&amp;$T28&amp;"."&amp;$W28&amp;", "&amp;$U28&amp;"."&amp;$V28&amp;" -&gt;&gt; '"&amp;$F28&amp;"')","")</f>
        <v/>
      </c>
      <c r="CP26" s="9" t="str">
        <f>IF($I26&gt;=5," "&amp;$AA29&amp;" JOIN "&amp;$U29&amp;" USING ("&amp;$T29&amp;"."&amp;$W29&amp;", "&amp;$U29&amp;"."&amp;$V29&amp;" -&gt;&gt; '"&amp;$F29&amp;"')","")</f>
        <v/>
      </c>
      <c r="CQ26" s="9" t="str">
        <f>IF($I26&gt;=6," "&amp;$AA30&amp;" JOIN "&amp;$U30&amp;" USING ("&amp;$T30&amp;"."&amp;$W30&amp;", "&amp;$U30&amp;"."&amp;$V30&amp;" -&gt;&gt; '"&amp;$F30&amp;"')","")</f>
        <v/>
      </c>
      <c r="CR26" s="8" t="str">
        <f>IF($I26&gt;=7," "&amp;$AA31&amp;" JOIN "&amp;$U31&amp;" USING ("&amp;$T31&amp;"."&amp;$W31&amp;", "&amp;$U31&amp;"."&amp;$V31&amp;" -&gt;&gt; '"&amp;$F31&amp;"')","")</f>
        <v/>
      </c>
      <c r="CS26" s="8" t="str">
        <f>IF($I26&gt;=8," "&amp;$AA32&amp;" JOIN "&amp;$U32&amp;" USING ("&amp;$T32&amp;"."&amp;$W32&amp;", "&amp;$U32&amp;"."&amp;$V32&amp;" -&gt;&gt; '"&amp;$F32&amp;"')","")</f>
        <v/>
      </c>
      <c r="CT26" s="8" t="str">
        <f t="shared" si="11"/>
        <v xml:space="preserve"> ;</v>
      </c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</row>
    <row r="27" spans="1:202" x14ac:dyDescent="0.25">
      <c r="A27">
        <v>26</v>
      </c>
      <c r="B27" s="4" t="s">
        <v>0</v>
      </c>
      <c r="C27" s="4" t="s">
        <v>66</v>
      </c>
      <c r="D27" s="4" t="s">
        <v>0</v>
      </c>
      <c r="E27" s="4" t="s">
        <v>48</v>
      </c>
      <c r="F27" s="4" t="s">
        <v>51</v>
      </c>
      <c r="G27" s="7" t="s">
        <v>72</v>
      </c>
      <c r="H27" s="7" t="s">
        <v>71</v>
      </c>
      <c r="I27" s="7">
        <v>2</v>
      </c>
      <c r="J27" s="7" t="s">
        <v>72</v>
      </c>
      <c r="K27" s="7">
        <v>2</v>
      </c>
      <c r="L27" s="4" t="s">
        <v>50</v>
      </c>
      <c r="M27" s="7" t="s">
        <v>72</v>
      </c>
      <c r="N27" s="4"/>
      <c r="O27" s="7"/>
      <c r="P27" s="4"/>
      <c r="Q27" s="8" t="str">
        <f>VLOOKUP($C27,aws_cli_commands!$C$2:$E$10000,2,FALSE)</f>
        <v>n</v>
      </c>
      <c r="R27" s="8" t="str">
        <f>VLOOKUP($C27,aws_cli_commands!$C$2:$E$10000,3,FALSE)</f>
        <v>y</v>
      </c>
      <c r="S27" s="8" t="str">
        <f>IF(OR(C27=C26,C27=C28),"y","n")</f>
        <v>y</v>
      </c>
      <c r="T27" s="8" t="str">
        <f>B27&amp;"___"&amp;SUBSTITUTE(RIGHT(C27,LEN(C27)-FIND("-",C27)),"-","_")</f>
        <v>iam___user_policy</v>
      </c>
      <c r="U27" s="8" t="str">
        <f>SUBSTITUTE(D27&amp;"___"&amp;RIGHT(E27,LEN(E27)-FIND("-",E27)),"-","_")</f>
        <v>iam___users</v>
      </c>
      <c r="V27" s="8" t="str">
        <f>SUBSTITUTE(RIGHT($E27,LEN($E27)-FIND("-",$E27)),"-","_")</f>
        <v>users</v>
      </c>
      <c r="W27" s="8" t="str">
        <f>IF(G27="y",V27&amp;"_"&amp;LOWER(F27),IF(M27="y","**hardcoded**",LOWER(F27)))</f>
        <v>username</v>
      </c>
      <c r="X27" s="8" t="str">
        <f t="shared" si="1"/>
        <v>n</v>
      </c>
      <c r="Y27" s="8">
        <f>IF(AND($C27=$C27,$M27="y"),1,0)+IF(AND($C26=$C27,$M26="y"),1,0)+IF(AND($C25=$C27,$M25="y"),1,0)+IF(AND($C24=$C27,$M24="y"),1,0)+IF(AND($C23=$C27,$M23="y"),1,0)+IF(AND($C22=$C27,$M22="y"),1,0)+IF(AND($C21=$C27,$M21="y"),1,0)+IF(AND($C20=$C27,$M20="y"),1,0)+IF(AND($C19=$C27,$M19="y"),1,0)</f>
        <v>0</v>
      </c>
      <c r="Z27" s="8">
        <f>IF(AND($C27=$C27,$M27="y"),1,0)+IF(AND($C27=$C28,$M28="y"),1,0)+IF(AND($C27=$C29,$M29="y"),1,0)+IF(AND($C27=$C30,$M30="y"),1,0)+IF(AND($C27=$C31,$M31="y"),1,0)+IF(AND($C27=$C32,$M32="y"),1,0)+IF(AND($C27=$C33,$M33="y"),1,0)+IF(AND($C27=$C34,$M34="y"),1,0)+IF(AND($C27=$C35,$M35="y"),1,0)</f>
        <v>0</v>
      </c>
      <c r="AA27" s="8" t="s">
        <v>127</v>
      </c>
      <c r="AB27" s="9" t="str">
        <f>IF(AND($H27="y",$C27&lt;&gt;$C26),B27&amp;" "&amp;AC27&amp;AD27&amp;AE27&amp;AF27&amp;AG27&amp;AH27&amp;AI27&amp;AJ27&amp;AK27,IF(H27="n",B27&amp;" "&amp;AC27&amp;AD27&amp;AE27&amp;AF27&amp;AG27&amp;AH27&amp;AI27&amp;AJ27&amp;AK27,""))</f>
        <v/>
      </c>
      <c r="AC27" s="8" t="str">
        <f t="shared" si="2"/>
        <v>get-user-policy</v>
      </c>
      <c r="AD27" s="8" t="str">
        <f>IF($I27&gt;=1," "&amp;$L27,"")</f>
        <v xml:space="preserve"> --user-name</v>
      </c>
      <c r="AE27" s="8" t="str">
        <f>IF($I27&gt;=2," "&amp;$L28,"")</f>
        <v xml:space="preserve"> --group-name</v>
      </c>
      <c r="AF27" s="8" t="str">
        <f>IF($I27&gt;=3," "&amp;$L29,"")</f>
        <v/>
      </c>
      <c r="AG27" s="8" t="str">
        <f>IF($I27&gt;=4," "&amp;$L30,"")</f>
        <v/>
      </c>
      <c r="AH27" s="8" t="str">
        <f>IF($I27&gt;=5," "&amp;$L31,"")</f>
        <v/>
      </c>
      <c r="AI27" s="8" t="str">
        <f>IF($I27&gt;=6," "&amp;$L32,"")</f>
        <v/>
      </c>
      <c r="AJ27" s="8" t="str">
        <f>IF($I27&gt;=7," "&amp;$L33,"")</f>
        <v/>
      </c>
      <c r="AK27" s="8" t="str">
        <f>IF($I27&gt;=8," "&amp;$L34,"")</f>
        <v/>
      </c>
      <c r="AL27" s="8" t="str">
        <f>U27</f>
        <v>iam___users</v>
      </c>
      <c r="AM27" s="8" t="str">
        <f>IF($I27&gt;=2,$U28,"")</f>
        <v>iam___groups</v>
      </c>
      <c r="AN27" s="8" t="str">
        <f>IF($I27&gt;=3,$U29,"")</f>
        <v/>
      </c>
      <c r="AO27" s="8" t="str">
        <f>IF(I27&gt;=4,$U30,"")</f>
        <v/>
      </c>
      <c r="AP27" s="8" t="str">
        <f>IF($I27&gt;=5,$U31,"")</f>
        <v/>
      </c>
      <c r="AQ27" s="8" t="str">
        <f>IF($I27&gt;=6,$U32,"")</f>
        <v/>
      </c>
      <c r="AR27" s="8" t="str">
        <f>IF($I27&gt;=7,$U33,"")</f>
        <v/>
      </c>
      <c r="AS27" s="8" t="str">
        <f>IF(I27&gt;=8,$U34,"")</f>
        <v/>
      </c>
      <c r="AT27" s="8" t="str">
        <f>F27</f>
        <v>UserName</v>
      </c>
      <c r="AU27" s="8" t="str">
        <f>IF($I27&gt;=2,$F28,"")</f>
        <v>GroupName</v>
      </c>
      <c r="AV27" s="8" t="str">
        <f>IF($I27&gt;=3,$F29,"")</f>
        <v/>
      </c>
      <c r="AW27" s="8" t="str">
        <f>IF($I27&gt;=4,$F30,"")</f>
        <v/>
      </c>
      <c r="AX27" s="8" t="str">
        <f>IF($I27&gt;=5,$F31,"")</f>
        <v/>
      </c>
      <c r="AY27" s="8" t="str">
        <f>IF($I27&gt;=6,$F32,"")</f>
        <v/>
      </c>
      <c r="AZ27" s="8" t="str">
        <f>IF($I27&gt;=7,$F33,"")</f>
        <v/>
      </c>
      <c r="BA27" s="8" t="str">
        <f>IF($I27&gt;=8,$F34,"")</f>
        <v/>
      </c>
      <c r="BB27" s="9" t="str">
        <f>IF(OR(R27&lt;&gt;"y",I27&lt;&gt;1),"","SELECT aws_command::text || ' ' || command_parameter::text AS aws_command_string, parameter_source_table, parameter_source_key FROM (SELECT  "&amp;"'"&amp;AB27&amp;"'"&amp;" AS aws_command,"&amp;U27&amp;"."&amp;V27&amp;" -&gt;&gt; "&amp;"'"&amp;F27&amp;"'"&amp;" AS command_parameter, "&amp;"'"&amp;AL27&amp;"'"&amp;" AS parameter_source_table, "&amp;"'"&amp;AT27&amp;"'"&amp;" AS parameter_source_key FROM "&amp;U27&amp;") AS f")</f>
        <v/>
      </c>
      <c r="BC27" s="9" t="str">
        <f>IF(AND(H27="y",H26&lt;&gt;"y"),BE27&amp;BF27&amp;BG27&amp;BR27&amp;CC27,"")</f>
        <v/>
      </c>
      <c r="BD27" s="8" t="str">
        <f>"/* recursive command: "&amp;C27&amp;" */ DROP TABLE IF EXISTS "&amp;T27&amp;"; CREATE TABLE "&amp;T27&amp;"(  id SERIAL PRIMARY KEY, "&amp;F27&amp;" TEXT); SELECT "&amp;U27&amp;"."&amp;V27&amp;" -&gt;&gt; '"&amp;F27&amp;"' AS "&amp;V27&amp;" FROM "&amp;U27&amp;" ;"</f>
        <v>/* recursive command: get-user-policy */ DROP TABLE IF EXISTS iam___user_policy; CREATE TABLE iam___user_policy(  id SERIAL PRIMARY KEY, UserName TEXT); SELECT iam___users.users -&gt;&gt; 'UserName' AS users FROM iam___users ;</v>
      </c>
      <c r="BE27" s="8" t="str">
        <f t="shared" si="3"/>
        <v xml:space="preserve">/* recursive command multi: get-user-policy */ </v>
      </c>
      <c r="BF27" s="8" t="str">
        <f t="shared" si="4"/>
        <v xml:space="preserve">DROP TABLE IF EXISTS iam___user_policy; </v>
      </c>
      <c r="BG27" s="8" t="str">
        <f t="shared" si="5"/>
        <v>CREATE TABLE iam___user_policy(  id SERIAL PRIMARY KEY, username TEXT, groupname TEXT );</v>
      </c>
      <c r="BH27" s="8" t="str">
        <f t="shared" si="6"/>
        <v xml:space="preserve">CREATE TABLE iam___user_policy(  id SERIAL PRIMARY KEY, </v>
      </c>
      <c r="BI27" s="8" t="str">
        <f>IF($I27&gt;=1,$W27&amp;" TEXT","")</f>
        <v>username TEXT</v>
      </c>
      <c r="BJ27" s="8" t="str">
        <f>IF($I27&gt;=2,", "&amp;$W28&amp;" TEXT","")</f>
        <v>, groupname TEXT</v>
      </c>
      <c r="BK27" s="8" t="str">
        <f>IF($I27&gt;=3,", "&amp;$W29&amp;" TEXT","")</f>
        <v/>
      </c>
      <c r="BL27" s="8" t="str">
        <f>IF($I27&gt;=4,", "&amp;$W30&amp;" TEXT","")</f>
        <v/>
      </c>
      <c r="BM27" s="8" t="str">
        <f>IF($I27&gt;=5,", "&amp;$W31&amp;" TEXT","")</f>
        <v/>
      </c>
      <c r="BN27" s="8" t="str">
        <f>IF($I27&gt;=6,", "&amp;$W32&amp;" TEXT","")</f>
        <v/>
      </c>
      <c r="BO27" s="8" t="str">
        <f>IF($I27&gt;=7,", "&amp;$W33&amp;" TEXT","")</f>
        <v/>
      </c>
      <c r="BP27" s="8" t="str">
        <f>IF($I27&gt;=8,", "&amp;$W34&amp;" TEXT","")</f>
        <v/>
      </c>
      <c r="BQ27" s="8" t="str">
        <f t="shared" si="7"/>
        <v xml:space="preserve"> );</v>
      </c>
      <c r="BR27" s="9" t="str">
        <f t="shared" si="8"/>
        <v xml:space="preserve"> INSERT INTO iam___user_policy(username, groupname)</v>
      </c>
      <c r="BS27" s="9" t="str">
        <f t="shared" si="9"/>
        <v xml:space="preserve"> INSERT INTO iam___user_policy(</v>
      </c>
      <c r="BT27" s="9" t="str">
        <f>IF($I27&gt;=1,$W27,"")</f>
        <v>username</v>
      </c>
      <c r="BU27" s="9" t="str">
        <f>IF($I27&gt;=2,", "&amp;$W28,"")</f>
        <v>, groupname</v>
      </c>
      <c r="BV27" s="9" t="str">
        <f>IF($I27&gt;=3,", "&amp;$W29,"")</f>
        <v/>
      </c>
      <c r="BW27" s="9" t="str">
        <f>IF($I27&gt;=4,", "&amp;$W30,"")</f>
        <v/>
      </c>
      <c r="BX27" s="9" t="str">
        <f>IF($I27&gt;=5,", "&amp;$W31,"")</f>
        <v/>
      </c>
      <c r="BY27" s="9" t="str">
        <f>IF($I27&gt;=6,", "&amp;$W32,"")</f>
        <v/>
      </c>
      <c r="BZ27" s="9" t="str">
        <f>IF($I27&gt;=7,", "&amp;$W33,"")</f>
        <v/>
      </c>
      <c r="CA27" s="9" t="str">
        <f>IF($I27&gt;=8,", "&amp;$W34,"")</f>
        <v/>
      </c>
      <c r="CB27" s="9" t="str">
        <f t="shared" si="10"/>
        <v>)</v>
      </c>
      <c r="CC27" s="9" t="str">
        <f t="shared" si="0"/>
        <v xml:space="preserve"> SELECT iam___users.users -&gt;&gt; 'UserName' AS users_username, iam___groups.groups -&gt;&gt; 'GroupName' AS groups_groupname FROM iam___users INNER JOIN iam___users USING (iam___user_policy.username, iam___users.users -&gt;&gt; 'UserName') ;</v>
      </c>
      <c r="CD27" s="8" t="str">
        <f>" SELECT "&amp;$U27&amp;"."&amp;$V27&amp;" -&gt;&gt; '"&amp;$F27&amp;"' AS "&amp;$V27&amp;"_"&amp;LOWER(F27)</f>
        <v xml:space="preserve"> SELECT iam___users.users -&gt;&gt; 'UserName' AS users_username</v>
      </c>
      <c r="CE27" s="8" t="str">
        <f>IF($I27&gt;=2,", "&amp;$U28&amp;"."&amp;$V28&amp;" -&gt;&gt; '"&amp;$F28&amp;"' AS "&amp;$V28&amp;"_"&amp;LOWER(F28),"")</f>
        <v>, iam___groups.groups -&gt;&gt; 'GroupName' AS groups_groupname</v>
      </c>
      <c r="CF27" s="8" t="str">
        <f>IF($I27&gt;=3,", "&amp;$U29&amp;"."&amp;$V29&amp;" -&gt;&gt; '"&amp;$F29&amp;"' AS "&amp;$V29&amp;"_"&amp;LOWER(F29),"")</f>
        <v/>
      </c>
      <c r="CG27" s="8" t="str">
        <f>IF($I27&gt;=4,", "&amp;$U30&amp;"."&amp;$V30&amp;" -&gt;&gt; '"&amp;$F30&amp;"' AS "&amp;$V30&amp;"_"&amp;LOWER(F30),"")</f>
        <v/>
      </c>
      <c r="CH27" s="8" t="str">
        <f>IF($I27&gt;=5,", "&amp;$U31&amp;"."&amp;$V31&amp;" -&gt;&gt; '"&amp;$F31&amp;"' AS "&amp;$V31&amp;"_"&amp;LOWER(F31),"")</f>
        <v/>
      </c>
      <c r="CI27" s="8" t="str">
        <f>IF($I27&gt;=6,", "&amp;$U32&amp;"."&amp;$V32&amp;" -&gt;&gt; '"&amp;$F32&amp;"' AS "&amp;$V32&amp;"_"&amp;LOWER(F32),"")</f>
        <v/>
      </c>
      <c r="CJ27" s="8" t="str">
        <f>IF($I27&gt;=7,", "&amp;$U33&amp;"."&amp;$V33&amp;" -&gt;&gt; '"&amp;$F33&amp;"' AS "&amp;$V33&amp;"_"&amp;LOWER(F33),"")</f>
        <v/>
      </c>
      <c r="CK27" s="8" t="str">
        <f>IF($I27&gt;=8,", "&amp;$U34&amp;"."&amp;$V34&amp;" -&gt;&gt; '"&amp;$F34&amp;"' AS "&amp;$V34&amp;"_"&amp;LOWER(F34),"")</f>
        <v/>
      </c>
      <c r="CL27" s="8" t="str">
        <f>IF($I27&gt;=1," FROM "&amp;$U27,"")</f>
        <v xml:space="preserve"> FROM iam___users</v>
      </c>
      <c r="CM27" s="9" t="str">
        <f>IF($I27&gt;=2," "&amp;$AA27&amp;" JOIN "&amp;$U27&amp;" USING ("&amp;$T27&amp;"."&amp;$W27&amp;", "&amp;$U27&amp;"."&amp;$V27&amp;" -&gt;&gt; '"&amp;$F27&amp;"')","")</f>
        <v xml:space="preserve"> INNER JOIN iam___users USING (iam___user_policy.username, iam___users.users -&gt;&gt; 'UserName')</v>
      </c>
      <c r="CN27" s="9" t="str">
        <f>IF($I27&gt;=3," "&amp;$AA28&amp;" JOIN "&amp;$U28&amp;" USING ("&amp;$T28&amp;"."&amp;$W28&amp;", "&amp;$U28&amp;"."&amp;$V28&amp;" -&gt;&gt; '"&amp;$F28&amp;"')","")</f>
        <v/>
      </c>
      <c r="CO27" s="9" t="str">
        <f>IF($I27&gt;=4," "&amp;$AA29&amp;" JOIN "&amp;$U29&amp;" USING ("&amp;$T29&amp;"."&amp;$W29&amp;", "&amp;$U29&amp;"."&amp;$V29&amp;" -&gt;&gt; '"&amp;$F29&amp;"')","")</f>
        <v/>
      </c>
      <c r="CP27" s="9" t="str">
        <f>IF($I27&gt;=5," "&amp;$AA30&amp;" JOIN "&amp;$U30&amp;" USING ("&amp;$T30&amp;"."&amp;$W30&amp;", "&amp;$U30&amp;"."&amp;$V30&amp;" -&gt;&gt; '"&amp;$F30&amp;"')","")</f>
        <v/>
      </c>
      <c r="CQ27" s="9" t="str">
        <f>IF($I27&gt;=6," "&amp;$AA31&amp;" JOIN "&amp;$U31&amp;" USING ("&amp;$T31&amp;"."&amp;$W31&amp;", "&amp;$U31&amp;"."&amp;$V31&amp;" -&gt;&gt; '"&amp;$F31&amp;"')","")</f>
        <v/>
      </c>
      <c r="CR27" s="8" t="str">
        <f>IF($I27&gt;=7," "&amp;$AA32&amp;" JOIN "&amp;$U32&amp;" USING ("&amp;$T32&amp;"."&amp;$W32&amp;", "&amp;$U32&amp;"."&amp;$V32&amp;" -&gt;&gt; '"&amp;$F32&amp;"')","")</f>
        <v/>
      </c>
      <c r="CS27" s="8" t="str">
        <f>IF($I27&gt;=8," "&amp;$AA33&amp;" JOIN "&amp;$U33&amp;" USING ("&amp;$T33&amp;"."&amp;$W33&amp;", "&amp;$U33&amp;"."&amp;$V33&amp;" -&gt;&gt; '"&amp;$F33&amp;"')","")</f>
        <v/>
      </c>
      <c r="CT27" s="8" t="str">
        <f t="shared" si="11"/>
        <v xml:space="preserve"> ;</v>
      </c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</row>
    <row r="28" spans="1:202" x14ac:dyDescent="0.25">
      <c r="A28">
        <v>27</v>
      </c>
      <c r="B28" s="4" t="s">
        <v>0</v>
      </c>
      <c r="C28" s="4" t="s">
        <v>19</v>
      </c>
      <c r="D28" s="4" t="s">
        <v>0</v>
      </c>
      <c r="E28" s="4" t="s">
        <v>15</v>
      </c>
      <c r="F28" s="4" t="s">
        <v>18</v>
      </c>
      <c r="G28" s="7" t="s">
        <v>72</v>
      </c>
      <c r="H28" s="7" t="s">
        <v>72</v>
      </c>
      <c r="I28" s="7">
        <v>1</v>
      </c>
      <c r="J28" s="7" t="s">
        <v>72</v>
      </c>
      <c r="K28" s="7">
        <v>1</v>
      </c>
      <c r="L28" s="4" t="s">
        <v>17</v>
      </c>
      <c r="M28" s="7" t="s">
        <v>72</v>
      </c>
      <c r="N28" s="4"/>
      <c r="O28" s="7"/>
      <c r="P28" s="4"/>
      <c r="Q28" s="8" t="str">
        <f>VLOOKUP($C28,aws_cli_commands!$C$2:$E$10000,2,FALSE)</f>
        <v>n</v>
      </c>
      <c r="R28" s="8" t="str">
        <f>VLOOKUP($C28,aws_cli_commands!$C$2:$E$10000,3,FALSE)</f>
        <v>y</v>
      </c>
      <c r="S28" s="8" t="str">
        <f>IF(OR(C28=C27,C28=C29),"y","n")</f>
        <v>n</v>
      </c>
      <c r="T28" s="8" t="str">
        <f>B28&amp;"___"&amp;SUBSTITUTE(RIGHT(C28,LEN(C28)-FIND("-",C28)),"-","_")</f>
        <v>iam___attached_group_policies</v>
      </c>
      <c r="U28" s="8" t="str">
        <f>SUBSTITUTE(D28&amp;"___"&amp;RIGHT(E28,LEN(E28)-FIND("-",E28)),"-","_")</f>
        <v>iam___groups</v>
      </c>
      <c r="V28" s="8" t="str">
        <f>SUBSTITUTE(RIGHT($E28,LEN($E28)-FIND("-",$E28)),"-","_")</f>
        <v>groups</v>
      </c>
      <c r="W28" s="8" t="str">
        <f>IF(G28="y",V28&amp;"_"&amp;LOWER(F28),IF(M28="y","**hardcoded**",LOWER(F28)))</f>
        <v>groupname</v>
      </c>
      <c r="X28" s="8" t="str">
        <f t="shared" si="1"/>
        <v>n</v>
      </c>
      <c r="Y28" s="8">
        <f>IF(AND($C28=$C28,$M28="y"),1,0)+IF(AND($C27=$C28,$M27="y"),1,0)+IF(AND($C26=$C28,$M26="y"),1,0)+IF(AND($C25=$C28,$M25="y"),1,0)+IF(AND($C24=$C28,$M24="y"),1,0)+IF(AND($C23=$C28,$M23="y"),1,0)+IF(AND($C22=$C28,$M22="y"),1,0)+IF(AND($C21=$C28,$M21="y"),1,0)+IF(AND($C20=$C28,$M20="y"),1,0)</f>
        <v>0</v>
      </c>
      <c r="Z28" s="8">
        <f>IF(AND($C28=$C28,$M28="y"),1,0)+IF(AND($C28=$C29,$M29="y"),1,0)+IF(AND($C28=$C30,$M30="y"),1,0)+IF(AND($C28=$C31,$M31="y"),1,0)+IF(AND($C28=$C32,$M32="y"),1,0)+IF(AND($C28=$C33,$M33="y"),1,0)+IF(AND($C28=$C34,$M34="y"),1,0)+IF(AND($C28=$C35,$M35="y"),1,0)+IF(AND($C28=$C36,$M36="y"),1,0)</f>
        <v>0</v>
      </c>
      <c r="AA28" s="8" t="s">
        <v>127</v>
      </c>
      <c r="AB28" s="9" t="str">
        <f>IF(AND($H28="y",$C28&lt;&gt;$C27),B28&amp;" "&amp;AC28&amp;AD28&amp;AE28&amp;AF28&amp;AG28&amp;AH28&amp;AI28&amp;AJ28&amp;AK28,IF(H28="n",B28&amp;" "&amp;AC28&amp;AD28&amp;AE28&amp;AF28&amp;AG28&amp;AH28&amp;AI28&amp;AJ28&amp;AK28,""))</f>
        <v>iam list-attached-group-policies --group-name</v>
      </c>
      <c r="AC28" s="8" t="str">
        <f t="shared" si="2"/>
        <v>list-attached-group-policies</v>
      </c>
      <c r="AD28" s="8" t="str">
        <f>IF($I28&gt;=1," "&amp;$L28,"")</f>
        <v xml:space="preserve"> --group-name</v>
      </c>
      <c r="AE28" s="8" t="str">
        <f>IF($I28&gt;=2," "&amp;$L29,"")</f>
        <v/>
      </c>
      <c r="AF28" s="8" t="str">
        <f>IF($I28&gt;=3," "&amp;$L30,"")</f>
        <v/>
      </c>
      <c r="AG28" s="8" t="str">
        <f>IF($I28&gt;=4," "&amp;$L31,"")</f>
        <v/>
      </c>
      <c r="AH28" s="8" t="str">
        <f>IF($I28&gt;=5," "&amp;$L32,"")</f>
        <v/>
      </c>
      <c r="AI28" s="8" t="str">
        <f>IF($I28&gt;=6," "&amp;$L33,"")</f>
        <v/>
      </c>
      <c r="AJ28" s="8" t="str">
        <f>IF($I28&gt;=7," "&amp;$L34,"")</f>
        <v/>
      </c>
      <c r="AK28" s="8" t="str">
        <f>IF($I28&gt;=8," "&amp;$L35,"")</f>
        <v/>
      </c>
      <c r="AL28" s="8" t="str">
        <f>U28</f>
        <v>iam___groups</v>
      </c>
      <c r="AM28" s="8" t="str">
        <f>IF($I28&gt;=2,$U29,"")</f>
        <v/>
      </c>
      <c r="AN28" s="8" t="str">
        <f>IF($I28&gt;=3,$U30,"")</f>
        <v/>
      </c>
      <c r="AO28" s="8" t="str">
        <f>IF(I28&gt;=4,$U31,"")</f>
        <v/>
      </c>
      <c r="AP28" s="8" t="str">
        <f>IF($I28&gt;=5,$U32,"")</f>
        <v/>
      </c>
      <c r="AQ28" s="8" t="str">
        <f>IF($I28&gt;=6,$U33,"")</f>
        <v/>
      </c>
      <c r="AR28" s="8" t="str">
        <f>IF($I28&gt;=7,$U34,"")</f>
        <v/>
      </c>
      <c r="AS28" s="8" t="str">
        <f>IF(I28&gt;=8,$U35,"")</f>
        <v/>
      </c>
      <c r="AT28" s="8" t="str">
        <f>F28</f>
        <v>GroupName</v>
      </c>
      <c r="AU28" s="8" t="str">
        <f>IF($I28&gt;=2,$F29,"")</f>
        <v/>
      </c>
      <c r="AV28" s="8" t="str">
        <f>IF($I28&gt;=3,$F30,"")</f>
        <v/>
      </c>
      <c r="AW28" s="8" t="str">
        <f>IF($I28&gt;=4,$F31,"")</f>
        <v/>
      </c>
      <c r="AX28" s="8" t="str">
        <f>IF($I28&gt;=5,$F32,"")</f>
        <v/>
      </c>
      <c r="AY28" s="8" t="str">
        <f>IF($I28&gt;=6,$F33,"")</f>
        <v/>
      </c>
      <c r="AZ28" s="8" t="str">
        <f>IF($I28&gt;=7,$F34,"")</f>
        <v/>
      </c>
      <c r="BA28" s="8" t="str">
        <f>IF($I28&gt;=8,$F35,"")</f>
        <v/>
      </c>
      <c r="BB28" s="9" t="str">
        <f>IF(OR(R28&lt;&gt;"y",I28&lt;&gt;1),"","SELECT aws_command::text || ' ' || command_parameter::text AS aws_command_string, parameter_source_table, parameter_source_key FROM (SELECT  "&amp;"'"&amp;AB28&amp;"'"&amp;" AS aws_command,"&amp;U28&amp;"."&amp;V28&amp;" -&gt;&gt; "&amp;"'"&amp;F28&amp;"'"&amp;" AS command_parameter, "&amp;"'"&amp;AL28&amp;"'"&amp;" AS parameter_source_table, "&amp;"'"&amp;AT28&amp;"'"&amp;" AS parameter_source_key FROM "&amp;U28&amp;") AS f")</f>
        <v>SELECT aws_command::text || ' ' || command_parameter::text AS aws_command_string, parameter_source_table, parameter_source_key FROM (SELECT  'iam list-attached-group-policies --group-name' AS aws_command,iam___groups.groups -&gt;&gt; 'GroupName' AS command_parameter, 'iam___groups' AS parameter_source_table, 'GroupName' AS parameter_source_key FROM iam___groups) AS f</v>
      </c>
      <c r="BC28" s="9" t="str">
        <f>IF(AND(H28="y",H27&lt;&gt;"y"),BE28&amp;BF28&amp;BG28&amp;BR28&amp;CC28,"")</f>
        <v/>
      </c>
      <c r="BD28" s="8" t="str">
        <f>"/* recursive command: "&amp;C28&amp;" */ DROP TABLE IF EXISTS "&amp;T28&amp;"; CREATE TABLE "&amp;T28&amp;"(  id SERIAL PRIMARY KEY, "&amp;F28&amp;" TEXT); SELECT "&amp;U28&amp;"."&amp;V28&amp;" -&gt;&gt; '"&amp;F28&amp;"' AS "&amp;V28&amp;" FROM "&amp;U28&amp;" ;"</f>
        <v>/* recursive command: list-attached-group-policies */ DROP TABLE IF EXISTS iam___attached_group_policies; CREATE TABLE iam___attached_group_policies(  id SERIAL PRIMARY KEY, GroupName TEXT); SELECT iam___groups.groups -&gt;&gt; 'GroupName' AS groups FROM iam___groups ;</v>
      </c>
      <c r="BE28" s="8" t="str">
        <f t="shared" si="3"/>
        <v xml:space="preserve">/* recursive command multi: list-attached-group-policies */ </v>
      </c>
      <c r="BF28" s="8" t="str">
        <f t="shared" si="4"/>
        <v xml:space="preserve">DROP TABLE IF EXISTS iam___attached_group_policies; </v>
      </c>
      <c r="BG28" s="8" t="str">
        <f t="shared" si="5"/>
        <v>CREATE TABLE iam___attached_group_policies(  id SERIAL PRIMARY KEY, groupname TEXT );</v>
      </c>
      <c r="BH28" s="8" t="str">
        <f t="shared" si="6"/>
        <v xml:space="preserve">CREATE TABLE iam___attached_group_policies(  id SERIAL PRIMARY KEY, </v>
      </c>
      <c r="BI28" s="8" t="str">
        <f>IF($I28&gt;=1,$W28&amp;" TEXT","")</f>
        <v>groupname TEXT</v>
      </c>
      <c r="BJ28" s="8" t="str">
        <f>IF($I28&gt;=2,", "&amp;$W29&amp;" TEXT","")</f>
        <v/>
      </c>
      <c r="BK28" s="8" t="str">
        <f>IF($I28&gt;=3,", "&amp;$W30&amp;" TEXT","")</f>
        <v/>
      </c>
      <c r="BL28" s="8" t="str">
        <f>IF($I28&gt;=4,", "&amp;$W31&amp;" TEXT","")</f>
        <v/>
      </c>
      <c r="BM28" s="8" t="str">
        <f>IF($I28&gt;=5,", "&amp;$W32&amp;" TEXT","")</f>
        <v/>
      </c>
      <c r="BN28" s="8" t="str">
        <f>IF($I28&gt;=6,", "&amp;$W33&amp;" TEXT","")</f>
        <v/>
      </c>
      <c r="BO28" s="8" t="str">
        <f>IF($I28&gt;=7,", "&amp;$W34&amp;" TEXT","")</f>
        <v/>
      </c>
      <c r="BP28" s="8" t="str">
        <f>IF($I28&gt;=8,", "&amp;$W35&amp;" TEXT","")</f>
        <v/>
      </c>
      <c r="BQ28" s="8" t="str">
        <f t="shared" si="7"/>
        <v xml:space="preserve"> );</v>
      </c>
      <c r="BR28" s="9" t="str">
        <f t="shared" si="8"/>
        <v xml:space="preserve"> INSERT INTO iam___attached_group_policies(groupname)</v>
      </c>
      <c r="BS28" s="9" t="str">
        <f t="shared" si="9"/>
        <v xml:space="preserve"> INSERT INTO iam___attached_group_policies(</v>
      </c>
      <c r="BT28" s="9" t="str">
        <f>IF($I28&gt;=1,$W28,"")</f>
        <v>groupname</v>
      </c>
      <c r="BU28" s="9" t="str">
        <f>IF($I28&gt;=2,", "&amp;$W29,"")</f>
        <v/>
      </c>
      <c r="BV28" s="9" t="str">
        <f>IF($I28&gt;=3,", "&amp;$W30,"")</f>
        <v/>
      </c>
      <c r="BW28" s="9" t="str">
        <f>IF($I28&gt;=4,", "&amp;$W31,"")</f>
        <v/>
      </c>
      <c r="BX28" s="9" t="str">
        <f>IF($I28&gt;=5,", "&amp;$W32,"")</f>
        <v/>
      </c>
      <c r="BY28" s="9" t="str">
        <f>IF($I28&gt;=6,", "&amp;$W33,"")</f>
        <v/>
      </c>
      <c r="BZ28" s="9" t="str">
        <f>IF($I28&gt;=7,", "&amp;$W34,"")</f>
        <v/>
      </c>
      <c r="CA28" s="9" t="str">
        <f>IF($I28&gt;=8,", "&amp;$W35,"")</f>
        <v/>
      </c>
      <c r="CB28" s="9" t="str">
        <f t="shared" si="10"/>
        <v>)</v>
      </c>
      <c r="CC28" s="9" t="str">
        <f t="shared" si="0"/>
        <v xml:space="preserve"> SELECT iam___groups.groups -&gt;&gt; 'GroupName' AS groups_groupname FROM iam___groups ;</v>
      </c>
      <c r="CD28" s="8" t="str">
        <f>" SELECT "&amp;$U28&amp;"."&amp;$V28&amp;" -&gt;&gt; '"&amp;$F28&amp;"' AS "&amp;$V28&amp;"_"&amp;LOWER(F28)</f>
        <v xml:space="preserve"> SELECT iam___groups.groups -&gt;&gt; 'GroupName' AS groups_groupname</v>
      </c>
      <c r="CE28" s="8" t="str">
        <f>IF($I28&gt;=2,", "&amp;$U29&amp;"."&amp;$V29&amp;" -&gt;&gt; '"&amp;$F29&amp;"' AS "&amp;$V29&amp;"_"&amp;LOWER(F29),"")</f>
        <v/>
      </c>
      <c r="CF28" s="8" t="str">
        <f>IF($I28&gt;=3,", "&amp;$U30&amp;"."&amp;$V30&amp;" -&gt;&gt; '"&amp;$F30&amp;"' AS "&amp;$V30&amp;"_"&amp;LOWER(F30),"")</f>
        <v/>
      </c>
      <c r="CG28" s="8" t="str">
        <f>IF($I28&gt;=4,", "&amp;$U31&amp;"."&amp;$V31&amp;" -&gt;&gt; '"&amp;$F31&amp;"' AS "&amp;$V31&amp;"_"&amp;LOWER(F31),"")</f>
        <v/>
      </c>
      <c r="CH28" s="8" t="str">
        <f>IF($I28&gt;=5,", "&amp;$U32&amp;"."&amp;$V32&amp;" -&gt;&gt; '"&amp;$F32&amp;"' AS "&amp;$V32&amp;"_"&amp;LOWER(F32),"")</f>
        <v/>
      </c>
      <c r="CI28" s="8" t="str">
        <f>IF($I28&gt;=6,", "&amp;$U33&amp;"."&amp;$V33&amp;" -&gt;&gt; '"&amp;$F33&amp;"' AS "&amp;$V33&amp;"_"&amp;LOWER(F33),"")</f>
        <v/>
      </c>
      <c r="CJ28" s="8" t="str">
        <f>IF($I28&gt;=7,", "&amp;$U34&amp;"."&amp;$V34&amp;" -&gt;&gt; '"&amp;$F34&amp;"' AS "&amp;$V34&amp;"_"&amp;LOWER(F34),"")</f>
        <v/>
      </c>
      <c r="CK28" s="8" t="str">
        <f>IF($I28&gt;=8,", "&amp;$U35&amp;"."&amp;$V35&amp;" -&gt;&gt; '"&amp;$F35&amp;"' AS "&amp;$V35&amp;"_"&amp;LOWER(F35),"")</f>
        <v/>
      </c>
      <c r="CL28" s="8" t="str">
        <f>IF($I28&gt;=1," FROM "&amp;$U28,"")</f>
        <v xml:space="preserve"> FROM iam___groups</v>
      </c>
      <c r="CM28" s="9" t="str">
        <f>IF($I28&gt;=2," "&amp;$AA28&amp;" JOIN "&amp;$U28&amp;" USING ("&amp;$T28&amp;"."&amp;$W28&amp;", "&amp;$U28&amp;"."&amp;$V28&amp;" -&gt;&gt; '"&amp;$F28&amp;"')","")</f>
        <v/>
      </c>
      <c r="CN28" s="9" t="str">
        <f>IF($I28&gt;=3," "&amp;$AA29&amp;" JOIN "&amp;$U29&amp;" USING ("&amp;$T29&amp;"."&amp;$W29&amp;", "&amp;$U29&amp;"."&amp;$V29&amp;" -&gt;&gt; '"&amp;$F29&amp;"')","")</f>
        <v/>
      </c>
      <c r="CO28" s="9" t="str">
        <f>IF($I28&gt;=4," "&amp;$AA30&amp;" JOIN "&amp;$U30&amp;" USING ("&amp;$T30&amp;"."&amp;$W30&amp;", "&amp;$U30&amp;"."&amp;$V30&amp;" -&gt;&gt; '"&amp;$F30&amp;"')","")</f>
        <v/>
      </c>
      <c r="CP28" s="9" t="str">
        <f>IF($I28&gt;=5," "&amp;$AA31&amp;" JOIN "&amp;$U31&amp;" USING ("&amp;$T31&amp;"."&amp;$W31&amp;", "&amp;$U31&amp;"."&amp;$V31&amp;" -&gt;&gt; '"&amp;$F31&amp;"')","")</f>
        <v/>
      </c>
      <c r="CQ28" s="9" t="str">
        <f>IF($I28&gt;=6," "&amp;$AA32&amp;" JOIN "&amp;$U32&amp;" USING ("&amp;$T32&amp;"."&amp;$W32&amp;", "&amp;$U32&amp;"."&amp;$V32&amp;" -&gt;&gt; '"&amp;$F32&amp;"')","")</f>
        <v/>
      </c>
      <c r="CR28" s="8" t="str">
        <f>IF($I28&gt;=7," "&amp;$AA33&amp;" JOIN "&amp;$U33&amp;" USING ("&amp;$T33&amp;"."&amp;$W33&amp;", "&amp;$U33&amp;"."&amp;$V33&amp;" -&gt;&gt; '"&amp;$F33&amp;"')","")</f>
        <v/>
      </c>
      <c r="CS28" s="8" t="str">
        <f>IF($I28&gt;=8," "&amp;$AA34&amp;" JOIN "&amp;$U34&amp;" USING ("&amp;$T34&amp;"."&amp;$W34&amp;", "&amp;$U34&amp;"."&amp;$V34&amp;" -&gt;&gt; '"&amp;$F34&amp;"')","")</f>
        <v/>
      </c>
      <c r="CT28" s="8" t="str">
        <f t="shared" si="11"/>
        <v xml:space="preserve"> ;</v>
      </c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</row>
    <row r="29" spans="1:202" x14ac:dyDescent="0.25">
      <c r="A29">
        <v>28</v>
      </c>
      <c r="B29" s="4" t="s">
        <v>0</v>
      </c>
      <c r="C29" s="4" t="s">
        <v>38</v>
      </c>
      <c r="D29" s="4" t="s">
        <v>0</v>
      </c>
      <c r="E29" s="4" t="s">
        <v>34</v>
      </c>
      <c r="F29" s="4" t="s">
        <v>37</v>
      </c>
      <c r="G29" s="7" t="s">
        <v>72</v>
      </c>
      <c r="H29" s="7" t="s">
        <v>72</v>
      </c>
      <c r="I29" s="7">
        <v>1</v>
      </c>
      <c r="J29" s="7" t="s">
        <v>72</v>
      </c>
      <c r="K29" s="7">
        <v>1</v>
      </c>
      <c r="L29" s="4" t="s">
        <v>36</v>
      </c>
      <c r="M29" s="7" t="s">
        <v>72</v>
      </c>
      <c r="N29" s="4"/>
      <c r="O29" s="7"/>
      <c r="P29" s="4"/>
      <c r="Q29" s="8" t="str">
        <f>VLOOKUP($C29,aws_cli_commands!$C$2:$E$10000,2,FALSE)</f>
        <v>n</v>
      </c>
      <c r="R29" s="8" t="str">
        <f>VLOOKUP($C29,aws_cli_commands!$C$2:$E$10000,3,FALSE)</f>
        <v>y</v>
      </c>
      <c r="S29" s="8" t="str">
        <f>IF(OR(C29=C28,C29=C30),"y","n")</f>
        <v>n</v>
      </c>
      <c r="T29" s="8" t="str">
        <f>B29&amp;"___"&amp;SUBSTITUTE(RIGHT(C29,LEN(C29)-FIND("-",C29)),"-","_")</f>
        <v>iam___attached_role_policies</v>
      </c>
      <c r="U29" s="8" t="str">
        <f>SUBSTITUTE(D29&amp;"___"&amp;RIGHT(E29,LEN(E29)-FIND("-",E29)),"-","_")</f>
        <v>iam___roles</v>
      </c>
      <c r="V29" s="8" t="str">
        <f>SUBSTITUTE(RIGHT($E29,LEN($E29)-FIND("-",$E29)),"-","_")</f>
        <v>roles</v>
      </c>
      <c r="W29" s="8" t="str">
        <f>IF(G29="y",V29&amp;"_"&amp;LOWER(F29),IF(M29="y","**hardcoded**",LOWER(F29)))</f>
        <v>rolename</v>
      </c>
      <c r="X29" s="8" t="str">
        <f t="shared" si="1"/>
        <v>n</v>
      </c>
      <c r="Y29" s="8">
        <f>IF(AND($C29=$C29,$M29="y"),1,0)+IF(AND($C28=$C29,$M28="y"),1,0)+IF(AND($C27=$C29,$M27="y"),1,0)+IF(AND($C26=$C29,$M26="y"),1,0)+IF(AND($C25=$C29,$M25="y"),1,0)+IF(AND($C24=$C29,$M24="y"),1,0)+IF(AND($C23=$C29,$M23="y"),1,0)+IF(AND($C22=$C29,$M22="y"),1,0)+IF(AND($C21=$C29,$M21="y"),1,0)</f>
        <v>0</v>
      </c>
      <c r="Z29" s="8">
        <f>IF(AND($C29=$C29,$M29="y"),1,0)+IF(AND($C29=$C30,$M30="y"),1,0)+IF(AND($C29=$C31,$M31="y"),1,0)+IF(AND($C29=$C32,$M32="y"),1,0)+IF(AND($C29=$C33,$M33="y"),1,0)+IF(AND($C29=$C34,$M34="y"),1,0)+IF(AND($C29=$C35,$M35="y"),1,0)+IF(AND($C29=$C36,$M36="y"),1,0)+IF(AND($C29=$C37,$M37="y"),1,0)</f>
        <v>0</v>
      </c>
      <c r="AA29" s="8" t="s">
        <v>127</v>
      </c>
      <c r="AB29" s="9" t="str">
        <f>IF(AND($H29="y",$C29&lt;&gt;$C28),B29&amp;" "&amp;AC29&amp;AD29&amp;AE29&amp;AF29&amp;AG29&amp;AH29&amp;AI29&amp;AJ29&amp;AK29,IF(H29="n",B29&amp;" "&amp;AC29&amp;AD29&amp;AE29&amp;AF29&amp;AG29&amp;AH29&amp;AI29&amp;AJ29&amp;AK29,""))</f>
        <v>iam list-attached-role-policies --role-name</v>
      </c>
      <c r="AC29" s="8" t="str">
        <f t="shared" si="2"/>
        <v>list-attached-role-policies</v>
      </c>
      <c r="AD29" s="8" t="str">
        <f>IF($I29&gt;=1," "&amp;$L29,"")</f>
        <v xml:space="preserve"> --role-name</v>
      </c>
      <c r="AE29" s="8" t="str">
        <f>IF($I29&gt;=2," "&amp;$L30,"")</f>
        <v/>
      </c>
      <c r="AF29" s="8" t="str">
        <f>IF($I29&gt;=3," "&amp;$L31,"")</f>
        <v/>
      </c>
      <c r="AG29" s="8" t="str">
        <f>IF($I29&gt;=4," "&amp;$L32,"")</f>
        <v/>
      </c>
      <c r="AH29" s="8" t="str">
        <f>IF($I29&gt;=5," "&amp;$L33,"")</f>
        <v/>
      </c>
      <c r="AI29" s="8" t="str">
        <f>IF($I29&gt;=6," "&amp;$L34,"")</f>
        <v/>
      </c>
      <c r="AJ29" s="8" t="str">
        <f>IF($I29&gt;=7," "&amp;$L35,"")</f>
        <v/>
      </c>
      <c r="AK29" s="8" t="str">
        <f>IF($I29&gt;=8," "&amp;$L36,"")</f>
        <v/>
      </c>
      <c r="AL29" s="8" t="str">
        <f>U29</f>
        <v>iam___roles</v>
      </c>
      <c r="AM29" s="8" t="str">
        <f>IF($I29&gt;=2,$U30,"")</f>
        <v/>
      </c>
      <c r="AN29" s="8" t="str">
        <f>IF($I29&gt;=3,$U31,"")</f>
        <v/>
      </c>
      <c r="AO29" s="8" t="str">
        <f>IF(I29&gt;=4,$U32,"")</f>
        <v/>
      </c>
      <c r="AP29" s="8" t="str">
        <f>IF($I29&gt;=5,$U33,"")</f>
        <v/>
      </c>
      <c r="AQ29" s="8" t="str">
        <f>IF($I29&gt;=6,$U34,"")</f>
        <v/>
      </c>
      <c r="AR29" s="8" t="str">
        <f>IF($I29&gt;=7,$U35,"")</f>
        <v/>
      </c>
      <c r="AS29" s="8" t="str">
        <f>IF(I29&gt;=8,$U36,"")</f>
        <v/>
      </c>
      <c r="AT29" s="8" t="str">
        <f>F29</f>
        <v>RoleName</v>
      </c>
      <c r="AU29" s="8" t="str">
        <f>IF($I29&gt;=2,$F30,"")</f>
        <v/>
      </c>
      <c r="AV29" s="8" t="str">
        <f>IF($I29&gt;=3,$F31,"")</f>
        <v/>
      </c>
      <c r="AW29" s="8" t="str">
        <f>IF($I29&gt;=4,$F32,"")</f>
        <v/>
      </c>
      <c r="AX29" s="8" t="str">
        <f>IF($I29&gt;=5,$F33,"")</f>
        <v/>
      </c>
      <c r="AY29" s="8" t="str">
        <f>IF($I29&gt;=6,$F34,"")</f>
        <v/>
      </c>
      <c r="AZ29" s="8" t="str">
        <f>IF($I29&gt;=7,$F35,"")</f>
        <v/>
      </c>
      <c r="BA29" s="8" t="str">
        <f>IF($I29&gt;=8,$F36,"")</f>
        <v/>
      </c>
      <c r="BB29" s="9" t="str">
        <f>IF(OR(R29&lt;&gt;"y",I29&lt;&gt;1),"","SELECT aws_command::text || ' ' || command_parameter::text AS aws_command_string, parameter_source_table, parameter_source_key FROM (SELECT  "&amp;"'"&amp;AB29&amp;"'"&amp;" AS aws_command,"&amp;U29&amp;"."&amp;V29&amp;" -&gt;&gt; "&amp;"'"&amp;F29&amp;"'"&amp;" AS command_parameter, "&amp;"'"&amp;AL29&amp;"'"&amp;" AS parameter_source_table, "&amp;"'"&amp;AT29&amp;"'"&amp;" AS parameter_source_key FROM "&amp;U29&amp;") AS f")</f>
        <v>SELECT aws_command::text || ' ' || command_parameter::text AS aws_command_string, parameter_source_table, parameter_source_key FROM (SELECT  'iam list-attached-role-policies --role-name' AS aws_command,iam___roles.roles -&gt;&gt; 'RoleName' AS command_parameter, 'iam___roles' AS parameter_source_table, 'RoleName' AS parameter_source_key FROM iam___roles) AS f</v>
      </c>
      <c r="BC29" s="9" t="str">
        <f>IF(AND(H29="y",H28&lt;&gt;"y"),BE29&amp;BF29&amp;BG29&amp;BR29&amp;CC29,"")</f>
        <v/>
      </c>
      <c r="BD29" s="8" t="str">
        <f>"/* recursive command: "&amp;C29&amp;" */ DROP TABLE IF EXISTS "&amp;T29&amp;"; CREATE TABLE "&amp;T29&amp;"(  id SERIAL PRIMARY KEY, "&amp;F29&amp;" TEXT); SELECT "&amp;U29&amp;"."&amp;V29&amp;" -&gt;&gt; '"&amp;F29&amp;"' AS "&amp;V29&amp;" FROM "&amp;U29&amp;" ;"</f>
        <v>/* recursive command: list-attached-role-policies */ DROP TABLE IF EXISTS iam___attached_role_policies; CREATE TABLE iam___attached_role_policies(  id SERIAL PRIMARY KEY, RoleName TEXT); SELECT iam___roles.roles -&gt;&gt; 'RoleName' AS roles FROM iam___roles ;</v>
      </c>
      <c r="BE29" s="8" t="str">
        <f t="shared" si="3"/>
        <v xml:space="preserve">/* recursive command multi: list-attached-role-policies */ </v>
      </c>
      <c r="BF29" s="8" t="str">
        <f t="shared" si="4"/>
        <v xml:space="preserve">DROP TABLE IF EXISTS iam___attached_role_policies; </v>
      </c>
      <c r="BG29" s="8" t="str">
        <f t="shared" si="5"/>
        <v>CREATE TABLE iam___attached_role_policies(  id SERIAL PRIMARY KEY, rolename TEXT );</v>
      </c>
      <c r="BH29" s="8" t="str">
        <f t="shared" si="6"/>
        <v xml:space="preserve">CREATE TABLE iam___attached_role_policies(  id SERIAL PRIMARY KEY, </v>
      </c>
      <c r="BI29" s="8" t="str">
        <f>IF($I29&gt;=1,$W29&amp;" TEXT","")</f>
        <v>rolename TEXT</v>
      </c>
      <c r="BJ29" s="8" t="str">
        <f>IF($I29&gt;=2,", "&amp;$W30&amp;" TEXT","")</f>
        <v/>
      </c>
      <c r="BK29" s="8" t="str">
        <f>IF($I29&gt;=3,", "&amp;$W31&amp;" TEXT","")</f>
        <v/>
      </c>
      <c r="BL29" s="8" t="str">
        <f>IF($I29&gt;=4,", "&amp;$W32&amp;" TEXT","")</f>
        <v/>
      </c>
      <c r="BM29" s="8" t="str">
        <f>IF($I29&gt;=5,", "&amp;$W33&amp;" TEXT","")</f>
        <v/>
      </c>
      <c r="BN29" s="8" t="str">
        <f>IF($I29&gt;=6,", "&amp;$W34&amp;" TEXT","")</f>
        <v/>
      </c>
      <c r="BO29" s="8" t="str">
        <f>IF($I29&gt;=7,", "&amp;$W35&amp;" TEXT","")</f>
        <v/>
      </c>
      <c r="BP29" s="8" t="str">
        <f>IF($I29&gt;=8,", "&amp;$W36&amp;" TEXT","")</f>
        <v/>
      </c>
      <c r="BQ29" s="8" t="str">
        <f t="shared" si="7"/>
        <v xml:space="preserve"> );</v>
      </c>
      <c r="BR29" s="9" t="str">
        <f t="shared" si="8"/>
        <v xml:space="preserve"> INSERT INTO iam___attached_role_policies(rolename)</v>
      </c>
      <c r="BS29" s="9" t="str">
        <f t="shared" si="9"/>
        <v xml:space="preserve"> INSERT INTO iam___attached_role_policies(</v>
      </c>
      <c r="BT29" s="9" t="str">
        <f>IF($I29&gt;=1,$W29,"")</f>
        <v>rolename</v>
      </c>
      <c r="BU29" s="9" t="str">
        <f>IF($I29&gt;=2,", "&amp;$W30,"")</f>
        <v/>
      </c>
      <c r="BV29" s="9" t="str">
        <f>IF($I29&gt;=3,", "&amp;$W31,"")</f>
        <v/>
      </c>
      <c r="BW29" s="9" t="str">
        <f>IF($I29&gt;=4,", "&amp;$W32,"")</f>
        <v/>
      </c>
      <c r="BX29" s="9" t="str">
        <f>IF($I29&gt;=5,", "&amp;$W33,"")</f>
        <v/>
      </c>
      <c r="BY29" s="9" t="str">
        <f>IF($I29&gt;=6,", "&amp;$W34,"")</f>
        <v/>
      </c>
      <c r="BZ29" s="9" t="str">
        <f>IF($I29&gt;=7,", "&amp;$W35,"")</f>
        <v/>
      </c>
      <c r="CA29" s="9" t="str">
        <f>IF($I29&gt;=8,", "&amp;$W36,"")</f>
        <v/>
      </c>
      <c r="CB29" s="9" t="str">
        <f t="shared" si="10"/>
        <v>)</v>
      </c>
      <c r="CC29" s="9" t="str">
        <f t="shared" si="0"/>
        <v xml:space="preserve"> SELECT iam___roles.roles -&gt;&gt; 'RoleName' AS roles_rolename FROM iam___roles ;</v>
      </c>
      <c r="CD29" s="8" t="str">
        <f>" SELECT "&amp;$U29&amp;"."&amp;$V29&amp;" -&gt;&gt; '"&amp;$F29&amp;"' AS "&amp;$V29&amp;"_"&amp;LOWER(F29)</f>
        <v xml:space="preserve"> SELECT iam___roles.roles -&gt;&gt; 'RoleName' AS roles_rolename</v>
      </c>
      <c r="CE29" s="8" t="str">
        <f>IF($I29&gt;=2,", "&amp;$U30&amp;"."&amp;$V30&amp;" -&gt;&gt; '"&amp;$F30&amp;"' AS "&amp;$V30&amp;"_"&amp;LOWER(F30),"")</f>
        <v/>
      </c>
      <c r="CF29" s="8" t="str">
        <f>IF($I29&gt;=3,", "&amp;$U31&amp;"."&amp;$V31&amp;" -&gt;&gt; '"&amp;$F31&amp;"' AS "&amp;$V31&amp;"_"&amp;LOWER(F31),"")</f>
        <v/>
      </c>
      <c r="CG29" s="8" t="str">
        <f>IF($I29&gt;=4,", "&amp;$U32&amp;"."&amp;$V32&amp;" -&gt;&gt; '"&amp;$F32&amp;"' AS "&amp;$V32&amp;"_"&amp;LOWER(F32),"")</f>
        <v/>
      </c>
      <c r="CH29" s="8" t="str">
        <f>IF($I29&gt;=5,", "&amp;$U33&amp;"."&amp;$V33&amp;" -&gt;&gt; '"&amp;$F33&amp;"' AS "&amp;$V33&amp;"_"&amp;LOWER(F33),"")</f>
        <v/>
      </c>
      <c r="CI29" s="8" t="str">
        <f>IF($I29&gt;=6,", "&amp;$U34&amp;"."&amp;$V34&amp;" -&gt;&gt; '"&amp;$F34&amp;"' AS "&amp;$V34&amp;"_"&amp;LOWER(F34),"")</f>
        <v/>
      </c>
      <c r="CJ29" s="8" t="str">
        <f>IF($I29&gt;=7,", "&amp;$U35&amp;"."&amp;$V35&amp;" -&gt;&gt; '"&amp;$F35&amp;"' AS "&amp;$V35&amp;"_"&amp;LOWER(F35),"")</f>
        <v/>
      </c>
      <c r="CK29" s="8" t="str">
        <f>IF($I29&gt;=8,", "&amp;$U36&amp;"."&amp;$V36&amp;" -&gt;&gt; '"&amp;$F36&amp;"' AS "&amp;$V36&amp;"_"&amp;LOWER(F36),"")</f>
        <v/>
      </c>
      <c r="CL29" s="8" t="str">
        <f>IF($I29&gt;=1," FROM "&amp;$U29,"")</f>
        <v xml:space="preserve"> FROM iam___roles</v>
      </c>
      <c r="CM29" s="9" t="str">
        <f>IF($I29&gt;=2," "&amp;$AA29&amp;" JOIN "&amp;$U29&amp;" USING ("&amp;$T29&amp;"."&amp;$W29&amp;", "&amp;$U29&amp;"."&amp;$V29&amp;" -&gt;&gt; '"&amp;$F29&amp;"')","")</f>
        <v/>
      </c>
      <c r="CN29" s="9" t="str">
        <f>IF($I29&gt;=3," "&amp;$AA30&amp;" JOIN "&amp;$U30&amp;" USING ("&amp;$T30&amp;"."&amp;$W30&amp;", "&amp;$U30&amp;"."&amp;$V30&amp;" -&gt;&gt; '"&amp;$F30&amp;"')","")</f>
        <v/>
      </c>
      <c r="CO29" s="9" t="str">
        <f>IF($I29&gt;=4," "&amp;$AA31&amp;" JOIN "&amp;$U31&amp;" USING ("&amp;$T31&amp;"."&amp;$W31&amp;", "&amp;$U31&amp;"."&amp;$V31&amp;" -&gt;&gt; '"&amp;$F31&amp;"')","")</f>
        <v/>
      </c>
      <c r="CP29" s="9" t="str">
        <f>IF($I29&gt;=5," "&amp;$AA32&amp;" JOIN "&amp;$U32&amp;" USING ("&amp;$T32&amp;"."&amp;$W32&amp;", "&amp;$U32&amp;"."&amp;$V32&amp;" -&gt;&gt; '"&amp;$F32&amp;"')","")</f>
        <v/>
      </c>
      <c r="CQ29" s="9" t="str">
        <f>IF($I29&gt;=6," "&amp;$AA33&amp;" JOIN "&amp;$U33&amp;" USING ("&amp;$T33&amp;"."&amp;$W33&amp;", "&amp;$U33&amp;"."&amp;$V33&amp;" -&gt;&gt; '"&amp;$F33&amp;"')","")</f>
        <v/>
      </c>
      <c r="CR29" s="8" t="str">
        <f>IF($I29&gt;=7," "&amp;$AA34&amp;" JOIN "&amp;$U34&amp;" USING ("&amp;$T34&amp;"."&amp;$W34&amp;", "&amp;$U34&amp;"."&amp;$V34&amp;" -&gt;&gt; '"&amp;$F34&amp;"')","")</f>
        <v/>
      </c>
      <c r="CS29" s="8" t="str">
        <f>IF($I29&gt;=8," "&amp;$AA35&amp;" JOIN "&amp;$U35&amp;" USING ("&amp;$T35&amp;"."&amp;$W35&amp;", "&amp;$U35&amp;"."&amp;$V35&amp;" -&gt;&gt; '"&amp;$F35&amp;"')","")</f>
        <v/>
      </c>
      <c r="CT29" s="8" t="str">
        <f t="shared" si="11"/>
        <v xml:space="preserve"> ;</v>
      </c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</row>
    <row r="30" spans="1:202" x14ac:dyDescent="0.25">
      <c r="A30">
        <v>29</v>
      </c>
      <c r="B30" s="4" t="s">
        <v>0</v>
      </c>
      <c r="C30" s="4" t="s">
        <v>53</v>
      </c>
      <c r="D30" s="4" t="s">
        <v>0</v>
      </c>
      <c r="E30" s="4" t="s">
        <v>48</v>
      </c>
      <c r="F30" s="4" t="s">
        <v>51</v>
      </c>
      <c r="G30" s="7" t="s">
        <v>72</v>
      </c>
      <c r="H30" s="7" t="s">
        <v>72</v>
      </c>
      <c r="I30" s="7">
        <v>1</v>
      </c>
      <c r="J30" s="7" t="s">
        <v>72</v>
      </c>
      <c r="K30" s="7">
        <v>1</v>
      </c>
      <c r="L30" s="4" t="s">
        <v>50</v>
      </c>
      <c r="M30" s="7" t="s">
        <v>72</v>
      </c>
      <c r="N30" s="4"/>
      <c r="O30" s="7"/>
      <c r="P30" s="4"/>
      <c r="Q30" s="8" t="str">
        <f>VLOOKUP($C30,aws_cli_commands!$C$2:$E$10000,2,FALSE)</f>
        <v>n</v>
      </c>
      <c r="R30" s="8" t="str">
        <f>VLOOKUP($C30,aws_cli_commands!$C$2:$E$10000,3,FALSE)</f>
        <v>y</v>
      </c>
      <c r="S30" s="8" t="str">
        <f>IF(OR(C30=C29,C30=C31),"y","n")</f>
        <v>n</v>
      </c>
      <c r="T30" s="8" t="str">
        <f>B30&amp;"___"&amp;SUBSTITUTE(RIGHT(C30,LEN(C30)-FIND("-",C30)),"-","_")</f>
        <v>iam___attached_user_policies</v>
      </c>
      <c r="U30" s="8" t="str">
        <f>SUBSTITUTE(D30&amp;"___"&amp;RIGHT(E30,LEN(E30)-FIND("-",E30)),"-","_")</f>
        <v>iam___users</v>
      </c>
      <c r="V30" s="8" t="str">
        <f>SUBSTITUTE(RIGHT($E30,LEN($E30)-FIND("-",$E30)),"-","_")</f>
        <v>users</v>
      </c>
      <c r="W30" s="8" t="str">
        <f>IF(G30="y",V30&amp;"_"&amp;LOWER(F30),IF(M30="y","**hardcoded**",LOWER(F30)))</f>
        <v>username</v>
      </c>
      <c r="X30" s="8" t="str">
        <f t="shared" si="1"/>
        <v>n</v>
      </c>
      <c r="Y30" s="8">
        <f>IF(AND($C30=$C30,$M30="y"),1,0)+IF(AND($C29=$C30,$M29="y"),1,0)+IF(AND($C28=$C30,$M28="y"),1,0)+IF(AND($C27=$C30,$M27="y"),1,0)+IF(AND($C26=$C30,$M26="y"),1,0)+IF(AND($C25=$C30,$M25="y"),1,0)+IF(AND($C24=$C30,$M24="y"),1,0)+IF(AND($C23=$C30,$M23="y"),1,0)+IF(AND($C22=$C30,$M22="y"),1,0)</f>
        <v>0</v>
      </c>
      <c r="Z30" s="8">
        <f>IF(AND($C30=$C30,$M30="y"),1,0)+IF(AND($C30=$C31,$M31="y"),1,0)+IF(AND($C30=$C32,$M32="y"),1,0)+IF(AND($C30=$C33,$M33="y"),1,0)+IF(AND($C30=$C34,$M34="y"),1,0)+IF(AND($C30=$C35,$M35="y"),1,0)+IF(AND($C30=$C36,$M36="y"),1,0)+IF(AND($C30=$C37,$M37="y"),1,0)+IF(AND($C30=$C38,$M38="y"),1,0)</f>
        <v>0</v>
      </c>
      <c r="AA30" s="8" t="s">
        <v>127</v>
      </c>
      <c r="AB30" s="9" t="str">
        <f>IF(AND($H30="y",$C30&lt;&gt;$C29),B30&amp;" "&amp;AC30&amp;AD30&amp;AE30&amp;AF30&amp;AG30&amp;AH30&amp;AI30&amp;AJ30&amp;AK30,IF(H30="n",B30&amp;" "&amp;AC30&amp;AD30&amp;AE30&amp;AF30&amp;AG30&amp;AH30&amp;AI30&amp;AJ30&amp;AK30,""))</f>
        <v>iam list-attached-user-policies --user-name</v>
      </c>
      <c r="AC30" s="8" t="str">
        <f t="shared" si="2"/>
        <v>list-attached-user-policies</v>
      </c>
      <c r="AD30" s="8" t="str">
        <f>IF($I30&gt;=1," "&amp;$L30,"")</f>
        <v xml:space="preserve"> --user-name</v>
      </c>
      <c r="AE30" s="8" t="str">
        <f>IF($I30&gt;=2," "&amp;$L31,"")</f>
        <v/>
      </c>
      <c r="AF30" s="8" t="str">
        <f>IF($I30&gt;=3," "&amp;$L32,"")</f>
        <v/>
      </c>
      <c r="AG30" s="8" t="str">
        <f>IF($I30&gt;=4," "&amp;$L33,"")</f>
        <v/>
      </c>
      <c r="AH30" s="8" t="str">
        <f>IF($I30&gt;=5," "&amp;$L34,"")</f>
        <v/>
      </c>
      <c r="AI30" s="8" t="str">
        <f>IF($I30&gt;=6," "&amp;$L35,"")</f>
        <v/>
      </c>
      <c r="AJ30" s="8" t="str">
        <f>IF($I30&gt;=7," "&amp;$L36,"")</f>
        <v/>
      </c>
      <c r="AK30" s="8" t="str">
        <f>IF($I30&gt;=8," "&amp;$L37,"")</f>
        <v/>
      </c>
      <c r="AL30" s="8" t="str">
        <f>U30</f>
        <v>iam___users</v>
      </c>
      <c r="AM30" s="8" t="str">
        <f>IF($I30&gt;=2,$U31,"")</f>
        <v/>
      </c>
      <c r="AN30" s="8" t="str">
        <f>IF($I30&gt;=3,$U32,"")</f>
        <v/>
      </c>
      <c r="AO30" s="8" t="str">
        <f>IF(I30&gt;=4,$U33,"")</f>
        <v/>
      </c>
      <c r="AP30" s="8" t="str">
        <f>IF($I30&gt;=5,$U34,"")</f>
        <v/>
      </c>
      <c r="AQ30" s="8" t="str">
        <f>IF($I30&gt;=6,$U35,"")</f>
        <v/>
      </c>
      <c r="AR30" s="8" t="str">
        <f>IF($I30&gt;=7,$U36,"")</f>
        <v/>
      </c>
      <c r="AS30" s="8" t="str">
        <f>IF(I30&gt;=8,$U37,"")</f>
        <v/>
      </c>
      <c r="AT30" s="8" t="str">
        <f>F30</f>
        <v>UserName</v>
      </c>
      <c r="AU30" s="8" t="str">
        <f>IF($I30&gt;=2,$F31,"")</f>
        <v/>
      </c>
      <c r="AV30" s="8" t="str">
        <f>IF($I30&gt;=3,$F32,"")</f>
        <v/>
      </c>
      <c r="AW30" s="8" t="str">
        <f>IF($I30&gt;=4,$F33,"")</f>
        <v/>
      </c>
      <c r="AX30" s="8" t="str">
        <f>IF($I30&gt;=5,$F34,"")</f>
        <v/>
      </c>
      <c r="AY30" s="8" t="str">
        <f>IF($I30&gt;=6,$F35,"")</f>
        <v/>
      </c>
      <c r="AZ30" s="8" t="str">
        <f>IF($I30&gt;=7,$F36,"")</f>
        <v/>
      </c>
      <c r="BA30" s="8" t="str">
        <f>IF($I30&gt;=8,$F37,"")</f>
        <v/>
      </c>
      <c r="BB30" s="9" t="str">
        <f>IF(OR(R30&lt;&gt;"y",I30&lt;&gt;1),"","SELECT aws_command::text || ' ' || command_parameter::text AS aws_command_string, parameter_source_table, parameter_source_key FROM (SELECT  "&amp;"'"&amp;AB30&amp;"'"&amp;" AS aws_command,"&amp;U30&amp;"."&amp;V30&amp;" -&gt;&gt; "&amp;"'"&amp;F30&amp;"'"&amp;" AS command_parameter, "&amp;"'"&amp;AL30&amp;"'"&amp;" AS parameter_source_table, "&amp;"'"&amp;AT30&amp;"'"&amp;" AS parameter_source_key FROM "&amp;U30&amp;") AS f")</f>
        <v>SELECT aws_command::text || ' ' || command_parameter::text AS aws_command_string, parameter_source_table, parameter_source_key FROM (SELECT  'iam list-attached-user-policies --user-name' AS aws_command,iam___users.users -&gt;&gt; 'UserName' AS command_parameter, 'iam___users' AS parameter_source_table, 'UserName' AS parameter_source_key FROM iam___users) AS f</v>
      </c>
      <c r="BC30" s="9" t="str">
        <f>IF(AND(H30="y",H29&lt;&gt;"y"),BE30&amp;BF30&amp;BG30&amp;BR30&amp;CC30,"")</f>
        <v/>
      </c>
      <c r="BD30" s="8" t="str">
        <f>"/* recursive command: "&amp;C30&amp;" */ DROP TABLE IF EXISTS "&amp;T30&amp;"; CREATE TABLE "&amp;T30&amp;"(  id SERIAL PRIMARY KEY, "&amp;F30&amp;" TEXT); SELECT "&amp;U30&amp;"."&amp;V30&amp;" -&gt;&gt; '"&amp;F30&amp;"' AS "&amp;V30&amp;" FROM "&amp;U30&amp;" ;"</f>
        <v>/* recursive command: list-attached-user-policies */ DROP TABLE IF EXISTS iam___attached_user_policies; CREATE TABLE iam___attached_user_policies(  id SERIAL PRIMARY KEY, UserName TEXT); SELECT iam___users.users -&gt;&gt; 'UserName' AS users FROM iam___users ;</v>
      </c>
      <c r="BE30" s="8" t="str">
        <f t="shared" si="3"/>
        <v xml:space="preserve">/* recursive command multi: list-attached-user-policies */ </v>
      </c>
      <c r="BF30" s="8" t="str">
        <f t="shared" si="4"/>
        <v xml:space="preserve">DROP TABLE IF EXISTS iam___attached_user_policies; </v>
      </c>
      <c r="BG30" s="8" t="str">
        <f t="shared" si="5"/>
        <v>CREATE TABLE iam___attached_user_policies(  id SERIAL PRIMARY KEY, username TEXT );</v>
      </c>
      <c r="BH30" s="8" t="str">
        <f t="shared" si="6"/>
        <v xml:space="preserve">CREATE TABLE iam___attached_user_policies(  id SERIAL PRIMARY KEY, </v>
      </c>
      <c r="BI30" s="8" t="str">
        <f>IF($I30&gt;=1,$W30&amp;" TEXT","")</f>
        <v>username TEXT</v>
      </c>
      <c r="BJ30" s="8" t="str">
        <f>IF($I30&gt;=2,", "&amp;$W31&amp;" TEXT","")</f>
        <v/>
      </c>
      <c r="BK30" s="8" t="str">
        <f>IF($I30&gt;=3,", "&amp;$W32&amp;" TEXT","")</f>
        <v/>
      </c>
      <c r="BL30" s="8" t="str">
        <f>IF($I30&gt;=4,", "&amp;$W33&amp;" TEXT","")</f>
        <v/>
      </c>
      <c r="BM30" s="8" t="str">
        <f>IF($I30&gt;=5,", "&amp;$W34&amp;" TEXT","")</f>
        <v/>
      </c>
      <c r="BN30" s="8" t="str">
        <f>IF($I30&gt;=6,", "&amp;$W35&amp;" TEXT","")</f>
        <v/>
      </c>
      <c r="BO30" s="8" t="str">
        <f>IF($I30&gt;=7,", "&amp;$W36&amp;" TEXT","")</f>
        <v/>
      </c>
      <c r="BP30" s="8" t="str">
        <f>IF($I30&gt;=8,", "&amp;$W37&amp;" TEXT","")</f>
        <v/>
      </c>
      <c r="BQ30" s="8" t="str">
        <f t="shared" si="7"/>
        <v xml:space="preserve"> );</v>
      </c>
      <c r="BR30" s="9" t="str">
        <f t="shared" si="8"/>
        <v xml:space="preserve"> INSERT INTO iam___attached_user_policies(username)</v>
      </c>
      <c r="BS30" s="9" t="str">
        <f t="shared" si="9"/>
        <v xml:space="preserve"> INSERT INTO iam___attached_user_policies(</v>
      </c>
      <c r="BT30" s="9" t="str">
        <f>IF($I30&gt;=1,$W30,"")</f>
        <v>username</v>
      </c>
      <c r="BU30" s="9" t="str">
        <f>IF($I30&gt;=2,", "&amp;$W31,"")</f>
        <v/>
      </c>
      <c r="BV30" s="9" t="str">
        <f>IF($I30&gt;=3,", "&amp;$W32,"")</f>
        <v/>
      </c>
      <c r="BW30" s="9" t="str">
        <f>IF($I30&gt;=4,", "&amp;$W33,"")</f>
        <v/>
      </c>
      <c r="BX30" s="9" t="str">
        <f>IF($I30&gt;=5,", "&amp;$W34,"")</f>
        <v/>
      </c>
      <c r="BY30" s="9" t="str">
        <f>IF($I30&gt;=6,", "&amp;$W35,"")</f>
        <v/>
      </c>
      <c r="BZ30" s="9" t="str">
        <f>IF($I30&gt;=7,", "&amp;$W36,"")</f>
        <v/>
      </c>
      <c r="CA30" s="9" t="str">
        <f>IF($I30&gt;=8,", "&amp;$W37,"")</f>
        <v/>
      </c>
      <c r="CB30" s="9" t="str">
        <f t="shared" si="10"/>
        <v>)</v>
      </c>
      <c r="CC30" s="9" t="str">
        <f t="shared" si="0"/>
        <v xml:space="preserve"> SELECT iam___users.users -&gt;&gt; 'UserName' AS users_username FROM iam___users ;</v>
      </c>
      <c r="CD30" s="8" t="str">
        <f>" SELECT "&amp;$U30&amp;"."&amp;$V30&amp;" -&gt;&gt; '"&amp;$F30&amp;"' AS "&amp;$V30&amp;"_"&amp;LOWER(F30)</f>
        <v xml:space="preserve"> SELECT iam___users.users -&gt;&gt; 'UserName' AS users_username</v>
      </c>
      <c r="CE30" s="8" t="str">
        <f>IF($I30&gt;=2,", "&amp;$U31&amp;"."&amp;$V31&amp;" -&gt;&gt; '"&amp;$F31&amp;"' AS "&amp;$V31&amp;"_"&amp;LOWER(F31),"")</f>
        <v/>
      </c>
      <c r="CF30" s="8" t="str">
        <f>IF($I30&gt;=3,", "&amp;$U32&amp;"."&amp;$V32&amp;" -&gt;&gt; '"&amp;$F32&amp;"' AS "&amp;$V32&amp;"_"&amp;LOWER(F32),"")</f>
        <v/>
      </c>
      <c r="CG30" s="8" t="str">
        <f>IF($I30&gt;=4,", "&amp;$U33&amp;"."&amp;$V33&amp;" -&gt;&gt; '"&amp;$F33&amp;"' AS "&amp;$V33&amp;"_"&amp;LOWER(F33),"")</f>
        <v/>
      </c>
      <c r="CH30" s="8" t="str">
        <f>IF($I30&gt;=5,", "&amp;$U34&amp;"."&amp;$V34&amp;" -&gt;&gt; '"&amp;$F34&amp;"' AS "&amp;$V34&amp;"_"&amp;LOWER(F34),"")</f>
        <v/>
      </c>
      <c r="CI30" s="8" t="str">
        <f>IF($I30&gt;=6,", "&amp;$U35&amp;"."&amp;$V35&amp;" -&gt;&gt; '"&amp;$F35&amp;"' AS "&amp;$V35&amp;"_"&amp;LOWER(F35),"")</f>
        <v/>
      </c>
      <c r="CJ30" s="8" t="str">
        <f>IF($I30&gt;=7,", "&amp;$U36&amp;"."&amp;$V36&amp;" -&gt;&gt; '"&amp;$F36&amp;"' AS "&amp;$V36&amp;"_"&amp;LOWER(F36),"")</f>
        <v/>
      </c>
      <c r="CK30" s="8" t="str">
        <f>IF($I30&gt;=8,", "&amp;$U37&amp;"."&amp;$V37&amp;" -&gt;&gt; '"&amp;$F37&amp;"' AS "&amp;$V37&amp;"_"&amp;LOWER(F37),"")</f>
        <v/>
      </c>
      <c r="CL30" s="8" t="str">
        <f>IF($I30&gt;=1," FROM "&amp;$U30,"")</f>
        <v xml:space="preserve"> FROM iam___users</v>
      </c>
      <c r="CM30" s="9" t="str">
        <f>IF($I30&gt;=2," "&amp;$AA30&amp;" JOIN "&amp;$U30&amp;" USING ("&amp;$T30&amp;"."&amp;$W30&amp;", "&amp;$U30&amp;"."&amp;$V30&amp;" -&gt;&gt; '"&amp;$F30&amp;"')","")</f>
        <v/>
      </c>
      <c r="CN30" s="9" t="str">
        <f>IF($I30&gt;=3," "&amp;$AA31&amp;" JOIN "&amp;$U31&amp;" USING ("&amp;$T31&amp;"."&amp;$W31&amp;", "&amp;$U31&amp;"."&amp;$V31&amp;" -&gt;&gt; '"&amp;$F31&amp;"')","")</f>
        <v/>
      </c>
      <c r="CO30" s="9" t="str">
        <f>IF($I30&gt;=4," "&amp;$AA32&amp;" JOIN "&amp;$U32&amp;" USING ("&amp;$T32&amp;"."&amp;$W32&amp;", "&amp;$U32&amp;"."&amp;$V32&amp;" -&gt;&gt; '"&amp;$F32&amp;"')","")</f>
        <v/>
      </c>
      <c r="CP30" s="9" t="str">
        <f>IF($I30&gt;=5," "&amp;$AA33&amp;" JOIN "&amp;$U33&amp;" USING ("&amp;$T33&amp;"."&amp;$W33&amp;", "&amp;$U33&amp;"."&amp;$V33&amp;" -&gt;&gt; '"&amp;$F33&amp;"')","")</f>
        <v/>
      </c>
      <c r="CQ30" s="9" t="str">
        <f>IF($I30&gt;=6," "&amp;$AA34&amp;" JOIN "&amp;$U34&amp;" USING ("&amp;$T34&amp;"."&amp;$W34&amp;", "&amp;$U34&amp;"."&amp;$V34&amp;" -&gt;&gt; '"&amp;$F34&amp;"')","")</f>
        <v/>
      </c>
      <c r="CR30" s="8" t="str">
        <f>IF($I30&gt;=7," "&amp;$AA35&amp;" JOIN "&amp;$U35&amp;" USING ("&amp;$T35&amp;"."&amp;$W35&amp;", "&amp;$U35&amp;"."&amp;$V35&amp;" -&gt;&gt; '"&amp;$F35&amp;"')","")</f>
        <v/>
      </c>
      <c r="CS30" s="8" t="str">
        <f>IF($I30&gt;=8," "&amp;$AA36&amp;" JOIN "&amp;$U36&amp;" USING ("&amp;$T36&amp;"."&amp;$W36&amp;", "&amp;$U36&amp;"."&amp;$V36&amp;" -&gt;&gt; '"&amp;$F36&amp;"')","")</f>
        <v/>
      </c>
      <c r="CT30" s="8" t="str">
        <f t="shared" si="11"/>
        <v xml:space="preserve"> ;</v>
      </c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</row>
    <row r="31" spans="1:202" x14ac:dyDescent="0.25">
      <c r="A31">
        <v>30</v>
      </c>
      <c r="B31" s="4" t="s">
        <v>0</v>
      </c>
      <c r="C31" s="4" t="s">
        <v>32</v>
      </c>
      <c r="D31" s="4" t="s">
        <v>0</v>
      </c>
      <c r="E31" s="4" t="s">
        <v>29</v>
      </c>
      <c r="F31" s="4" t="s">
        <v>28</v>
      </c>
      <c r="G31" s="7" t="s">
        <v>72</v>
      </c>
      <c r="H31" s="7" t="s">
        <v>72</v>
      </c>
      <c r="I31" s="7">
        <v>1</v>
      </c>
      <c r="J31" s="7" t="s">
        <v>72</v>
      </c>
      <c r="K31" s="7">
        <v>1</v>
      </c>
      <c r="L31" s="4" t="s">
        <v>31</v>
      </c>
      <c r="M31" s="7" t="s">
        <v>72</v>
      </c>
      <c r="N31" s="4"/>
      <c r="O31" s="7"/>
      <c r="P31" s="4"/>
      <c r="Q31" s="8" t="str">
        <f>VLOOKUP($C31,aws_cli_commands!$C$2:$E$10000,2,FALSE)</f>
        <v>n</v>
      </c>
      <c r="R31" s="8" t="str">
        <f>VLOOKUP($C31,aws_cli_commands!$C$2:$E$10000,3,FALSE)</f>
        <v>y</v>
      </c>
      <c r="S31" s="8" t="str">
        <f>IF(OR(C31=C30,C31=C32),"y","n")</f>
        <v>n</v>
      </c>
      <c r="T31" s="8" t="str">
        <f>B31&amp;"___"&amp;SUBSTITUTE(RIGHT(C31,LEN(C31)-FIND("-",C31)),"-","_")</f>
        <v>iam___entities_for_policy</v>
      </c>
      <c r="U31" s="8" t="str">
        <f>SUBSTITUTE(D31&amp;"___"&amp;RIGHT(E31,LEN(E31)-FIND("-",E31)),"-","_")</f>
        <v>iam___policies</v>
      </c>
      <c r="V31" s="8" t="str">
        <f>SUBSTITUTE(RIGHT($E31,LEN($E31)-FIND("-",$E31)),"-","_")</f>
        <v>policies</v>
      </c>
      <c r="W31" s="8" t="str">
        <f>IF(G31="y",V31&amp;"_"&amp;LOWER(F31),IF(M31="y","**hardcoded**",LOWER(F31)))</f>
        <v>arn</v>
      </c>
      <c r="X31" s="8" t="str">
        <f t="shared" si="1"/>
        <v>n</v>
      </c>
      <c r="Y31" s="8">
        <f>IF(AND($C31=$C31,$M31="y"),1,0)+IF(AND($C30=$C31,$M30="y"),1,0)+IF(AND($C29=$C31,$M29="y"),1,0)+IF(AND($C28=$C31,$M28="y"),1,0)+IF(AND($C27=$C31,$M27="y"),1,0)+IF(AND($C26=$C31,$M26="y"),1,0)+IF(AND($C25=$C31,$M25="y"),1,0)+IF(AND($C24=$C31,$M24="y"),1,0)+IF(AND($C23=$C31,$M23="y"),1,0)</f>
        <v>0</v>
      </c>
      <c r="Z31" s="8">
        <f>IF(AND($C31=$C31,$M31="y"),1,0)+IF(AND($C31=$C32,$M32="y"),1,0)+IF(AND($C31=$C33,$M33="y"),1,0)+IF(AND($C31=$C34,$M34="y"),1,0)+IF(AND($C31=$C35,$M35="y"),1,0)+IF(AND($C31=$C36,$M36="y"),1,0)+IF(AND($C31=$C37,$M37="y"),1,0)+IF(AND($C31=$C38,$M38="y"),1,0)+IF(AND($C31=$C39,$M39="y"),1,0)</f>
        <v>0</v>
      </c>
      <c r="AA31" s="8" t="s">
        <v>127</v>
      </c>
      <c r="AB31" s="9" t="str">
        <f>IF(AND($H31="y",$C31&lt;&gt;$C30),B31&amp;" "&amp;AC31&amp;AD31&amp;AE31&amp;AF31&amp;AG31&amp;AH31&amp;AI31&amp;AJ31&amp;AK31,IF(H31="n",B31&amp;" "&amp;AC31&amp;AD31&amp;AE31&amp;AF31&amp;AG31&amp;AH31&amp;AI31&amp;AJ31&amp;AK31,""))</f>
        <v>iam list-entities-for-policy --policy-arn</v>
      </c>
      <c r="AC31" s="8" t="str">
        <f t="shared" si="2"/>
        <v>list-entities-for-policy</v>
      </c>
      <c r="AD31" s="8" t="str">
        <f>IF($I31&gt;=1," "&amp;$L31,"")</f>
        <v xml:space="preserve"> --policy-arn</v>
      </c>
      <c r="AE31" s="8" t="str">
        <f>IF($I31&gt;=2," "&amp;$L32,"")</f>
        <v/>
      </c>
      <c r="AF31" s="8" t="str">
        <f>IF($I31&gt;=3," "&amp;$L33,"")</f>
        <v/>
      </c>
      <c r="AG31" s="8" t="str">
        <f>IF($I31&gt;=4," "&amp;$L34,"")</f>
        <v/>
      </c>
      <c r="AH31" s="8" t="str">
        <f>IF($I31&gt;=5," "&amp;$L35,"")</f>
        <v/>
      </c>
      <c r="AI31" s="8" t="str">
        <f>IF($I31&gt;=6," "&amp;$L36,"")</f>
        <v/>
      </c>
      <c r="AJ31" s="8" t="str">
        <f>IF($I31&gt;=7," "&amp;$L37,"")</f>
        <v/>
      </c>
      <c r="AK31" s="8" t="str">
        <f>IF($I31&gt;=8," "&amp;$L38,"")</f>
        <v/>
      </c>
      <c r="AL31" s="8" t="str">
        <f>U31</f>
        <v>iam___policies</v>
      </c>
      <c r="AM31" s="8" t="str">
        <f>IF($I31&gt;=2,$U32,"")</f>
        <v/>
      </c>
      <c r="AN31" s="8" t="str">
        <f>IF($I31&gt;=3,$U33,"")</f>
        <v/>
      </c>
      <c r="AO31" s="8" t="str">
        <f>IF(I31&gt;=4,$U34,"")</f>
        <v/>
      </c>
      <c r="AP31" s="8" t="str">
        <f>IF($I31&gt;=5,$U35,"")</f>
        <v/>
      </c>
      <c r="AQ31" s="8" t="str">
        <f>IF($I31&gt;=6,$U36,"")</f>
        <v/>
      </c>
      <c r="AR31" s="8" t="str">
        <f>IF($I31&gt;=7,$U37,"")</f>
        <v/>
      </c>
      <c r="AS31" s="8" t="str">
        <f>IF(I31&gt;=8,$U38,"")</f>
        <v/>
      </c>
      <c r="AT31" s="8" t="str">
        <f>F31</f>
        <v>Arn</v>
      </c>
      <c r="AU31" s="8" t="str">
        <f>IF($I31&gt;=2,$F32,"")</f>
        <v/>
      </c>
      <c r="AV31" s="8" t="str">
        <f>IF($I31&gt;=3,$F33,"")</f>
        <v/>
      </c>
      <c r="AW31" s="8" t="str">
        <f>IF($I31&gt;=4,$F34,"")</f>
        <v/>
      </c>
      <c r="AX31" s="8" t="str">
        <f>IF($I31&gt;=5,$F35,"")</f>
        <v/>
      </c>
      <c r="AY31" s="8" t="str">
        <f>IF($I31&gt;=6,$F36,"")</f>
        <v/>
      </c>
      <c r="AZ31" s="8" t="str">
        <f>IF($I31&gt;=7,$F37,"")</f>
        <v/>
      </c>
      <c r="BA31" s="8" t="str">
        <f>IF($I31&gt;=8,$F38,"")</f>
        <v/>
      </c>
      <c r="BB31" s="9" t="str">
        <f>IF(OR(R31&lt;&gt;"y",I31&lt;&gt;1),"","SELECT aws_command::text || ' ' || command_parameter::text AS aws_command_string, parameter_source_table, parameter_source_key FROM (SELECT  "&amp;"'"&amp;AB31&amp;"'"&amp;" AS aws_command,"&amp;U31&amp;"."&amp;V31&amp;" -&gt;&gt; "&amp;"'"&amp;F31&amp;"'"&amp;" AS command_parameter, "&amp;"'"&amp;AL31&amp;"'"&amp;" AS parameter_source_table, "&amp;"'"&amp;AT31&amp;"'"&amp;" AS parameter_source_key FROM "&amp;U31&amp;") AS f")</f>
        <v>SELECT aws_command::text || ' ' || command_parameter::text AS aws_command_string, parameter_source_table, parameter_source_key FROM (SELECT  'iam list-entities-for-policy --policy-arn' AS aws_command,iam___policies.policies -&gt;&gt; 'Arn' AS command_parameter, 'iam___policies' AS parameter_source_table, 'Arn' AS parameter_source_key FROM iam___policies) AS f</v>
      </c>
      <c r="BC31" s="9" t="str">
        <f>IF(AND(H31="y",H30&lt;&gt;"y"),BE31&amp;BF31&amp;BG31&amp;BR31&amp;CC31,"")</f>
        <v/>
      </c>
      <c r="BD31" s="8" t="str">
        <f>"/* recursive command: "&amp;C31&amp;" */ DROP TABLE IF EXISTS "&amp;T31&amp;"; CREATE TABLE "&amp;T31&amp;"(  id SERIAL PRIMARY KEY, "&amp;F31&amp;" TEXT); SELECT "&amp;U31&amp;"."&amp;V31&amp;" -&gt;&gt; '"&amp;F31&amp;"' AS "&amp;V31&amp;" FROM "&amp;U31&amp;" ;"</f>
        <v>/* recursive command: list-entities-for-policy */ DROP TABLE IF EXISTS iam___entities_for_policy; CREATE TABLE iam___entities_for_policy(  id SERIAL PRIMARY KEY, Arn TEXT); SELECT iam___policies.policies -&gt;&gt; 'Arn' AS policies FROM iam___policies ;</v>
      </c>
      <c r="BE31" s="8" t="str">
        <f t="shared" si="3"/>
        <v xml:space="preserve">/* recursive command multi: list-entities-for-policy */ </v>
      </c>
      <c r="BF31" s="8" t="str">
        <f t="shared" si="4"/>
        <v xml:space="preserve">DROP TABLE IF EXISTS iam___entities_for_policy; </v>
      </c>
      <c r="BG31" s="8" t="str">
        <f t="shared" si="5"/>
        <v>CREATE TABLE iam___entities_for_policy(  id SERIAL PRIMARY KEY, arn TEXT );</v>
      </c>
      <c r="BH31" s="8" t="str">
        <f t="shared" si="6"/>
        <v xml:space="preserve">CREATE TABLE iam___entities_for_policy(  id SERIAL PRIMARY KEY, </v>
      </c>
      <c r="BI31" s="8" t="str">
        <f>IF($I31&gt;=1,$W31&amp;" TEXT","")</f>
        <v>arn TEXT</v>
      </c>
      <c r="BJ31" s="8" t="str">
        <f>IF($I31&gt;=2,", "&amp;$W32&amp;" TEXT","")</f>
        <v/>
      </c>
      <c r="BK31" s="8" t="str">
        <f>IF($I31&gt;=3,", "&amp;$W33&amp;" TEXT","")</f>
        <v/>
      </c>
      <c r="BL31" s="8" t="str">
        <f>IF($I31&gt;=4,", "&amp;$W34&amp;" TEXT","")</f>
        <v/>
      </c>
      <c r="BM31" s="8" t="str">
        <f>IF($I31&gt;=5,", "&amp;$W35&amp;" TEXT","")</f>
        <v/>
      </c>
      <c r="BN31" s="8" t="str">
        <f>IF($I31&gt;=6,", "&amp;$W36&amp;" TEXT","")</f>
        <v/>
      </c>
      <c r="BO31" s="8" t="str">
        <f>IF($I31&gt;=7,", "&amp;$W37&amp;" TEXT","")</f>
        <v/>
      </c>
      <c r="BP31" s="8" t="str">
        <f>IF($I31&gt;=8,", "&amp;$W38&amp;" TEXT","")</f>
        <v/>
      </c>
      <c r="BQ31" s="8" t="str">
        <f t="shared" si="7"/>
        <v xml:space="preserve"> );</v>
      </c>
      <c r="BR31" s="9" t="str">
        <f t="shared" si="8"/>
        <v xml:space="preserve"> INSERT INTO iam___entities_for_policy(arn)</v>
      </c>
      <c r="BS31" s="9" t="str">
        <f t="shared" si="9"/>
        <v xml:space="preserve"> INSERT INTO iam___entities_for_policy(</v>
      </c>
      <c r="BT31" s="9" t="str">
        <f>IF($I31&gt;=1,$W31,"")</f>
        <v>arn</v>
      </c>
      <c r="BU31" s="9" t="str">
        <f>IF($I31&gt;=2,", "&amp;$W32,"")</f>
        <v/>
      </c>
      <c r="BV31" s="9" t="str">
        <f>IF($I31&gt;=3,", "&amp;$W33,"")</f>
        <v/>
      </c>
      <c r="BW31" s="9" t="str">
        <f>IF($I31&gt;=4,", "&amp;$W34,"")</f>
        <v/>
      </c>
      <c r="BX31" s="9" t="str">
        <f>IF($I31&gt;=5,", "&amp;$W35,"")</f>
        <v/>
      </c>
      <c r="BY31" s="9" t="str">
        <f>IF($I31&gt;=6,", "&amp;$W36,"")</f>
        <v/>
      </c>
      <c r="BZ31" s="9" t="str">
        <f>IF($I31&gt;=7,", "&amp;$W37,"")</f>
        <v/>
      </c>
      <c r="CA31" s="9" t="str">
        <f>IF($I31&gt;=8,", "&amp;$W38,"")</f>
        <v/>
      </c>
      <c r="CB31" s="9" t="str">
        <f t="shared" si="10"/>
        <v>)</v>
      </c>
      <c r="CC31" s="9" t="str">
        <f t="shared" si="0"/>
        <v xml:space="preserve"> SELECT iam___policies.policies -&gt;&gt; 'Arn' AS policies_arn FROM iam___policies ;</v>
      </c>
      <c r="CD31" s="8" t="str">
        <f>" SELECT "&amp;$U31&amp;"."&amp;$V31&amp;" -&gt;&gt; '"&amp;$F31&amp;"' AS "&amp;$V31&amp;"_"&amp;LOWER(F31)</f>
        <v xml:space="preserve"> SELECT iam___policies.policies -&gt;&gt; 'Arn' AS policies_arn</v>
      </c>
      <c r="CE31" s="8" t="str">
        <f>IF($I31&gt;=2,", "&amp;$U32&amp;"."&amp;$V32&amp;" -&gt;&gt; '"&amp;$F32&amp;"' AS "&amp;$V32&amp;"_"&amp;LOWER(F32),"")</f>
        <v/>
      </c>
      <c r="CF31" s="8" t="str">
        <f>IF($I31&gt;=3,", "&amp;$U33&amp;"."&amp;$V33&amp;" -&gt;&gt; '"&amp;$F33&amp;"' AS "&amp;$V33&amp;"_"&amp;LOWER(F33),"")</f>
        <v/>
      </c>
      <c r="CG31" s="8" t="str">
        <f>IF($I31&gt;=4,", "&amp;$U34&amp;"."&amp;$V34&amp;" -&gt;&gt; '"&amp;$F34&amp;"' AS "&amp;$V34&amp;"_"&amp;LOWER(F34),"")</f>
        <v/>
      </c>
      <c r="CH31" s="8" t="str">
        <f>IF($I31&gt;=5,", "&amp;$U35&amp;"."&amp;$V35&amp;" -&gt;&gt; '"&amp;$F35&amp;"' AS "&amp;$V35&amp;"_"&amp;LOWER(F35),"")</f>
        <v/>
      </c>
      <c r="CI31" s="8" t="str">
        <f>IF($I31&gt;=6,", "&amp;$U36&amp;"."&amp;$V36&amp;" -&gt;&gt; '"&amp;$F36&amp;"' AS "&amp;$V36&amp;"_"&amp;LOWER(F36),"")</f>
        <v/>
      </c>
      <c r="CJ31" s="8" t="str">
        <f>IF($I31&gt;=7,", "&amp;$U37&amp;"."&amp;$V37&amp;" -&gt;&gt; '"&amp;$F37&amp;"' AS "&amp;$V37&amp;"_"&amp;LOWER(F37),"")</f>
        <v/>
      </c>
      <c r="CK31" s="8" t="str">
        <f>IF($I31&gt;=8,", "&amp;$U38&amp;"."&amp;$V38&amp;" -&gt;&gt; '"&amp;$F38&amp;"' AS "&amp;$V38&amp;"_"&amp;LOWER(F38),"")</f>
        <v/>
      </c>
      <c r="CL31" s="8" t="str">
        <f>IF($I31&gt;=1," FROM "&amp;$U31,"")</f>
        <v xml:space="preserve"> FROM iam___policies</v>
      </c>
      <c r="CM31" s="9" t="str">
        <f>IF($I31&gt;=2," "&amp;$AA31&amp;" JOIN "&amp;$U31&amp;" USING ("&amp;$T31&amp;"."&amp;$W31&amp;", "&amp;$U31&amp;"."&amp;$V31&amp;" -&gt;&gt; '"&amp;$F31&amp;"')","")</f>
        <v/>
      </c>
      <c r="CN31" s="9" t="str">
        <f>IF($I31&gt;=3," "&amp;$AA32&amp;" JOIN "&amp;$U32&amp;" USING ("&amp;$T32&amp;"."&amp;$W32&amp;", "&amp;$U32&amp;"."&amp;$V32&amp;" -&gt;&gt; '"&amp;$F32&amp;"')","")</f>
        <v/>
      </c>
      <c r="CO31" s="9" t="str">
        <f>IF($I31&gt;=4," "&amp;$AA33&amp;" JOIN "&amp;$U33&amp;" USING ("&amp;$T33&amp;"."&amp;$W33&amp;", "&amp;$U33&amp;"."&amp;$V33&amp;" -&gt;&gt; '"&amp;$F33&amp;"')","")</f>
        <v/>
      </c>
      <c r="CP31" s="9" t="str">
        <f>IF($I31&gt;=5," "&amp;$AA34&amp;" JOIN "&amp;$U34&amp;" USING ("&amp;$T34&amp;"."&amp;$W34&amp;", "&amp;$U34&amp;"."&amp;$V34&amp;" -&gt;&gt; '"&amp;$F34&amp;"')","")</f>
        <v/>
      </c>
      <c r="CQ31" s="9" t="str">
        <f>IF($I31&gt;=6," "&amp;$AA35&amp;" JOIN "&amp;$U35&amp;" USING ("&amp;$T35&amp;"."&amp;$W35&amp;", "&amp;$U35&amp;"."&amp;$V35&amp;" -&gt;&gt; '"&amp;$F35&amp;"')","")</f>
        <v/>
      </c>
      <c r="CR31" s="8" t="str">
        <f>IF($I31&gt;=7," "&amp;$AA36&amp;" JOIN "&amp;$U36&amp;" USING ("&amp;$T36&amp;"."&amp;$W36&amp;", "&amp;$U36&amp;"."&amp;$V36&amp;" -&gt;&gt; '"&amp;$F36&amp;"')","")</f>
        <v/>
      </c>
      <c r="CS31" s="8" t="str">
        <f>IF($I31&gt;=8," "&amp;$AA37&amp;" JOIN "&amp;$U37&amp;" USING ("&amp;$T37&amp;"."&amp;$W37&amp;", "&amp;$U37&amp;"."&amp;$V37&amp;" -&gt;&gt; '"&amp;$F37&amp;"')","")</f>
        <v/>
      </c>
      <c r="CT31" s="8" t="str">
        <f t="shared" si="11"/>
        <v xml:space="preserve"> ;</v>
      </c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</row>
    <row r="32" spans="1:202" x14ac:dyDescent="0.25">
      <c r="A32">
        <v>31</v>
      </c>
      <c r="B32" s="4" t="s">
        <v>0</v>
      </c>
      <c r="C32" s="4" t="s">
        <v>20</v>
      </c>
      <c r="D32" s="4" t="s">
        <v>0</v>
      </c>
      <c r="E32" s="4" t="s">
        <v>15</v>
      </c>
      <c r="F32" s="4" t="s">
        <v>18</v>
      </c>
      <c r="G32" s="7" t="s">
        <v>72</v>
      </c>
      <c r="H32" s="7" t="s">
        <v>72</v>
      </c>
      <c r="I32" s="7">
        <v>1</v>
      </c>
      <c r="J32" s="7" t="s">
        <v>72</v>
      </c>
      <c r="K32" s="7">
        <v>1</v>
      </c>
      <c r="L32" s="4" t="s">
        <v>17</v>
      </c>
      <c r="M32" s="7" t="s">
        <v>72</v>
      </c>
      <c r="N32" s="4"/>
      <c r="O32" s="7"/>
      <c r="P32" s="4"/>
      <c r="Q32" s="8" t="str">
        <f>VLOOKUP($C32,aws_cli_commands!$C$2:$E$10000,2,FALSE)</f>
        <v>n</v>
      </c>
      <c r="R32" s="8" t="str">
        <f>VLOOKUP($C32,aws_cli_commands!$C$2:$E$10000,3,FALSE)</f>
        <v>y</v>
      </c>
      <c r="S32" s="8" t="str">
        <f>IF(OR(C32=C31,C32=C33),"y","n")</f>
        <v>n</v>
      </c>
      <c r="T32" s="8" t="str">
        <f>B32&amp;"___"&amp;SUBSTITUTE(RIGHT(C32,LEN(C32)-FIND("-",C32)),"-","_")</f>
        <v>iam___group_policies</v>
      </c>
      <c r="U32" s="8" t="str">
        <f>SUBSTITUTE(D32&amp;"___"&amp;RIGHT(E32,LEN(E32)-FIND("-",E32)),"-","_")</f>
        <v>iam___groups</v>
      </c>
      <c r="V32" s="8" t="str">
        <f>SUBSTITUTE(RIGHT($E32,LEN($E32)-FIND("-",$E32)),"-","_")</f>
        <v>groups</v>
      </c>
      <c r="W32" s="8" t="str">
        <f>IF(G32="y",V32&amp;"_"&amp;LOWER(F32),IF(M32="y","**hardcoded**",LOWER(F32)))</f>
        <v>groupname</v>
      </c>
      <c r="X32" s="8" t="str">
        <f t="shared" si="1"/>
        <v>n</v>
      </c>
      <c r="Y32" s="8">
        <f>IF(AND($C32=$C32,$M32="y"),1,0)+IF(AND($C31=$C32,$M31="y"),1,0)+IF(AND($C30=$C32,$M30="y"),1,0)+IF(AND($C29=$C32,$M29="y"),1,0)+IF(AND($C28=$C32,$M28="y"),1,0)+IF(AND($C27=$C32,$M27="y"),1,0)+IF(AND($C26=$C32,$M26="y"),1,0)+IF(AND($C25=$C32,$M25="y"),1,0)+IF(AND($C24=$C32,$M24="y"),1,0)</f>
        <v>0</v>
      </c>
      <c r="Z32" s="8">
        <f>IF(AND($C32=$C32,$M32="y"),1,0)+IF(AND($C32=$C33,$M33="y"),1,0)+IF(AND($C32=$C34,$M34="y"),1,0)+IF(AND($C32=$C35,$M35="y"),1,0)+IF(AND($C32=$C36,$M36="y"),1,0)+IF(AND($C32=$C37,$M37="y"),1,0)+IF(AND($C32=$C38,$M38="y"),1,0)+IF(AND($C32=$C39,$M39="y"),1,0)+IF(AND($C32=$C40,$M40="y"),1,0)</f>
        <v>0</v>
      </c>
      <c r="AA32" s="8" t="s">
        <v>127</v>
      </c>
      <c r="AB32" s="9" t="str">
        <f>IF(AND($H32="y",$C32&lt;&gt;$C31),B32&amp;" "&amp;AC32&amp;AD32&amp;AE32&amp;AF32&amp;AG32&amp;AH32&amp;AI32&amp;AJ32&amp;AK32,IF(H32="n",B32&amp;" "&amp;AC32&amp;AD32&amp;AE32&amp;AF32&amp;AG32&amp;AH32&amp;AI32&amp;AJ32&amp;AK32,""))</f>
        <v>iam list-group-policies --group-name</v>
      </c>
      <c r="AC32" s="8" t="str">
        <f t="shared" si="2"/>
        <v>list-group-policies</v>
      </c>
      <c r="AD32" s="8" t="str">
        <f>IF($I32&gt;=1," "&amp;$L32,"")</f>
        <v xml:space="preserve"> --group-name</v>
      </c>
      <c r="AE32" s="8" t="str">
        <f>IF($I32&gt;=2," "&amp;$L33,"")</f>
        <v/>
      </c>
      <c r="AF32" s="8" t="str">
        <f>IF($I32&gt;=3," "&amp;$L34,"")</f>
        <v/>
      </c>
      <c r="AG32" s="8" t="str">
        <f>IF($I32&gt;=4," "&amp;$L35,"")</f>
        <v/>
      </c>
      <c r="AH32" s="8" t="str">
        <f>IF($I32&gt;=5," "&amp;$L36,"")</f>
        <v/>
      </c>
      <c r="AI32" s="8" t="str">
        <f>IF($I32&gt;=6," "&amp;$L37,"")</f>
        <v/>
      </c>
      <c r="AJ32" s="8" t="str">
        <f>IF($I32&gt;=7," "&amp;$L38,"")</f>
        <v/>
      </c>
      <c r="AK32" s="8" t="str">
        <f>IF($I32&gt;=8," "&amp;$L39,"")</f>
        <v/>
      </c>
      <c r="AL32" s="8" t="str">
        <f>U32</f>
        <v>iam___groups</v>
      </c>
      <c r="AM32" s="8" t="str">
        <f>IF($I32&gt;=2,$U33,"")</f>
        <v/>
      </c>
      <c r="AN32" s="8" t="str">
        <f>IF($I32&gt;=3,$U34,"")</f>
        <v/>
      </c>
      <c r="AO32" s="8" t="str">
        <f>IF(I32&gt;=4,$U35,"")</f>
        <v/>
      </c>
      <c r="AP32" s="8" t="str">
        <f>IF($I32&gt;=5,$U36,"")</f>
        <v/>
      </c>
      <c r="AQ32" s="8" t="str">
        <f>IF($I32&gt;=6,$U37,"")</f>
        <v/>
      </c>
      <c r="AR32" s="8" t="str">
        <f>IF($I32&gt;=7,$U38,"")</f>
        <v/>
      </c>
      <c r="AS32" s="8" t="str">
        <f>IF(I32&gt;=8,$U39,"")</f>
        <v/>
      </c>
      <c r="AT32" s="8" t="str">
        <f>F32</f>
        <v>GroupName</v>
      </c>
      <c r="AU32" s="8" t="str">
        <f>IF($I32&gt;=2,$F33,"")</f>
        <v/>
      </c>
      <c r="AV32" s="8" t="str">
        <f>IF($I32&gt;=3,$F34,"")</f>
        <v/>
      </c>
      <c r="AW32" s="8" t="str">
        <f>IF($I32&gt;=4,$F35,"")</f>
        <v/>
      </c>
      <c r="AX32" s="8" t="str">
        <f>IF($I32&gt;=5,$F36,"")</f>
        <v/>
      </c>
      <c r="AY32" s="8" t="str">
        <f>IF($I32&gt;=6,$F37,"")</f>
        <v/>
      </c>
      <c r="AZ32" s="8" t="str">
        <f>IF($I32&gt;=7,$F38,"")</f>
        <v/>
      </c>
      <c r="BA32" s="8" t="str">
        <f>IF($I32&gt;=8,$F39,"")</f>
        <v/>
      </c>
      <c r="BB32" s="9" t="str">
        <f>IF(OR(R32&lt;&gt;"y",I32&lt;&gt;1),"","SELECT aws_command::text || ' ' || command_parameter::text AS aws_command_string, parameter_source_table, parameter_source_key FROM (SELECT  "&amp;"'"&amp;AB32&amp;"'"&amp;" AS aws_command,"&amp;U32&amp;"."&amp;V32&amp;" -&gt;&gt; "&amp;"'"&amp;F32&amp;"'"&amp;" AS command_parameter, "&amp;"'"&amp;AL32&amp;"'"&amp;" AS parameter_source_table, "&amp;"'"&amp;AT32&amp;"'"&amp;" AS parameter_source_key FROM "&amp;U32&amp;") AS f")</f>
        <v>SELECT aws_command::text || ' ' || command_parameter::text AS aws_command_string, parameter_source_table, parameter_source_key FROM (SELECT  'iam list-group-policies --group-name' AS aws_command,iam___groups.groups -&gt;&gt; 'GroupName' AS command_parameter, 'iam___groups' AS parameter_source_table, 'GroupName' AS parameter_source_key FROM iam___groups) AS f</v>
      </c>
      <c r="BC32" s="9" t="str">
        <f>IF(AND(H32="y",H31&lt;&gt;"y"),BE32&amp;BF32&amp;BG32&amp;BR32&amp;CC32,"")</f>
        <v/>
      </c>
      <c r="BD32" s="8" t="str">
        <f>"/* recursive command: "&amp;C32&amp;" */ DROP TABLE IF EXISTS "&amp;T32&amp;"; CREATE TABLE "&amp;T32&amp;"(  id SERIAL PRIMARY KEY, "&amp;F32&amp;" TEXT); SELECT "&amp;U32&amp;"."&amp;V32&amp;" -&gt;&gt; '"&amp;F32&amp;"' AS "&amp;V32&amp;" FROM "&amp;U32&amp;" ;"</f>
        <v>/* recursive command: list-group-policies */ DROP TABLE IF EXISTS iam___group_policies; CREATE TABLE iam___group_policies(  id SERIAL PRIMARY KEY, GroupName TEXT); SELECT iam___groups.groups -&gt;&gt; 'GroupName' AS groups FROM iam___groups ;</v>
      </c>
      <c r="BE32" s="8" t="str">
        <f t="shared" si="3"/>
        <v xml:space="preserve">/* recursive command multi: list-group-policies */ </v>
      </c>
      <c r="BF32" s="8" t="str">
        <f t="shared" si="4"/>
        <v xml:space="preserve">DROP TABLE IF EXISTS iam___group_policies; </v>
      </c>
      <c r="BG32" s="8" t="str">
        <f t="shared" si="5"/>
        <v>CREATE TABLE iam___group_policies(  id SERIAL PRIMARY KEY, groupname TEXT );</v>
      </c>
      <c r="BH32" s="8" t="str">
        <f t="shared" si="6"/>
        <v xml:space="preserve">CREATE TABLE iam___group_policies(  id SERIAL PRIMARY KEY, </v>
      </c>
      <c r="BI32" s="8" t="str">
        <f>IF($I32&gt;=1,$W32&amp;" TEXT","")</f>
        <v>groupname TEXT</v>
      </c>
      <c r="BJ32" s="8" t="str">
        <f>IF($I32&gt;=2,", "&amp;$W33&amp;" TEXT","")</f>
        <v/>
      </c>
      <c r="BK32" s="8" t="str">
        <f>IF($I32&gt;=3,", "&amp;$W34&amp;" TEXT","")</f>
        <v/>
      </c>
      <c r="BL32" s="8" t="str">
        <f>IF($I32&gt;=4,", "&amp;$W35&amp;" TEXT","")</f>
        <v/>
      </c>
      <c r="BM32" s="8" t="str">
        <f>IF($I32&gt;=5,", "&amp;$W36&amp;" TEXT","")</f>
        <v/>
      </c>
      <c r="BN32" s="8" t="str">
        <f>IF($I32&gt;=6,", "&amp;$W37&amp;" TEXT","")</f>
        <v/>
      </c>
      <c r="BO32" s="8" t="str">
        <f>IF($I32&gt;=7,", "&amp;$W38&amp;" TEXT","")</f>
        <v/>
      </c>
      <c r="BP32" s="8" t="str">
        <f>IF($I32&gt;=8,", "&amp;$W39&amp;" TEXT","")</f>
        <v/>
      </c>
      <c r="BQ32" s="8" t="str">
        <f t="shared" si="7"/>
        <v xml:space="preserve"> );</v>
      </c>
      <c r="BR32" s="9" t="str">
        <f t="shared" si="8"/>
        <v xml:space="preserve"> INSERT INTO iam___group_policies(groupname)</v>
      </c>
      <c r="BS32" s="9" t="str">
        <f t="shared" si="9"/>
        <v xml:space="preserve"> INSERT INTO iam___group_policies(</v>
      </c>
      <c r="BT32" s="9" t="str">
        <f>IF($I32&gt;=1,$W32,"")</f>
        <v>groupname</v>
      </c>
      <c r="BU32" s="9" t="str">
        <f>IF($I32&gt;=2,", "&amp;$W33,"")</f>
        <v/>
      </c>
      <c r="BV32" s="9" t="str">
        <f>IF($I32&gt;=3,", "&amp;$W34,"")</f>
        <v/>
      </c>
      <c r="BW32" s="9" t="str">
        <f>IF($I32&gt;=4,", "&amp;$W35,"")</f>
        <v/>
      </c>
      <c r="BX32" s="9" t="str">
        <f>IF($I32&gt;=5,", "&amp;$W36,"")</f>
        <v/>
      </c>
      <c r="BY32" s="9" t="str">
        <f>IF($I32&gt;=6,", "&amp;$W37,"")</f>
        <v/>
      </c>
      <c r="BZ32" s="9" t="str">
        <f>IF($I32&gt;=7,", "&amp;$W38,"")</f>
        <v/>
      </c>
      <c r="CA32" s="9" t="str">
        <f>IF($I32&gt;=8,", "&amp;$W39,"")</f>
        <v/>
      </c>
      <c r="CB32" s="9" t="str">
        <f t="shared" si="10"/>
        <v>)</v>
      </c>
      <c r="CC32" s="9" t="str">
        <f t="shared" si="0"/>
        <v xml:space="preserve"> SELECT iam___groups.groups -&gt;&gt; 'GroupName' AS groups_groupname FROM iam___groups ;</v>
      </c>
      <c r="CD32" s="8" t="str">
        <f>" SELECT "&amp;$U32&amp;"."&amp;$V32&amp;" -&gt;&gt; '"&amp;$F32&amp;"' AS "&amp;$V32&amp;"_"&amp;LOWER(F32)</f>
        <v xml:space="preserve"> SELECT iam___groups.groups -&gt;&gt; 'GroupName' AS groups_groupname</v>
      </c>
      <c r="CE32" s="8" t="str">
        <f>IF($I32&gt;=2,", "&amp;$U33&amp;"."&amp;$V33&amp;" -&gt;&gt; '"&amp;$F33&amp;"' AS "&amp;$V33&amp;"_"&amp;LOWER(F33),"")</f>
        <v/>
      </c>
      <c r="CF32" s="8" t="str">
        <f>IF($I32&gt;=3,", "&amp;$U34&amp;"."&amp;$V34&amp;" -&gt;&gt; '"&amp;$F34&amp;"' AS "&amp;$V34&amp;"_"&amp;LOWER(F34),"")</f>
        <v/>
      </c>
      <c r="CG32" s="8" t="str">
        <f>IF($I32&gt;=4,", "&amp;$U35&amp;"."&amp;$V35&amp;" -&gt;&gt; '"&amp;$F35&amp;"' AS "&amp;$V35&amp;"_"&amp;LOWER(F35),"")</f>
        <v/>
      </c>
      <c r="CH32" s="8" t="str">
        <f>IF($I32&gt;=5,", "&amp;$U36&amp;"."&amp;$V36&amp;" -&gt;&gt; '"&amp;$F36&amp;"' AS "&amp;$V36&amp;"_"&amp;LOWER(F36),"")</f>
        <v/>
      </c>
      <c r="CI32" s="8" t="str">
        <f>IF($I32&gt;=6,", "&amp;$U37&amp;"."&amp;$V37&amp;" -&gt;&gt; '"&amp;$F37&amp;"' AS "&amp;$V37&amp;"_"&amp;LOWER(F37),"")</f>
        <v/>
      </c>
      <c r="CJ32" s="8" t="str">
        <f>IF($I32&gt;=7,", "&amp;$U38&amp;"."&amp;$V38&amp;" -&gt;&gt; '"&amp;$F38&amp;"' AS "&amp;$V38&amp;"_"&amp;LOWER(F38),"")</f>
        <v/>
      </c>
      <c r="CK32" s="8" t="str">
        <f>IF($I32&gt;=8,", "&amp;$U39&amp;"."&amp;$V39&amp;" -&gt;&gt; '"&amp;$F39&amp;"' AS "&amp;$V39&amp;"_"&amp;LOWER(F39),"")</f>
        <v/>
      </c>
      <c r="CL32" s="8" t="str">
        <f>IF($I32&gt;=1," FROM "&amp;$U32,"")</f>
        <v xml:space="preserve"> FROM iam___groups</v>
      </c>
      <c r="CM32" s="9" t="str">
        <f>IF($I32&gt;=2," "&amp;$AA32&amp;" JOIN "&amp;$U32&amp;" USING ("&amp;$T32&amp;"."&amp;$W32&amp;", "&amp;$U32&amp;"."&amp;$V32&amp;" -&gt;&gt; '"&amp;$F32&amp;"')","")</f>
        <v/>
      </c>
      <c r="CN32" s="9" t="str">
        <f>IF($I32&gt;=3," "&amp;$AA33&amp;" JOIN "&amp;$U33&amp;" USING ("&amp;$T33&amp;"."&amp;$W33&amp;", "&amp;$U33&amp;"."&amp;$V33&amp;" -&gt;&gt; '"&amp;$F33&amp;"')","")</f>
        <v/>
      </c>
      <c r="CO32" s="9" t="str">
        <f>IF($I32&gt;=4," "&amp;$AA34&amp;" JOIN "&amp;$U34&amp;" USING ("&amp;$T34&amp;"."&amp;$W34&amp;", "&amp;$U34&amp;"."&amp;$V34&amp;" -&gt;&gt; '"&amp;$F34&amp;"')","")</f>
        <v/>
      </c>
      <c r="CP32" s="9" t="str">
        <f>IF($I32&gt;=5," "&amp;$AA35&amp;" JOIN "&amp;$U35&amp;" USING ("&amp;$T35&amp;"."&amp;$W35&amp;", "&amp;$U35&amp;"."&amp;$V35&amp;" -&gt;&gt; '"&amp;$F35&amp;"')","")</f>
        <v/>
      </c>
      <c r="CQ32" s="9" t="str">
        <f>IF($I32&gt;=6," "&amp;$AA36&amp;" JOIN "&amp;$U36&amp;" USING ("&amp;$T36&amp;"."&amp;$W36&amp;", "&amp;$U36&amp;"."&amp;$V36&amp;" -&gt;&gt; '"&amp;$F36&amp;"')","")</f>
        <v/>
      </c>
      <c r="CR32" s="8" t="str">
        <f>IF($I32&gt;=7," "&amp;$AA37&amp;" JOIN "&amp;$U37&amp;" USING ("&amp;$T37&amp;"."&amp;$W37&amp;", "&amp;$U37&amp;"."&amp;$V37&amp;" -&gt;&gt; '"&amp;$F37&amp;"')","")</f>
        <v/>
      </c>
      <c r="CS32" s="8" t="str">
        <f>IF($I32&gt;=8," "&amp;$AA38&amp;" JOIN "&amp;$U38&amp;" USING ("&amp;$T38&amp;"."&amp;$W38&amp;", "&amp;$U38&amp;"."&amp;$V38&amp;" -&gt;&gt; '"&amp;$F38&amp;"')","")</f>
        <v/>
      </c>
      <c r="CT32" s="8" t="str">
        <f t="shared" si="11"/>
        <v xml:space="preserve"> ;</v>
      </c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</row>
    <row r="33" spans="1:202" x14ac:dyDescent="0.25">
      <c r="A33">
        <v>32</v>
      </c>
      <c r="B33" s="4" t="s">
        <v>0</v>
      </c>
      <c r="C33" s="4" t="s">
        <v>54</v>
      </c>
      <c r="D33" s="4" t="s">
        <v>0</v>
      </c>
      <c r="E33" s="4" t="s">
        <v>48</v>
      </c>
      <c r="F33" s="4" t="s">
        <v>51</v>
      </c>
      <c r="G33" s="7" t="s">
        <v>72</v>
      </c>
      <c r="H33" s="7" t="s">
        <v>72</v>
      </c>
      <c r="I33" s="7">
        <v>1</v>
      </c>
      <c r="J33" s="7" t="s">
        <v>72</v>
      </c>
      <c r="K33" s="7">
        <v>1</v>
      </c>
      <c r="L33" s="4" t="s">
        <v>50</v>
      </c>
      <c r="M33" s="7" t="s">
        <v>72</v>
      </c>
      <c r="N33" s="4"/>
      <c r="O33" s="7"/>
      <c r="P33" s="4"/>
      <c r="Q33" s="8" t="str">
        <f>VLOOKUP($C33,aws_cli_commands!$C$2:$E$10000,2,FALSE)</f>
        <v>n</v>
      </c>
      <c r="R33" s="8" t="str">
        <f>VLOOKUP($C33,aws_cli_commands!$C$2:$E$10000,3,FALSE)</f>
        <v>y</v>
      </c>
      <c r="S33" s="8" t="str">
        <f>IF(OR(C33=C32,C33=C34),"y","n")</f>
        <v>n</v>
      </c>
      <c r="T33" s="8" t="str">
        <f>B33&amp;"___"&amp;SUBSTITUTE(RIGHT(C33,LEN(C33)-FIND("-",C33)),"-","_")</f>
        <v>iam___groups_for_user</v>
      </c>
      <c r="U33" s="8" t="str">
        <f>SUBSTITUTE(D33&amp;"___"&amp;RIGHT(E33,LEN(E33)-FIND("-",E33)),"-","_")</f>
        <v>iam___users</v>
      </c>
      <c r="V33" s="8" t="str">
        <f>SUBSTITUTE(RIGHT($E33,LEN($E33)-FIND("-",$E33)),"-","_")</f>
        <v>users</v>
      </c>
      <c r="W33" s="8" t="str">
        <f>IF(G33="y",V33&amp;"_"&amp;LOWER(F33),IF(M33="y","**hardcoded**",LOWER(F33)))</f>
        <v>username</v>
      </c>
      <c r="X33" s="8" t="str">
        <f t="shared" si="1"/>
        <v>n</v>
      </c>
      <c r="Y33" s="8">
        <f>IF(AND($C33=$C33,$M33="y"),1,0)+IF(AND($C32=$C33,$M32="y"),1,0)+IF(AND($C31=$C33,$M31="y"),1,0)+IF(AND($C30=$C33,$M30="y"),1,0)+IF(AND($C29=$C33,$M29="y"),1,0)+IF(AND($C28=$C33,$M28="y"),1,0)+IF(AND($C27=$C33,$M27="y"),1,0)+IF(AND($C26=$C33,$M26="y"),1,0)+IF(AND($C25=$C33,$M25="y"),1,0)</f>
        <v>0</v>
      </c>
      <c r="Z33" s="8">
        <f>IF(AND($C33=$C33,$M33="y"),1,0)+IF(AND($C33=$C34,$M34="y"),1,0)+IF(AND($C33=$C35,$M35="y"),1,0)+IF(AND($C33=$C36,$M36="y"),1,0)+IF(AND($C33=$C37,$M37="y"),1,0)+IF(AND($C33=$C38,$M38="y"),1,0)+IF(AND($C33=$C39,$M39="y"),1,0)+IF(AND($C33=$C40,$M40="y"),1,0)+IF(AND($C33=$C41,$M41="y"),1,0)</f>
        <v>0</v>
      </c>
      <c r="AA33" s="8" t="s">
        <v>127</v>
      </c>
      <c r="AB33" s="9" t="str">
        <f>IF(AND($H33="y",$C33&lt;&gt;$C32),B33&amp;" "&amp;AC33&amp;AD33&amp;AE33&amp;AF33&amp;AG33&amp;AH33&amp;AI33&amp;AJ33&amp;AK33,IF(H33="n",B33&amp;" "&amp;AC33&amp;AD33&amp;AE33&amp;AF33&amp;AG33&amp;AH33&amp;AI33&amp;AJ33&amp;AK33,""))</f>
        <v>iam list-groups-for-user --user-name</v>
      </c>
      <c r="AC33" s="8" t="str">
        <f t="shared" si="2"/>
        <v>list-groups-for-user</v>
      </c>
      <c r="AD33" s="8" t="str">
        <f>IF($I33&gt;=1," "&amp;$L33,"")</f>
        <v xml:space="preserve"> --user-name</v>
      </c>
      <c r="AE33" s="8" t="str">
        <f>IF($I33&gt;=2," "&amp;$L34,"")</f>
        <v/>
      </c>
      <c r="AF33" s="8" t="str">
        <f>IF($I33&gt;=3," "&amp;$L35,"")</f>
        <v/>
      </c>
      <c r="AG33" s="8" t="str">
        <f>IF($I33&gt;=4," "&amp;$L36,"")</f>
        <v/>
      </c>
      <c r="AH33" s="8" t="str">
        <f>IF($I33&gt;=5," "&amp;$L37,"")</f>
        <v/>
      </c>
      <c r="AI33" s="8" t="str">
        <f>IF($I33&gt;=6," "&amp;$L38,"")</f>
        <v/>
      </c>
      <c r="AJ33" s="8" t="str">
        <f>IF($I33&gt;=7," "&amp;$L39,"")</f>
        <v/>
      </c>
      <c r="AK33" s="8" t="str">
        <f>IF($I33&gt;=8," "&amp;$L40,"")</f>
        <v/>
      </c>
      <c r="AL33" s="8" t="str">
        <f>U33</f>
        <v>iam___users</v>
      </c>
      <c r="AM33" s="8" t="str">
        <f>IF($I33&gt;=2,$U34,"")</f>
        <v/>
      </c>
      <c r="AN33" s="8" t="str">
        <f>IF($I33&gt;=3,$U35,"")</f>
        <v/>
      </c>
      <c r="AO33" s="8" t="str">
        <f>IF(I33&gt;=4,$U36,"")</f>
        <v/>
      </c>
      <c r="AP33" s="8" t="str">
        <f>IF($I33&gt;=5,$U37,"")</f>
        <v/>
      </c>
      <c r="AQ33" s="8" t="str">
        <f>IF($I33&gt;=6,$U38,"")</f>
        <v/>
      </c>
      <c r="AR33" s="8" t="str">
        <f>IF($I33&gt;=7,$U39,"")</f>
        <v/>
      </c>
      <c r="AS33" s="8" t="str">
        <f>IF(I33&gt;=8,$U40,"")</f>
        <v/>
      </c>
      <c r="AT33" s="8" t="str">
        <f>F33</f>
        <v>UserName</v>
      </c>
      <c r="AU33" s="8" t="str">
        <f>IF($I33&gt;=2,$F34,"")</f>
        <v/>
      </c>
      <c r="AV33" s="8" t="str">
        <f>IF($I33&gt;=3,$F35,"")</f>
        <v/>
      </c>
      <c r="AW33" s="8" t="str">
        <f>IF($I33&gt;=4,$F36,"")</f>
        <v/>
      </c>
      <c r="AX33" s="8" t="str">
        <f>IF($I33&gt;=5,$F37,"")</f>
        <v/>
      </c>
      <c r="AY33" s="8" t="str">
        <f>IF($I33&gt;=6,$F38,"")</f>
        <v/>
      </c>
      <c r="AZ33" s="8" t="str">
        <f>IF($I33&gt;=7,$F39,"")</f>
        <v/>
      </c>
      <c r="BA33" s="8" t="str">
        <f>IF($I33&gt;=8,$F40,"")</f>
        <v/>
      </c>
      <c r="BB33" s="9" t="str">
        <f>IF(OR(R33&lt;&gt;"y",I33&lt;&gt;1),"","SELECT aws_command::text || ' ' || command_parameter::text AS aws_command_string, parameter_source_table, parameter_source_key FROM (SELECT  "&amp;"'"&amp;AB33&amp;"'"&amp;" AS aws_command,"&amp;U33&amp;"."&amp;V33&amp;" -&gt;&gt; "&amp;"'"&amp;F33&amp;"'"&amp;" AS command_parameter, "&amp;"'"&amp;AL33&amp;"'"&amp;" AS parameter_source_table, "&amp;"'"&amp;AT33&amp;"'"&amp;" AS parameter_source_key FROM "&amp;U33&amp;") AS f")</f>
        <v>SELECT aws_command::text || ' ' || command_parameter::text AS aws_command_string, parameter_source_table, parameter_source_key FROM (SELECT  'iam list-groups-for-user --user-name' AS aws_command,iam___users.users -&gt;&gt; 'UserName' AS command_parameter, 'iam___users' AS parameter_source_table, 'UserName' AS parameter_source_key FROM iam___users) AS f</v>
      </c>
      <c r="BC33" s="9" t="str">
        <f>IF(AND(H33="y",H32&lt;&gt;"y"),BE33&amp;BF33&amp;BG33&amp;BR33&amp;CC33,"")</f>
        <v/>
      </c>
      <c r="BD33" s="8" t="str">
        <f>"/* recursive command: "&amp;C33&amp;" */ DROP TABLE IF EXISTS "&amp;T33&amp;"; CREATE TABLE "&amp;T33&amp;"(  id SERIAL PRIMARY KEY, "&amp;F33&amp;" TEXT); SELECT "&amp;U33&amp;"."&amp;V33&amp;" -&gt;&gt; '"&amp;F33&amp;"' AS "&amp;V33&amp;" FROM "&amp;U33&amp;" ;"</f>
        <v>/* recursive command: list-groups-for-user */ DROP TABLE IF EXISTS iam___groups_for_user; CREATE TABLE iam___groups_for_user(  id SERIAL PRIMARY KEY, UserName TEXT); SELECT iam___users.users -&gt;&gt; 'UserName' AS users FROM iam___users ;</v>
      </c>
      <c r="BE33" s="8" t="str">
        <f t="shared" si="3"/>
        <v xml:space="preserve">/* recursive command multi: list-groups-for-user */ </v>
      </c>
      <c r="BF33" s="8" t="str">
        <f t="shared" si="4"/>
        <v xml:space="preserve">DROP TABLE IF EXISTS iam___groups_for_user; </v>
      </c>
      <c r="BG33" s="8" t="str">
        <f t="shared" si="5"/>
        <v>CREATE TABLE iam___groups_for_user(  id SERIAL PRIMARY KEY, username TEXT );</v>
      </c>
      <c r="BH33" s="8" t="str">
        <f t="shared" si="6"/>
        <v xml:space="preserve">CREATE TABLE iam___groups_for_user(  id SERIAL PRIMARY KEY, </v>
      </c>
      <c r="BI33" s="8" t="str">
        <f>IF($I33&gt;=1,$W33&amp;" TEXT","")</f>
        <v>username TEXT</v>
      </c>
      <c r="BJ33" s="8" t="str">
        <f>IF($I33&gt;=2,", "&amp;$W34&amp;" TEXT","")</f>
        <v/>
      </c>
      <c r="BK33" s="8" t="str">
        <f>IF($I33&gt;=3,", "&amp;$W35&amp;" TEXT","")</f>
        <v/>
      </c>
      <c r="BL33" s="8" t="str">
        <f>IF($I33&gt;=4,", "&amp;$W36&amp;" TEXT","")</f>
        <v/>
      </c>
      <c r="BM33" s="8" t="str">
        <f>IF($I33&gt;=5,", "&amp;$W37&amp;" TEXT","")</f>
        <v/>
      </c>
      <c r="BN33" s="8" t="str">
        <f>IF($I33&gt;=6,", "&amp;$W38&amp;" TEXT","")</f>
        <v/>
      </c>
      <c r="BO33" s="8" t="str">
        <f>IF($I33&gt;=7,", "&amp;$W39&amp;" TEXT","")</f>
        <v/>
      </c>
      <c r="BP33" s="8" t="str">
        <f>IF($I33&gt;=8,", "&amp;$W40&amp;" TEXT","")</f>
        <v/>
      </c>
      <c r="BQ33" s="8" t="str">
        <f t="shared" si="7"/>
        <v xml:space="preserve"> );</v>
      </c>
      <c r="BR33" s="9" t="str">
        <f t="shared" si="8"/>
        <v xml:space="preserve"> INSERT INTO iam___groups_for_user(username)</v>
      </c>
      <c r="BS33" s="9" t="str">
        <f t="shared" si="9"/>
        <v xml:space="preserve"> INSERT INTO iam___groups_for_user(</v>
      </c>
      <c r="BT33" s="9" t="str">
        <f>IF($I33&gt;=1,$W33,"")</f>
        <v>username</v>
      </c>
      <c r="BU33" s="9" t="str">
        <f>IF($I33&gt;=2,", "&amp;$W34,"")</f>
        <v/>
      </c>
      <c r="BV33" s="9" t="str">
        <f>IF($I33&gt;=3,", "&amp;$W35,"")</f>
        <v/>
      </c>
      <c r="BW33" s="9" t="str">
        <f>IF($I33&gt;=4,", "&amp;$W36,"")</f>
        <v/>
      </c>
      <c r="BX33" s="9" t="str">
        <f>IF($I33&gt;=5,", "&amp;$W37,"")</f>
        <v/>
      </c>
      <c r="BY33" s="9" t="str">
        <f>IF($I33&gt;=6,", "&amp;$W38,"")</f>
        <v/>
      </c>
      <c r="BZ33" s="9" t="str">
        <f>IF($I33&gt;=7,", "&amp;$W39,"")</f>
        <v/>
      </c>
      <c r="CA33" s="9" t="str">
        <f>IF($I33&gt;=8,", "&amp;$W40,"")</f>
        <v/>
      </c>
      <c r="CB33" s="9" t="str">
        <f t="shared" si="10"/>
        <v>)</v>
      </c>
      <c r="CC33" s="9" t="str">
        <f t="shared" si="0"/>
        <v xml:space="preserve"> SELECT iam___users.users -&gt;&gt; 'UserName' AS users_username FROM iam___users ;</v>
      </c>
      <c r="CD33" s="8" t="str">
        <f>" SELECT "&amp;$U33&amp;"."&amp;$V33&amp;" -&gt;&gt; '"&amp;$F33&amp;"' AS "&amp;$V33&amp;"_"&amp;LOWER(F33)</f>
        <v xml:space="preserve"> SELECT iam___users.users -&gt;&gt; 'UserName' AS users_username</v>
      </c>
      <c r="CE33" s="8" t="str">
        <f>IF($I33&gt;=2,", "&amp;$U34&amp;"."&amp;$V34&amp;" -&gt;&gt; '"&amp;$F34&amp;"' AS "&amp;$V34&amp;"_"&amp;LOWER(F34),"")</f>
        <v/>
      </c>
      <c r="CF33" s="8" t="str">
        <f>IF($I33&gt;=3,", "&amp;$U35&amp;"."&amp;$V35&amp;" -&gt;&gt; '"&amp;$F35&amp;"' AS "&amp;$V35&amp;"_"&amp;LOWER(F35),"")</f>
        <v/>
      </c>
      <c r="CG33" s="8" t="str">
        <f>IF($I33&gt;=4,", "&amp;$U36&amp;"."&amp;$V36&amp;" -&gt;&gt; '"&amp;$F36&amp;"' AS "&amp;$V36&amp;"_"&amp;LOWER(F36),"")</f>
        <v/>
      </c>
      <c r="CH33" s="8" t="str">
        <f>IF($I33&gt;=5,", "&amp;$U37&amp;"."&amp;$V37&amp;" -&gt;&gt; '"&amp;$F37&amp;"' AS "&amp;$V37&amp;"_"&amp;LOWER(F37),"")</f>
        <v/>
      </c>
      <c r="CI33" s="8" t="str">
        <f>IF($I33&gt;=6,", "&amp;$U38&amp;"."&amp;$V38&amp;" -&gt;&gt; '"&amp;$F38&amp;"' AS "&amp;$V38&amp;"_"&amp;LOWER(F38),"")</f>
        <v/>
      </c>
      <c r="CJ33" s="8" t="str">
        <f>IF($I33&gt;=7,", "&amp;$U39&amp;"."&amp;$V39&amp;" -&gt;&gt; '"&amp;$F39&amp;"' AS "&amp;$V39&amp;"_"&amp;LOWER(F39),"")</f>
        <v/>
      </c>
      <c r="CK33" s="8" t="str">
        <f>IF($I33&gt;=8,", "&amp;$U40&amp;"."&amp;$V40&amp;" -&gt;&gt; '"&amp;$F40&amp;"' AS "&amp;$V40&amp;"_"&amp;LOWER(F40),"")</f>
        <v/>
      </c>
      <c r="CL33" s="8" t="str">
        <f>IF($I33&gt;=1," FROM "&amp;$U33,"")</f>
        <v xml:space="preserve"> FROM iam___users</v>
      </c>
      <c r="CM33" s="9" t="str">
        <f>IF($I33&gt;=2," "&amp;$AA33&amp;" JOIN "&amp;$U33&amp;" USING ("&amp;$T33&amp;"."&amp;$W33&amp;", "&amp;$U33&amp;"."&amp;$V33&amp;" -&gt;&gt; '"&amp;$F33&amp;"')","")</f>
        <v/>
      </c>
      <c r="CN33" s="9" t="str">
        <f>IF($I33&gt;=3," "&amp;$AA34&amp;" JOIN "&amp;$U34&amp;" USING ("&amp;$T34&amp;"."&amp;$W34&amp;", "&amp;$U34&amp;"."&amp;$V34&amp;" -&gt;&gt; '"&amp;$F34&amp;"')","")</f>
        <v/>
      </c>
      <c r="CO33" s="9" t="str">
        <f>IF($I33&gt;=4," "&amp;$AA35&amp;" JOIN "&amp;$U35&amp;" USING ("&amp;$T35&amp;"."&amp;$W35&amp;", "&amp;$U35&amp;"."&amp;$V35&amp;" -&gt;&gt; '"&amp;$F35&amp;"')","")</f>
        <v/>
      </c>
      <c r="CP33" s="9" t="str">
        <f>IF($I33&gt;=5," "&amp;$AA36&amp;" JOIN "&amp;$U36&amp;" USING ("&amp;$T36&amp;"."&amp;$W36&amp;", "&amp;$U36&amp;"."&amp;$V36&amp;" -&gt;&gt; '"&amp;$F36&amp;"')","")</f>
        <v/>
      </c>
      <c r="CQ33" s="9" t="str">
        <f>IF($I33&gt;=6," "&amp;$AA37&amp;" JOIN "&amp;$U37&amp;" USING ("&amp;$T37&amp;"."&amp;$W37&amp;", "&amp;$U37&amp;"."&amp;$V37&amp;" -&gt;&gt; '"&amp;$F37&amp;"')","")</f>
        <v/>
      </c>
      <c r="CR33" s="8" t="str">
        <f>IF($I33&gt;=7," "&amp;$AA38&amp;" JOIN "&amp;$U38&amp;" USING ("&amp;$T38&amp;"."&amp;$W38&amp;", "&amp;$U38&amp;"."&amp;$V38&amp;" -&gt;&gt; '"&amp;$F38&amp;"')","")</f>
        <v/>
      </c>
      <c r="CS33" s="8" t="str">
        <f>IF($I33&gt;=8," "&amp;$AA39&amp;" JOIN "&amp;$U39&amp;" USING ("&amp;$T39&amp;"."&amp;$W39&amp;", "&amp;$U39&amp;"."&amp;$V39&amp;" -&gt;&gt; '"&amp;$F39&amp;"')","")</f>
        <v/>
      </c>
      <c r="CT33" s="8" t="str">
        <f t="shared" si="11"/>
        <v xml:space="preserve"> ;</v>
      </c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</row>
    <row r="34" spans="1:202" x14ac:dyDescent="0.25">
      <c r="A34">
        <v>33</v>
      </c>
      <c r="B34" s="4" t="s">
        <v>0</v>
      </c>
      <c r="C34" s="4" t="s">
        <v>39</v>
      </c>
      <c r="D34" s="4" t="s">
        <v>0</v>
      </c>
      <c r="E34" s="4" t="s">
        <v>34</v>
      </c>
      <c r="F34" s="4" t="s">
        <v>37</v>
      </c>
      <c r="G34" s="7" t="s">
        <v>72</v>
      </c>
      <c r="H34" s="7" t="s">
        <v>72</v>
      </c>
      <c r="I34" s="7">
        <v>1</v>
      </c>
      <c r="J34" s="7" t="s">
        <v>72</v>
      </c>
      <c r="K34" s="7">
        <v>1</v>
      </c>
      <c r="L34" s="4" t="s">
        <v>36</v>
      </c>
      <c r="M34" s="7" t="s">
        <v>72</v>
      </c>
      <c r="N34" s="4"/>
      <c r="O34" s="7"/>
      <c r="P34" s="4"/>
      <c r="Q34" s="8" t="str">
        <f>VLOOKUP($C34,aws_cli_commands!$C$2:$E$10000,2,FALSE)</f>
        <v>n</v>
      </c>
      <c r="R34" s="8" t="str">
        <f>VLOOKUP($C34,aws_cli_commands!$C$2:$E$10000,3,FALSE)</f>
        <v>y</v>
      </c>
      <c r="S34" s="8" t="str">
        <f>IF(OR(C34=C33,C34=C35),"y","n")</f>
        <v>n</v>
      </c>
      <c r="T34" s="8" t="str">
        <f>B34&amp;"___"&amp;SUBSTITUTE(RIGHT(C34,LEN(C34)-FIND("-",C34)),"-","_")</f>
        <v>iam___instance_profiles_for_role</v>
      </c>
      <c r="U34" s="8" t="str">
        <f>SUBSTITUTE(D34&amp;"___"&amp;RIGHT(E34,LEN(E34)-FIND("-",E34)),"-","_")</f>
        <v>iam___roles</v>
      </c>
      <c r="V34" s="8" t="str">
        <f>SUBSTITUTE(RIGHT($E34,LEN($E34)-FIND("-",$E34)),"-","_")</f>
        <v>roles</v>
      </c>
      <c r="W34" s="8" t="str">
        <f>IF(G34="y",V34&amp;"_"&amp;LOWER(F34),IF(M34="y","**hardcoded**",LOWER(F34)))</f>
        <v>rolename</v>
      </c>
      <c r="X34" s="8" t="str">
        <f t="shared" si="1"/>
        <v>n</v>
      </c>
      <c r="Y34" s="8">
        <f>IF(AND($C34=$C34,$M34="y"),1,0)+IF(AND($C33=$C34,$M33="y"),1,0)+IF(AND($C32=$C34,$M32="y"),1,0)+IF(AND($C31=$C34,$M31="y"),1,0)+IF(AND($C30=$C34,$M30="y"),1,0)+IF(AND($C29=$C34,$M29="y"),1,0)+IF(AND($C28=$C34,$M28="y"),1,0)+IF(AND($C27=$C34,$M27="y"),1,0)+IF(AND($C26=$C34,$M26="y"),1,0)</f>
        <v>0</v>
      </c>
      <c r="Z34" s="8">
        <f>IF(AND($C34=$C34,$M34="y"),1,0)+IF(AND($C34=$C35,$M35="y"),1,0)+IF(AND($C34=$C36,$M36="y"),1,0)+IF(AND($C34=$C37,$M37="y"),1,0)+IF(AND($C34=$C38,$M38="y"),1,0)+IF(AND($C34=$C39,$M39="y"),1,0)+IF(AND($C34=$C40,$M40="y"),1,0)+IF(AND($C34=$C41,$M41="y"),1,0)+IF(AND($C34=$C42,$M42="y"),1,0)</f>
        <v>0</v>
      </c>
      <c r="AA34" s="8" t="s">
        <v>127</v>
      </c>
      <c r="AB34" s="9" t="str">
        <f>IF(AND($H34="y",$C34&lt;&gt;$C33),B34&amp;" "&amp;AC34&amp;AD34&amp;AE34&amp;AF34&amp;AG34&amp;AH34&amp;AI34&amp;AJ34&amp;AK34,IF(H34="n",B34&amp;" "&amp;AC34&amp;AD34&amp;AE34&amp;AF34&amp;AG34&amp;AH34&amp;AI34&amp;AJ34&amp;AK34,""))</f>
        <v>iam list-instance-profiles-for-role --role-name</v>
      </c>
      <c r="AC34" s="8" t="str">
        <f t="shared" si="2"/>
        <v>list-instance-profiles-for-role</v>
      </c>
      <c r="AD34" s="8" t="str">
        <f>IF($I34&gt;=1," "&amp;$L34,"")</f>
        <v xml:space="preserve"> --role-name</v>
      </c>
      <c r="AE34" s="8" t="str">
        <f>IF($I34&gt;=2," "&amp;$L35,"")</f>
        <v/>
      </c>
      <c r="AF34" s="8" t="str">
        <f>IF($I34&gt;=3," "&amp;$L36,"")</f>
        <v/>
      </c>
      <c r="AG34" s="8" t="str">
        <f>IF($I34&gt;=4," "&amp;$L37,"")</f>
        <v/>
      </c>
      <c r="AH34" s="8" t="str">
        <f>IF($I34&gt;=5," "&amp;$L38,"")</f>
        <v/>
      </c>
      <c r="AI34" s="8" t="str">
        <f>IF($I34&gt;=6," "&amp;$L39,"")</f>
        <v/>
      </c>
      <c r="AJ34" s="8" t="str">
        <f>IF($I34&gt;=7," "&amp;$L40,"")</f>
        <v/>
      </c>
      <c r="AK34" s="8" t="str">
        <f>IF($I34&gt;=8," "&amp;$L41,"")</f>
        <v/>
      </c>
      <c r="AL34" s="8" t="str">
        <f>U34</f>
        <v>iam___roles</v>
      </c>
      <c r="AM34" s="8" t="str">
        <f>IF($I34&gt;=2,$U35,"")</f>
        <v/>
      </c>
      <c r="AN34" s="8" t="str">
        <f>IF($I34&gt;=3,$U36,"")</f>
        <v/>
      </c>
      <c r="AO34" s="8" t="str">
        <f>IF(I34&gt;=4,$U37,"")</f>
        <v/>
      </c>
      <c r="AP34" s="8" t="str">
        <f>IF($I34&gt;=5,$U38,"")</f>
        <v/>
      </c>
      <c r="AQ34" s="8" t="str">
        <f>IF($I34&gt;=6,$U39,"")</f>
        <v/>
      </c>
      <c r="AR34" s="8" t="str">
        <f>IF($I34&gt;=7,$U40,"")</f>
        <v/>
      </c>
      <c r="AS34" s="8" t="str">
        <f>IF(I34&gt;=8,$U41,"")</f>
        <v/>
      </c>
      <c r="AT34" s="8" t="str">
        <f>F34</f>
        <v>RoleName</v>
      </c>
      <c r="AU34" s="8" t="str">
        <f>IF($I34&gt;=2,$F35,"")</f>
        <v/>
      </c>
      <c r="AV34" s="8" t="str">
        <f>IF($I34&gt;=3,$F36,"")</f>
        <v/>
      </c>
      <c r="AW34" s="8" t="str">
        <f>IF($I34&gt;=4,$F37,"")</f>
        <v/>
      </c>
      <c r="AX34" s="8" t="str">
        <f>IF($I34&gt;=5,$F38,"")</f>
        <v/>
      </c>
      <c r="AY34" s="8" t="str">
        <f>IF($I34&gt;=6,$F39,"")</f>
        <v/>
      </c>
      <c r="AZ34" s="8" t="str">
        <f>IF($I34&gt;=7,$F40,"")</f>
        <v/>
      </c>
      <c r="BA34" s="8" t="str">
        <f>IF($I34&gt;=8,$F41,"")</f>
        <v/>
      </c>
      <c r="BB34" s="9" t="str">
        <f>IF(OR(R34&lt;&gt;"y",I34&lt;&gt;1),"","SELECT aws_command::text || ' ' || command_parameter::text AS aws_command_string, parameter_source_table, parameter_source_key FROM (SELECT  "&amp;"'"&amp;AB34&amp;"'"&amp;" AS aws_command,"&amp;U34&amp;"."&amp;V34&amp;" -&gt;&gt; "&amp;"'"&amp;F34&amp;"'"&amp;" AS command_parameter, "&amp;"'"&amp;AL34&amp;"'"&amp;" AS parameter_source_table, "&amp;"'"&amp;AT34&amp;"'"&amp;" AS parameter_source_key FROM "&amp;U34&amp;") AS f")</f>
        <v>SELECT aws_command::text || ' ' || command_parameter::text AS aws_command_string, parameter_source_table, parameter_source_key FROM (SELECT  'iam list-instance-profiles-for-role --role-name' AS aws_command,iam___roles.roles -&gt;&gt; 'RoleName' AS command_parameter, 'iam___roles' AS parameter_source_table, 'RoleName' AS parameter_source_key FROM iam___roles) AS f</v>
      </c>
      <c r="BC34" s="9" t="str">
        <f>IF(AND(H34="y",H33&lt;&gt;"y"),BE34&amp;BF34&amp;BG34&amp;BR34&amp;CC34,"")</f>
        <v/>
      </c>
      <c r="BD34" s="8" t="str">
        <f>"/* recursive command: "&amp;C34&amp;" */ DROP TABLE IF EXISTS "&amp;T34&amp;"; CREATE TABLE "&amp;T34&amp;"(  id SERIAL PRIMARY KEY, "&amp;F34&amp;" TEXT); SELECT "&amp;U34&amp;"."&amp;V34&amp;" -&gt;&gt; '"&amp;F34&amp;"' AS "&amp;V34&amp;" FROM "&amp;U34&amp;" ;"</f>
        <v>/* recursive command: list-instance-profiles-for-role */ DROP TABLE IF EXISTS iam___instance_profiles_for_role; CREATE TABLE iam___instance_profiles_for_role(  id SERIAL PRIMARY KEY, RoleName TEXT); SELECT iam___roles.roles -&gt;&gt; 'RoleName' AS roles FROM iam___roles ;</v>
      </c>
      <c r="BE34" s="8" t="str">
        <f t="shared" si="3"/>
        <v xml:space="preserve">/* recursive command multi: list-instance-profiles-for-role */ </v>
      </c>
      <c r="BF34" s="8" t="str">
        <f t="shared" si="4"/>
        <v xml:space="preserve">DROP TABLE IF EXISTS iam___instance_profiles_for_role; </v>
      </c>
      <c r="BG34" s="8" t="str">
        <f t="shared" si="5"/>
        <v>CREATE TABLE iam___instance_profiles_for_role(  id SERIAL PRIMARY KEY, rolename TEXT );</v>
      </c>
      <c r="BH34" s="8" t="str">
        <f t="shared" si="6"/>
        <v xml:space="preserve">CREATE TABLE iam___instance_profiles_for_role(  id SERIAL PRIMARY KEY, </v>
      </c>
      <c r="BI34" s="8" t="str">
        <f>IF($I34&gt;=1,$W34&amp;" TEXT","")</f>
        <v>rolename TEXT</v>
      </c>
      <c r="BJ34" s="8" t="str">
        <f>IF($I34&gt;=2,", "&amp;$W35&amp;" TEXT","")</f>
        <v/>
      </c>
      <c r="BK34" s="8" t="str">
        <f>IF($I34&gt;=3,", "&amp;$W36&amp;" TEXT","")</f>
        <v/>
      </c>
      <c r="BL34" s="8" t="str">
        <f>IF($I34&gt;=4,", "&amp;$W37&amp;" TEXT","")</f>
        <v/>
      </c>
      <c r="BM34" s="8" t="str">
        <f>IF($I34&gt;=5,", "&amp;$W38&amp;" TEXT","")</f>
        <v/>
      </c>
      <c r="BN34" s="8" t="str">
        <f>IF($I34&gt;=6,", "&amp;$W39&amp;" TEXT","")</f>
        <v/>
      </c>
      <c r="BO34" s="8" t="str">
        <f>IF($I34&gt;=7,", "&amp;$W40&amp;" TEXT","")</f>
        <v/>
      </c>
      <c r="BP34" s="8" t="str">
        <f>IF($I34&gt;=8,", "&amp;$W41&amp;" TEXT","")</f>
        <v/>
      </c>
      <c r="BQ34" s="8" t="str">
        <f t="shared" si="7"/>
        <v xml:space="preserve"> );</v>
      </c>
      <c r="BR34" s="9" t="str">
        <f t="shared" si="8"/>
        <v xml:space="preserve"> INSERT INTO iam___instance_profiles_for_role(rolename)</v>
      </c>
      <c r="BS34" s="9" t="str">
        <f t="shared" si="9"/>
        <v xml:space="preserve"> INSERT INTO iam___instance_profiles_for_role(</v>
      </c>
      <c r="BT34" s="9" t="str">
        <f>IF($I34&gt;=1,$W34,"")</f>
        <v>rolename</v>
      </c>
      <c r="BU34" s="9" t="str">
        <f>IF($I34&gt;=2,", "&amp;$W35,"")</f>
        <v/>
      </c>
      <c r="BV34" s="9" t="str">
        <f>IF($I34&gt;=3,", "&amp;$W36,"")</f>
        <v/>
      </c>
      <c r="BW34" s="9" t="str">
        <f>IF($I34&gt;=4,", "&amp;$W37,"")</f>
        <v/>
      </c>
      <c r="BX34" s="9" t="str">
        <f>IF($I34&gt;=5,", "&amp;$W38,"")</f>
        <v/>
      </c>
      <c r="BY34" s="9" t="str">
        <f>IF($I34&gt;=6,", "&amp;$W39,"")</f>
        <v/>
      </c>
      <c r="BZ34" s="9" t="str">
        <f>IF($I34&gt;=7,", "&amp;$W40,"")</f>
        <v/>
      </c>
      <c r="CA34" s="9" t="str">
        <f>IF($I34&gt;=8,", "&amp;$W41,"")</f>
        <v/>
      </c>
      <c r="CB34" s="9" t="str">
        <f t="shared" si="10"/>
        <v>)</v>
      </c>
      <c r="CC34" s="9" t="str">
        <f t="shared" si="0"/>
        <v xml:space="preserve"> SELECT iam___roles.roles -&gt;&gt; 'RoleName' AS roles_rolename FROM iam___roles ;</v>
      </c>
      <c r="CD34" s="8" t="str">
        <f>" SELECT "&amp;$U34&amp;"."&amp;$V34&amp;" -&gt;&gt; '"&amp;$F34&amp;"' AS "&amp;$V34&amp;"_"&amp;LOWER(F34)</f>
        <v xml:space="preserve"> SELECT iam___roles.roles -&gt;&gt; 'RoleName' AS roles_rolename</v>
      </c>
      <c r="CE34" s="8" t="str">
        <f>IF($I34&gt;=2,", "&amp;$U35&amp;"."&amp;$V35&amp;" -&gt;&gt; '"&amp;$F35&amp;"' AS "&amp;$V35&amp;"_"&amp;LOWER(F35),"")</f>
        <v/>
      </c>
      <c r="CF34" s="8" t="str">
        <f>IF($I34&gt;=3,", "&amp;$U36&amp;"."&amp;$V36&amp;" -&gt;&gt; '"&amp;$F36&amp;"' AS "&amp;$V36&amp;"_"&amp;LOWER(F36),"")</f>
        <v/>
      </c>
      <c r="CG34" s="8" t="str">
        <f>IF($I34&gt;=4,", "&amp;$U37&amp;"."&amp;$V37&amp;" -&gt;&gt; '"&amp;$F37&amp;"' AS "&amp;$V37&amp;"_"&amp;LOWER(F37),"")</f>
        <v/>
      </c>
      <c r="CH34" s="8" t="str">
        <f>IF($I34&gt;=5,", "&amp;$U38&amp;"."&amp;$V38&amp;" -&gt;&gt; '"&amp;$F38&amp;"' AS "&amp;$V38&amp;"_"&amp;LOWER(F38),"")</f>
        <v/>
      </c>
      <c r="CI34" s="8" t="str">
        <f>IF($I34&gt;=6,", "&amp;$U39&amp;"."&amp;$V39&amp;" -&gt;&gt; '"&amp;$F39&amp;"' AS "&amp;$V39&amp;"_"&amp;LOWER(F39),"")</f>
        <v/>
      </c>
      <c r="CJ34" s="8" t="str">
        <f>IF($I34&gt;=7,", "&amp;$U40&amp;"."&amp;$V40&amp;" -&gt;&gt; '"&amp;$F40&amp;"' AS "&amp;$V40&amp;"_"&amp;LOWER(F40),"")</f>
        <v/>
      </c>
      <c r="CK34" s="8" t="str">
        <f>IF($I34&gt;=8,", "&amp;$U41&amp;"."&amp;$V41&amp;" -&gt;&gt; '"&amp;$F41&amp;"' AS "&amp;$V41&amp;"_"&amp;LOWER(F41),"")</f>
        <v/>
      </c>
      <c r="CL34" s="8" t="str">
        <f>IF($I34&gt;=1," FROM "&amp;$U34,"")</f>
        <v xml:space="preserve"> FROM iam___roles</v>
      </c>
      <c r="CM34" s="9" t="str">
        <f>IF($I34&gt;=2," "&amp;$AA34&amp;" JOIN "&amp;$U34&amp;" USING ("&amp;$T34&amp;"."&amp;$W34&amp;", "&amp;$U34&amp;"."&amp;$V34&amp;" -&gt;&gt; '"&amp;$F34&amp;"')","")</f>
        <v/>
      </c>
      <c r="CN34" s="9" t="str">
        <f>IF($I34&gt;=3," "&amp;$AA35&amp;" JOIN "&amp;$U35&amp;" USING ("&amp;$T35&amp;"."&amp;$W35&amp;", "&amp;$U35&amp;"."&amp;$V35&amp;" -&gt;&gt; '"&amp;$F35&amp;"')","")</f>
        <v/>
      </c>
      <c r="CO34" s="9" t="str">
        <f>IF($I34&gt;=4," "&amp;$AA36&amp;" JOIN "&amp;$U36&amp;" USING ("&amp;$T36&amp;"."&amp;$W36&amp;", "&amp;$U36&amp;"."&amp;$V36&amp;" -&gt;&gt; '"&amp;$F36&amp;"')","")</f>
        <v/>
      </c>
      <c r="CP34" s="9" t="str">
        <f>IF($I34&gt;=5," "&amp;$AA37&amp;" JOIN "&amp;$U37&amp;" USING ("&amp;$T37&amp;"."&amp;$W37&amp;", "&amp;$U37&amp;"."&amp;$V37&amp;" -&gt;&gt; '"&amp;$F37&amp;"')","")</f>
        <v/>
      </c>
      <c r="CQ34" s="9" t="str">
        <f>IF($I34&gt;=6," "&amp;$AA38&amp;" JOIN "&amp;$U38&amp;" USING ("&amp;$T38&amp;"."&amp;$W38&amp;", "&amp;$U38&amp;"."&amp;$V38&amp;" -&gt;&gt; '"&amp;$F38&amp;"')","")</f>
        <v/>
      </c>
      <c r="CR34" s="8" t="str">
        <f>IF($I34&gt;=7," "&amp;$AA39&amp;" JOIN "&amp;$U39&amp;" USING ("&amp;$T39&amp;"."&amp;$W39&amp;", "&amp;$U39&amp;"."&amp;$V39&amp;" -&gt;&gt; '"&amp;$F39&amp;"')","")</f>
        <v/>
      </c>
      <c r="CS34" s="8" t="str">
        <f>IF($I34&gt;=8," "&amp;$AA40&amp;" JOIN "&amp;$U40&amp;" USING ("&amp;$T40&amp;"."&amp;$W40&amp;", "&amp;$U40&amp;"."&amp;$V40&amp;" -&gt;&gt; '"&amp;$F40&amp;"')","")</f>
        <v/>
      </c>
      <c r="CT34" s="8" t="str">
        <f t="shared" si="11"/>
        <v xml:space="preserve"> ;</v>
      </c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</row>
    <row r="35" spans="1:202" x14ac:dyDescent="0.25">
      <c r="A35">
        <v>34</v>
      </c>
      <c r="B35" s="4" t="s">
        <v>0</v>
      </c>
      <c r="C35" s="4" t="s">
        <v>33</v>
      </c>
      <c r="D35" s="4" t="s">
        <v>0</v>
      </c>
      <c r="E35" s="4" t="s">
        <v>29</v>
      </c>
      <c r="F35" s="4" t="s">
        <v>28</v>
      </c>
      <c r="G35" s="7" t="s">
        <v>72</v>
      </c>
      <c r="H35" s="7" t="s">
        <v>72</v>
      </c>
      <c r="I35" s="7">
        <v>1</v>
      </c>
      <c r="J35" s="7" t="s">
        <v>72</v>
      </c>
      <c r="K35" s="7">
        <v>1</v>
      </c>
      <c r="L35" s="4" t="s">
        <v>31</v>
      </c>
      <c r="M35" s="7" t="s">
        <v>72</v>
      </c>
      <c r="N35" s="4"/>
      <c r="O35" s="7"/>
      <c r="P35" s="4"/>
      <c r="Q35" s="8" t="str">
        <f>VLOOKUP($C35,aws_cli_commands!$C$2:$E$10000,2,FALSE)</f>
        <v>n</v>
      </c>
      <c r="R35" s="8" t="str">
        <f>VLOOKUP($C35,aws_cli_commands!$C$2:$E$10000,3,FALSE)</f>
        <v>y</v>
      </c>
      <c r="S35" s="8" t="str">
        <f>IF(OR(C35=C34,C35=C36),"y","n")</f>
        <v>n</v>
      </c>
      <c r="T35" s="8" t="str">
        <f>B35&amp;"___"&amp;SUBSTITUTE(RIGHT(C35,LEN(C35)-FIND("-",C35)),"-","_")</f>
        <v>iam___policy_versions</v>
      </c>
      <c r="U35" s="8" t="str">
        <f>SUBSTITUTE(D35&amp;"___"&amp;RIGHT(E35,LEN(E35)-FIND("-",E35)),"-","_")</f>
        <v>iam___policies</v>
      </c>
      <c r="V35" s="8" t="str">
        <f>SUBSTITUTE(RIGHT($E35,LEN($E35)-FIND("-",$E35)),"-","_")</f>
        <v>policies</v>
      </c>
      <c r="W35" s="8" t="str">
        <f>IF(G35="y",V35&amp;"_"&amp;LOWER(F35),IF(M35="y","**hardcoded**",LOWER(F35)))</f>
        <v>arn</v>
      </c>
      <c r="X35" s="8" t="str">
        <f t="shared" si="1"/>
        <v>n</v>
      </c>
      <c r="Y35" s="8">
        <f>IF(AND($C35=$C35,$M35="y"),1,0)+IF(AND($C34=$C35,$M34="y"),1,0)+IF(AND($C33=$C35,$M33="y"),1,0)+IF(AND($C32=$C35,$M32="y"),1,0)+IF(AND($C31=$C35,$M31="y"),1,0)+IF(AND($C30=$C35,$M30="y"),1,0)+IF(AND($C29=$C35,$M29="y"),1,0)+IF(AND($C28=$C35,$M28="y"),1,0)+IF(AND($C27=$C35,$M27="y"),1,0)</f>
        <v>0</v>
      </c>
      <c r="Z35" s="8">
        <f>IF(AND($C35=$C35,$M35="y"),1,0)+IF(AND($C35=$C36,$M36="y"),1,0)+IF(AND($C35=$C37,$M37="y"),1,0)+IF(AND($C35=$C38,$M38="y"),1,0)+IF(AND($C35=$C39,$M39="y"),1,0)+IF(AND($C35=$C40,$M40="y"),1,0)+IF(AND($C35=$C41,$M41="y"),1,0)+IF(AND($C35=$C42,$M42="y"),1,0)+IF(AND($C35=$C43,$M43="y"),1,0)</f>
        <v>0</v>
      </c>
      <c r="AA35" s="8" t="s">
        <v>127</v>
      </c>
      <c r="AB35" s="9" t="str">
        <f>IF(AND($H35="y",$C35&lt;&gt;$C34),B35&amp;" "&amp;AC35&amp;AD35&amp;AE35&amp;AF35&amp;AG35&amp;AH35&amp;AI35&amp;AJ35&amp;AK35,IF(H35="n",B35&amp;" "&amp;AC35&amp;AD35&amp;AE35&amp;AF35&amp;AG35&amp;AH35&amp;AI35&amp;AJ35&amp;AK35,""))</f>
        <v>iam list-policy-versions --policy-arn</v>
      </c>
      <c r="AC35" s="8" t="str">
        <f t="shared" si="2"/>
        <v>list-policy-versions</v>
      </c>
      <c r="AD35" s="8" t="str">
        <f>IF($I35&gt;=1," "&amp;$L35,"")</f>
        <v xml:space="preserve"> --policy-arn</v>
      </c>
      <c r="AE35" s="8" t="str">
        <f>IF($I35&gt;=2," "&amp;$L36,"")</f>
        <v/>
      </c>
      <c r="AF35" s="8" t="str">
        <f>IF($I35&gt;=3," "&amp;$L37,"")</f>
        <v/>
      </c>
      <c r="AG35" s="8" t="str">
        <f>IF($I35&gt;=4," "&amp;$L38,"")</f>
        <v/>
      </c>
      <c r="AH35" s="8" t="str">
        <f>IF($I35&gt;=5," "&amp;$L39,"")</f>
        <v/>
      </c>
      <c r="AI35" s="8" t="str">
        <f>IF($I35&gt;=6," "&amp;$L40,"")</f>
        <v/>
      </c>
      <c r="AJ35" s="8" t="str">
        <f>IF($I35&gt;=7," "&amp;$L41,"")</f>
        <v/>
      </c>
      <c r="AK35" s="8" t="str">
        <f>IF($I35&gt;=8," "&amp;$L42,"")</f>
        <v/>
      </c>
      <c r="AL35" s="8" t="str">
        <f>U35</f>
        <v>iam___policies</v>
      </c>
      <c r="AM35" s="8" t="str">
        <f>IF($I35&gt;=2,$U36,"")</f>
        <v/>
      </c>
      <c r="AN35" s="8" t="str">
        <f>IF($I35&gt;=3,$U37,"")</f>
        <v/>
      </c>
      <c r="AO35" s="8" t="str">
        <f>IF(I35&gt;=4,$U38,"")</f>
        <v/>
      </c>
      <c r="AP35" s="8" t="str">
        <f>IF($I35&gt;=5,$U39,"")</f>
        <v/>
      </c>
      <c r="AQ35" s="8" t="str">
        <f>IF($I35&gt;=6,$U40,"")</f>
        <v/>
      </c>
      <c r="AR35" s="8" t="str">
        <f>IF($I35&gt;=7,$U41,"")</f>
        <v/>
      </c>
      <c r="AS35" s="8" t="str">
        <f>IF(I35&gt;=8,$U42,"")</f>
        <v/>
      </c>
      <c r="AT35" s="8" t="str">
        <f>F35</f>
        <v>Arn</v>
      </c>
      <c r="AU35" s="8" t="str">
        <f>IF($I35&gt;=2,$F36,"")</f>
        <v/>
      </c>
      <c r="AV35" s="8" t="str">
        <f>IF($I35&gt;=3,$F37,"")</f>
        <v/>
      </c>
      <c r="AW35" s="8" t="str">
        <f>IF($I35&gt;=4,$F38,"")</f>
        <v/>
      </c>
      <c r="AX35" s="8" t="str">
        <f>IF($I35&gt;=5,$F39,"")</f>
        <v/>
      </c>
      <c r="AY35" s="8" t="str">
        <f>IF($I35&gt;=6,$F40,"")</f>
        <v/>
      </c>
      <c r="AZ35" s="8" t="str">
        <f>IF($I35&gt;=7,$F41,"")</f>
        <v/>
      </c>
      <c r="BA35" s="8" t="str">
        <f>IF($I35&gt;=8,$F42,"")</f>
        <v/>
      </c>
      <c r="BB35" s="9" t="str">
        <f>IF(OR(R35&lt;&gt;"y",I35&lt;&gt;1),"","SELECT aws_command::text || ' ' || command_parameter::text AS aws_command_string, parameter_source_table, parameter_source_key FROM (SELECT  "&amp;"'"&amp;AB35&amp;"'"&amp;" AS aws_command,"&amp;U35&amp;"."&amp;V35&amp;" -&gt;&gt; "&amp;"'"&amp;F35&amp;"'"&amp;" AS command_parameter, "&amp;"'"&amp;AL35&amp;"'"&amp;" AS parameter_source_table, "&amp;"'"&amp;AT35&amp;"'"&amp;" AS parameter_source_key FROM "&amp;U35&amp;") AS f")</f>
        <v>SELECT aws_command::text || ' ' || command_parameter::text AS aws_command_string, parameter_source_table, parameter_source_key FROM (SELECT  'iam list-policy-versions --policy-arn' AS aws_command,iam___policies.policies -&gt;&gt; 'Arn' AS command_parameter, 'iam___policies' AS parameter_source_table, 'Arn' AS parameter_source_key FROM iam___policies) AS f</v>
      </c>
      <c r="BC35" s="9" t="str">
        <f>IF(AND(H35="y",H34&lt;&gt;"y"),BE35&amp;BF35&amp;BG35&amp;BR35&amp;CC35,"")</f>
        <v/>
      </c>
      <c r="BD35" s="8" t="str">
        <f>"/* recursive command: "&amp;C35&amp;" */ DROP TABLE IF EXISTS "&amp;T35&amp;"; CREATE TABLE "&amp;T35&amp;"(  id SERIAL PRIMARY KEY, "&amp;F35&amp;" TEXT); SELECT "&amp;U35&amp;"."&amp;V35&amp;" -&gt;&gt; '"&amp;F35&amp;"' AS "&amp;V35&amp;" FROM "&amp;U35&amp;" ;"</f>
        <v>/* recursive command: list-policy-versions */ DROP TABLE IF EXISTS iam___policy_versions; CREATE TABLE iam___policy_versions(  id SERIAL PRIMARY KEY, Arn TEXT); SELECT iam___policies.policies -&gt;&gt; 'Arn' AS policies FROM iam___policies ;</v>
      </c>
      <c r="BE35" s="8" t="str">
        <f t="shared" si="3"/>
        <v xml:space="preserve">/* recursive command multi: list-policy-versions */ </v>
      </c>
      <c r="BF35" s="8" t="str">
        <f t="shared" si="4"/>
        <v xml:space="preserve">DROP TABLE IF EXISTS iam___policy_versions; </v>
      </c>
      <c r="BG35" s="8" t="str">
        <f t="shared" si="5"/>
        <v>CREATE TABLE iam___policy_versions(  id SERIAL PRIMARY KEY, arn TEXT );</v>
      </c>
      <c r="BH35" s="8" t="str">
        <f t="shared" si="6"/>
        <v xml:space="preserve">CREATE TABLE iam___policy_versions(  id SERIAL PRIMARY KEY, </v>
      </c>
      <c r="BI35" s="8" t="str">
        <f>IF($I35&gt;=1,$W35&amp;" TEXT","")</f>
        <v>arn TEXT</v>
      </c>
      <c r="BJ35" s="8" t="str">
        <f>IF($I35&gt;=2,", "&amp;$W36&amp;" TEXT","")</f>
        <v/>
      </c>
      <c r="BK35" s="8" t="str">
        <f>IF($I35&gt;=3,", "&amp;$W37&amp;" TEXT","")</f>
        <v/>
      </c>
      <c r="BL35" s="8" t="str">
        <f>IF($I35&gt;=4,", "&amp;$W38&amp;" TEXT","")</f>
        <v/>
      </c>
      <c r="BM35" s="8" t="str">
        <f>IF($I35&gt;=5,", "&amp;$W39&amp;" TEXT","")</f>
        <v/>
      </c>
      <c r="BN35" s="8" t="str">
        <f>IF($I35&gt;=6,", "&amp;$W40&amp;" TEXT","")</f>
        <v/>
      </c>
      <c r="BO35" s="8" t="str">
        <f>IF($I35&gt;=7,", "&amp;$W41&amp;" TEXT","")</f>
        <v/>
      </c>
      <c r="BP35" s="8" t="str">
        <f>IF($I35&gt;=8,", "&amp;$W42&amp;" TEXT","")</f>
        <v/>
      </c>
      <c r="BQ35" s="8" t="str">
        <f t="shared" si="7"/>
        <v xml:space="preserve"> );</v>
      </c>
      <c r="BR35" s="9" t="str">
        <f t="shared" si="8"/>
        <v xml:space="preserve"> INSERT INTO iam___policy_versions(arn)</v>
      </c>
      <c r="BS35" s="9" t="str">
        <f t="shared" si="9"/>
        <v xml:space="preserve"> INSERT INTO iam___policy_versions(</v>
      </c>
      <c r="BT35" s="9" t="str">
        <f>IF($I35&gt;=1,$W35,"")</f>
        <v>arn</v>
      </c>
      <c r="BU35" s="9" t="str">
        <f>IF($I35&gt;=2,", "&amp;$W36,"")</f>
        <v/>
      </c>
      <c r="BV35" s="9" t="str">
        <f>IF($I35&gt;=3,", "&amp;$W37,"")</f>
        <v/>
      </c>
      <c r="BW35" s="9" t="str">
        <f>IF($I35&gt;=4,", "&amp;$W38,"")</f>
        <v/>
      </c>
      <c r="BX35" s="9" t="str">
        <f>IF($I35&gt;=5,", "&amp;$W39,"")</f>
        <v/>
      </c>
      <c r="BY35" s="9" t="str">
        <f>IF($I35&gt;=6,", "&amp;$W40,"")</f>
        <v/>
      </c>
      <c r="BZ35" s="9" t="str">
        <f>IF($I35&gt;=7,", "&amp;$W41,"")</f>
        <v/>
      </c>
      <c r="CA35" s="9" t="str">
        <f>IF($I35&gt;=8,", "&amp;$W42,"")</f>
        <v/>
      </c>
      <c r="CB35" s="9" t="str">
        <f t="shared" si="10"/>
        <v>)</v>
      </c>
      <c r="CC35" s="9" t="str">
        <f t="shared" si="0"/>
        <v xml:space="preserve"> SELECT iam___policies.policies -&gt;&gt; 'Arn' AS policies_arn FROM iam___policies ;</v>
      </c>
      <c r="CD35" s="8" t="str">
        <f>" SELECT "&amp;$U35&amp;"."&amp;$V35&amp;" -&gt;&gt; '"&amp;$F35&amp;"' AS "&amp;$V35&amp;"_"&amp;LOWER(F35)</f>
        <v xml:space="preserve"> SELECT iam___policies.policies -&gt;&gt; 'Arn' AS policies_arn</v>
      </c>
      <c r="CE35" s="8" t="str">
        <f>IF($I35&gt;=2,", "&amp;$U36&amp;"."&amp;$V36&amp;" -&gt;&gt; '"&amp;$F36&amp;"' AS "&amp;$V36&amp;"_"&amp;LOWER(F36),"")</f>
        <v/>
      </c>
      <c r="CF35" s="8" t="str">
        <f>IF($I35&gt;=3,", "&amp;$U37&amp;"."&amp;$V37&amp;" -&gt;&gt; '"&amp;$F37&amp;"' AS "&amp;$V37&amp;"_"&amp;LOWER(F37),"")</f>
        <v/>
      </c>
      <c r="CG35" s="8" t="str">
        <f>IF($I35&gt;=4,", "&amp;$U38&amp;"."&amp;$V38&amp;" -&gt;&gt; '"&amp;$F38&amp;"' AS "&amp;$V38&amp;"_"&amp;LOWER(F38),"")</f>
        <v/>
      </c>
      <c r="CH35" s="8" t="str">
        <f>IF($I35&gt;=5,", "&amp;$U39&amp;"."&amp;$V39&amp;" -&gt;&gt; '"&amp;$F39&amp;"' AS "&amp;$V39&amp;"_"&amp;LOWER(F39),"")</f>
        <v/>
      </c>
      <c r="CI35" s="8" t="str">
        <f>IF($I35&gt;=6,", "&amp;$U40&amp;"."&amp;$V40&amp;" -&gt;&gt; '"&amp;$F40&amp;"' AS "&amp;$V40&amp;"_"&amp;LOWER(F40),"")</f>
        <v/>
      </c>
      <c r="CJ35" s="8" t="str">
        <f>IF($I35&gt;=7,", "&amp;$U41&amp;"."&amp;$V41&amp;" -&gt;&gt; '"&amp;$F41&amp;"' AS "&amp;$V41&amp;"_"&amp;LOWER(F41),"")</f>
        <v/>
      </c>
      <c r="CK35" s="8" t="str">
        <f>IF($I35&gt;=8,", "&amp;$U42&amp;"."&amp;$V42&amp;" -&gt;&gt; '"&amp;$F42&amp;"' AS "&amp;$V42&amp;"_"&amp;LOWER(F42),"")</f>
        <v/>
      </c>
      <c r="CL35" s="8" t="str">
        <f>IF($I35&gt;=1," FROM "&amp;$U35,"")</f>
        <v xml:space="preserve"> FROM iam___policies</v>
      </c>
      <c r="CM35" s="9" t="str">
        <f>IF($I35&gt;=2," "&amp;$AA35&amp;" JOIN "&amp;$U35&amp;" USING ("&amp;$T35&amp;"."&amp;$W35&amp;", "&amp;$U35&amp;"."&amp;$V35&amp;" -&gt;&gt; '"&amp;$F35&amp;"')","")</f>
        <v/>
      </c>
      <c r="CN35" s="9" t="str">
        <f>IF($I35&gt;=3," "&amp;$AA36&amp;" JOIN "&amp;$U36&amp;" USING ("&amp;$T36&amp;"."&amp;$W36&amp;", "&amp;$U36&amp;"."&amp;$V36&amp;" -&gt;&gt; '"&amp;$F36&amp;"')","")</f>
        <v/>
      </c>
      <c r="CO35" s="9" t="str">
        <f>IF($I35&gt;=4," "&amp;$AA37&amp;" JOIN "&amp;$U37&amp;" USING ("&amp;$T37&amp;"."&amp;$W37&amp;", "&amp;$U37&amp;"."&amp;$V37&amp;" -&gt;&gt; '"&amp;$F37&amp;"')","")</f>
        <v/>
      </c>
      <c r="CP35" s="9" t="str">
        <f>IF($I35&gt;=5," "&amp;$AA38&amp;" JOIN "&amp;$U38&amp;" USING ("&amp;$T38&amp;"."&amp;$W38&amp;", "&amp;$U38&amp;"."&amp;$V38&amp;" -&gt;&gt; '"&amp;$F38&amp;"')","")</f>
        <v/>
      </c>
      <c r="CQ35" s="9" t="str">
        <f>IF($I35&gt;=6," "&amp;$AA39&amp;" JOIN "&amp;$U39&amp;" USING ("&amp;$T39&amp;"."&amp;$W39&amp;", "&amp;$U39&amp;"."&amp;$V39&amp;" -&gt;&gt; '"&amp;$F39&amp;"')","")</f>
        <v/>
      </c>
      <c r="CR35" s="8" t="str">
        <f>IF($I35&gt;=7," "&amp;$AA40&amp;" JOIN "&amp;$U40&amp;" USING ("&amp;$T40&amp;"."&amp;$W40&amp;", "&amp;$U40&amp;"."&amp;$V40&amp;" -&gt;&gt; '"&amp;$F40&amp;"')","")</f>
        <v/>
      </c>
      <c r="CS35" s="8" t="str">
        <f>IF($I35&gt;=8," "&amp;$AA41&amp;" JOIN "&amp;$U41&amp;" USING ("&amp;$T41&amp;"."&amp;$W41&amp;", "&amp;$U41&amp;"."&amp;$V41&amp;" -&gt;&gt; '"&amp;$F41&amp;"')","")</f>
        <v/>
      </c>
      <c r="CT35" s="8" t="str">
        <f t="shared" si="11"/>
        <v xml:space="preserve"> ;</v>
      </c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</row>
    <row r="36" spans="1:202" x14ac:dyDescent="0.25">
      <c r="A36">
        <v>35</v>
      </c>
      <c r="B36" s="4" t="s">
        <v>0</v>
      </c>
      <c r="C36" s="4" t="s">
        <v>40</v>
      </c>
      <c r="D36" s="4" t="s">
        <v>0</v>
      </c>
      <c r="E36" s="4" t="s">
        <v>34</v>
      </c>
      <c r="F36" s="4" t="s">
        <v>37</v>
      </c>
      <c r="G36" s="7" t="s">
        <v>72</v>
      </c>
      <c r="H36" s="7" t="s">
        <v>72</v>
      </c>
      <c r="I36" s="7">
        <v>1</v>
      </c>
      <c r="J36" s="7" t="s">
        <v>72</v>
      </c>
      <c r="K36" s="7">
        <v>1</v>
      </c>
      <c r="L36" s="4" t="s">
        <v>36</v>
      </c>
      <c r="M36" s="7" t="s">
        <v>72</v>
      </c>
      <c r="N36" s="4"/>
      <c r="O36" s="7"/>
      <c r="P36" s="4"/>
      <c r="Q36" s="8" t="str">
        <f>VLOOKUP($C36,aws_cli_commands!$C$2:$E$10000,2,FALSE)</f>
        <v>n</v>
      </c>
      <c r="R36" s="8" t="str">
        <f>VLOOKUP($C36,aws_cli_commands!$C$2:$E$10000,3,FALSE)</f>
        <v>y</v>
      </c>
      <c r="S36" s="8" t="str">
        <f>IF(OR(C36=C35,C36=C37),"y","n")</f>
        <v>n</v>
      </c>
      <c r="T36" s="8" t="str">
        <f>B36&amp;"___"&amp;SUBSTITUTE(RIGHT(C36,LEN(C36)-FIND("-",C36)),"-","_")</f>
        <v>iam___role_policies</v>
      </c>
      <c r="U36" s="8" t="str">
        <f>SUBSTITUTE(D36&amp;"___"&amp;RIGHT(E36,LEN(E36)-FIND("-",E36)),"-","_")</f>
        <v>iam___roles</v>
      </c>
      <c r="V36" s="8" t="str">
        <f>SUBSTITUTE(RIGHT($E36,LEN($E36)-FIND("-",$E36)),"-","_")</f>
        <v>roles</v>
      </c>
      <c r="W36" s="8" t="str">
        <f>IF(G36="y",V36&amp;"_"&amp;LOWER(F36),IF(M36="y","**hardcoded**",LOWER(F36)))</f>
        <v>rolename</v>
      </c>
      <c r="X36" s="8" t="str">
        <f t="shared" si="1"/>
        <v>n</v>
      </c>
      <c r="Y36" s="8">
        <f>IF(AND($C36=$C36,$M36="y"),1,0)+IF(AND($C35=$C36,$M35="y"),1,0)+IF(AND($C34=$C36,$M34="y"),1,0)+IF(AND($C33=$C36,$M33="y"),1,0)+IF(AND($C32=$C36,$M32="y"),1,0)+IF(AND($C31=$C36,$M31="y"),1,0)+IF(AND($C30=$C36,$M30="y"),1,0)+IF(AND($C29=$C36,$M29="y"),1,0)+IF(AND($C28=$C36,$M28="y"),1,0)</f>
        <v>0</v>
      </c>
      <c r="Z36" s="8">
        <f>IF(AND($C36=$C36,$M36="y"),1,0)+IF(AND($C36=$C37,$M37="y"),1,0)+IF(AND($C36=$C38,$M38="y"),1,0)+IF(AND($C36=$C39,$M39="y"),1,0)+IF(AND($C36=$C40,$M40="y"),1,0)+IF(AND($C36=$C41,$M41="y"),1,0)+IF(AND($C36=$C42,$M42="y"),1,0)+IF(AND($C36=$C43,$M43="y"),1,0)+IF(AND($C36=$C44,$M44="y"),1,0)</f>
        <v>0</v>
      </c>
      <c r="AA36" s="8" t="s">
        <v>127</v>
      </c>
      <c r="AB36" s="9" t="str">
        <f>IF(AND($H36="y",$C36&lt;&gt;$C35),B36&amp;" "&amp;AC36&amp;AD36&amp;AE36&amp;AF36&amp;AG36&amp;AH36&amp;AI36&amp;AJ36&amp;AK36,IF(H36="n",B36&amp;" "&amp;AC36&amp;AD36&amp;AE36&amp;AF36&amp;AG36&amp;AH36&amp;AI36&amp;AJ36&amp;AK36,""))</f>
        <v>iam list-role-policies --role-name</v>
      </c>
      <c r="AC36" s="8" t="str">
        <f t="shared" si="2"/>
        <v>list-role-policies</v>
      </c>
      <c r="AD36" s="8" t="str">
        <f>IF($I36&gt;=1," "&amp;$L36,"")</f>
        <v xml:space="preserve"> --role-name</v>
      </c>
      <c r="AE36" s="8" t="str">
        <f>IF($I36&gt;=2," "&amp;$L37,"")</f>
        <v/>
      </c>
      <c r="AF36" s="8" t="str">
        <f>IF($I36&gt;=3," "&amp;$L38,"")</f>
        <v/>
      </c>
      <c r="AG36" s="8" t="str">
        <f>IF($I36&gt;=4," "&amp;$L39,"")</f>
        <v/>
      </c>
      <c r="AH36" s="8" t="str">
        <f>IF($I36&gt;=5," "&amp;$L40,"")</f>
        <v/>
      </c>
      <c r="AI36" s="8" t="str">
        <f>IF($I36&gt;=6," "&amp;$L41,"")</f>
        <v/>
      </c>
      <c r="AJ36" s="8" t="str">
        <f>IF($I36&gt;=7," "&amp;$L42,"")</f>
        <v/>
      </c>
      <c r="AK36" s="8" t="str">
        <f>IF($I36&gt;=8," "&amp;$L43,"")</f>
        <v/>
      </c>
      <c r="AL36" s="8" t="str">
        <f>U36</f>
        <v>iam___roles</v>
      </c>
      <c r="AM36" s="8" t="str">
        <f>IF($I36&gt;=2,$U37,"")</f>
        <v/>
      </c>
      <c r="AN36" s="8" t="str">
        <f>IF($I36&gt;=3,$U38,"")</f>
        <v/>
      </c>
      <c r="AO36" s="8" t="str">
        <f>IF(I36&gt;=4,$U39,"")</f>
        <v/>
      </c>
      <c r="AP36" s="8" t="str">
        <f>IF($I36&gt;=5,$U40,"")</f>
        <v/>
      </c>
      <c r="AQ36" s="8" t="str">
        <f>IF($I36&gt;=6,$U41,"")</f>
        <v/>
      </c>
      <c r="AR36" s="8" t="str">
        <f>IF($I36&gt;=7,$U42,"")</f>
        <v/>
      </c>
      <c r="AS36" s="8" t="str">
        <f>IF(I36&gt;=8,$U43,"")</f>
        <v/>
      </c>
      <c r="AT36" s="8" t="str">
        <f>F36</f>
        <v>RoleName</v>
      </c>
      <c r="AU36" s="8" t="str">
        <f>IF($I36&gt;=2,$F37,"")</f>
        <v/>
      </c>
      <c r="AV36" s="8" t="str">
        <f>IF($I36&gt;=3,$F38,"")</f>
        <v/>
      </c>
      <c r="AW36" s="8" t="str">
        <f>IF($I36&gt;=4,$F39,"")</f>
        <v/>
      </c>
      <c r="AX36" s="8" t="str">
        <f>IF($I36&gt;=5,$F40,"")</f>
        <v/>
      </c>
      <c r="AY36" s="8" t="str">
        <f>IF($I36&gt;=6,$F41,"")</f>
        <v/>
      </c>
      <c r="AZ36" s="8" t="str">
        <f>IF($I36&gt;=7,$F42,"")</f>
        <v/>
      </c>
      <c r="BA36" s="8" t="str">
        <f>IF($I36&gt;=8,$F43,"")</f>
        <v/>
      </c>
      <c r="BB36" s="9" t="str">
        <f>IF(OR(R36&lt;&gt;"y",I36&lt;&gt;1),"","SELECT aws_command::text || ' ' || command_parameter::text AS aws_command_string, parameter_source_table, parameter_source_key FROM (SELECT  "&amp;"'"&amp;AB36&amp;"'"&amp;" AS aws_command,"&amp;U36&amp;"."&amp;V36&amp;" -&gt;&gt; "&amp;"'"&amp;F36&amp;"'"&amp;" AS command_parameter, "&amp;"'"&amp;AL36&amp;"'"&amp;" AS parameter_source_table, "&amp;"'"&amp;AT36&amp;"'"&amp;" AS parameter_source_key FROM "&amp;U36&amp;") AS f")</f>
        <v>SELECT aws_command::text || ' ' || command_parameter::text AS aws_command_string, parameter_source_table, parameter_source_key FROM (SELECT  'iam list-role-policies --role-name' AS aws_command,iam___roles.roles -&gt;&gt; 'RoleName' AS command_parameter, 'iam___roles' AS parameter_source_table, 'RoleName' AS parameter_source_key FROM iam___roles) AS f</v>
      </c>
      <c r="BC36" s="9" t="str">
        <f>IF(AND(H36="y",H35&lt;&gt;"y"),BE36&amp;BF36&amp;BG36&amp;BR36&amp;CC36,"")</f>
        <v/>
      </c>
      <c r="BD36" s="8" t="str">
        <f>"/* recursive command: "&amp;C36&amp;" */ DROP TABLE IF EXISTS "&amp;T36&amp;"; CREATE TABLE "&amp;T36&amp;"(  id SERIAL PRIMARY KEY, "&amp;F36&amp;" TEXT); SELECT "&amp;U36&amp;"."&amp;V36&amp;" -&gt;&gt; '"&amp;F36&amp;"' AS "&amp;V36&amp;" FROM "&amp;U36&amp;" ;"</f>
        <v>/* recursive command: list-role-policies */ DROP TABLE IF EXISTS iam___role_policies; CREATE TABLE iam___role_policies(  id SERIAL PRIMARY KEY, RoleName TEXT); SELECT iam___roles.roles -&gt;&gt; 'RoleName' AS roles FROM iam___roles ;</v>
      </c>
      <c r="BE36" s="8" t="str">
        <f t="shared" si="3"/>
        <v xml:space="preserve">/* recursive command multi: list-role-policies */ </v>
      </c>
      <c r="BF36" s="8" t="str">
        <f t="shared" si="4"/>
        <v xml:space="preserve">DROP TABLE IF EXISTS iam___role_policies; </v>
      </c>
      <c r="BG36" s="8" t="str">
        <f t="shared" si="5"/>
        <v>CREATE TABLE iam___role_policies(  id SERIAL PRIMARY KEY, rolename TEXT );</v>
      </c>
      <c r="BH36" s="8" t="str">
        <f t="shared" si="6"/>
        <v xml:space="preserve">CREATE TABLE iam___role_policies(  id SERIAL PRIMARY KEY, </v>
      </c>
      <c r="BI36" s="8" t="str">
        <f>IF($I36&gt;=1,$W36&amp;" TEXT","")</f>
        <v>rolename TEXT</v>
      </c>
      <c r="BJ36" s="8" t="str">
        <f>IF($I36&gt;=2,", "&amp;$W37&amp;" TEXT","")</f>
        <v/>
      </c>
      <c r="BK36" s="8" t="str">
        <f>IF($I36&gt;=3,", "&amp;$W38&amp;" TEXT","")</f>
        <v/>
      </c>
      <c r="BL36" s="8" t="str">
        <f>IF($I36&gt;=4,", "&amp;$W39&amp;" TEXT","")</f>
        <v/>
      </c>
      <c r="BM36" s="8" t="str">
        <f>IF($I36&gt;=5,", "&amp;$W40&amp;" TEXT","")</f>
        <v/>
      </c>
      <c r="BN36" s="8" t="str">
        <f>IF($I36&gt;=6,", "&amp;$W41&amp;" TEXT","")</f>
        <v/>
      </c>
      <c r="BO36" s="8" t="str">
        <f>IF($I36&gt;=7,", "&amp;$W42&amp;" TEXT","")</f>
        <v/>
      </c>
      <c r="BP36" s="8" t="str">
        <f>IF($I36&gt;=8,", "&amp;$W43&amp;" TEXT","")</f>
        <v/>
      </c>
      <c r="BQ36" s="8" t="str">
        <f t="shared" si="7"/>
        <v xml:space="preserve"> );</v>
      </c>
      <c r="BR36" s="9" t="str">
        <f t="shared" si="8"/>
        <v xml:space="preserve"> INSERT INTO iam___role_policies(rolename)</v>
      </c>
      <c r="BS36" s="9" t="str">
        <f t="shared" si="9"/>
        <v xml:space="preserve"> INSERT INTO iam___role_policies(</v>
      </c>
      <c r="BT36" s="9" t="str">
        <f>IF($I36&gt;=1,$W36,"")</f>
        <v>rolename</v>
      </c>
      <c r="BU36" s="9" t="str">
        <f>IF($I36&gt;=2,", "&amp;$W37,"")</f>
        <v/>
      </c>
      <c r="BV36" s="9" t="str">
        <f>IF($I36&gt;=3,", "&amp;$W38,"")</f>
        <v/>
      </c>
      <c r="BW36" s="9" t="str">
        <f>IF($I36&gt;=4,", "&amp;$W39,"")</f>
        <v/>
      </c>
      <c r="BX36" s="9" t="str">
        <f>IF($I36&gt;=5,", "&amp;$W40,"")</f>
        <v/>
      </c>
      <c r="BY36" s="9" t="str">
        <f>IF($I36&gt;=6,", "&amp;$W41,"")</f>
        <v/>
      </c>
      <c r="BZ36" s="9" t="str">
        <f>IF($I36&gt;=7,", "&amp;$W42,"")</f>
        <v/>
      </c>
      <c r="CA36" s="9" t="str">
        <f>IF($I36&gt;=8,", "&amp;$W43,"")</f>
        <v/>
      </c>
      <c r="CB36" s="9" t="str">
        <f t="shared" si="10"/>
        <v>)</v>
      </c>
      <c r="CC36" s="9" t="str">
        <f t="shared" si="0"/>
        <v xml:space="preserve"> SELECT iam___roles.roles -&gt;&gt; 'RoleName' AS roles_rolename FROM iam___roles ;</v>
      </c>
      <c r="CD36" s="8" t="str">
        <f>" SELECT "&amp;$U36&amp;"."&amp;$V36&amp;" -&gt;&gt; '"&amp;$F36&amp;"' AS "&amp;$V36&amp;"_"&amp;LOWER(F36)</f>
        <v xml:space="preserve"> SELECT iam___roles.roles -&gt;&gt; 'RoleName' AS roles_rolename</v>
      </c>
      <c r="CE36" s="8" t="str">
        <f>IF($I36&gt;=2,", "&amp;$U37&amp;"."&amp;$V37&amp;" -&gt;&gt; '"&amp;$F37&amp;"' AS "&amp;$V37&amp;"_"&amp;LOWER(F37),"")</f>
        <v/>
      </c>
      <c r="CF36" s="8" t="str">
        <f>IF($I36&gt;=3,", "&amp;$U38&amp;"."&amp;$V38&amp;" -&gt;&gt; '"&amp;$F38&amp;"' AS "&amp;$V38&amp;"_"&amp;LOWER(F38),"")</f>
        <v/>
      </c>
      <c r="CG36" s="8" t="str">
        <f>IF($I36&gt;=4,", "&amp;$U39&amp;"."&amp;$V39&amp;" -&gt;&gt; '"&amp;$F39&amp;"' AS "&amp;$V39&amp;"_"&amp;LOWER(F39),"")</f>
        <v/>
      </c>
      <c r="CH36" s="8" t="str">
        <f>IF($I36&gt;=5,", "&amp;$U40&amp;"."&amp;$V40&amp;" -&gt;&gt; '"&amp;$F40&amp;"' AS "&amp;$V40&amp;"_"&amp;LOWER(F40),"")</f>
        <v/>
      </c>
      <c r="CI36" s="8" t="str">
        <f>IF($I36&gt;=6,", "&amp;$U41&amp;"."&amp;$V41&amp;" -&gt;&gt; '"&amp;$F41&amp;"' AS "&amp;$V41&amp;"_"&amp;LOWER(F41),"")</f>
        <v/>
      </c>
      <c r="CJ36" s="8" t="str">
        <f>IF($I36&gt;=7,", "&amp;$U42&amp;"."&amp;$V42&amp;" -&gt;&gt; '"&amp;$F42&amp;"' AS "&amp;$V42&amp;"_"&amp;LOWER(F42),"")</f>
        <v/>
      </c>
      <c r="CK36" s="8" t="str">
        <f>IF($I36&gt;=8,", "&amp;$U43&amp;"."&amp;$V43&amp;" -&gt;&gt; '"&amp;$F43&amp;"' AS "&amp;$V43&amp;"_"&amp;LOWER(F43),"")</f>
        <v/>
      </c>
      <c r="CL36" s="8" t="str">
        <f>IF($I36&gt;=1," FROM "&amp;$U36,"")</f>
        <v xml:space="preserve"> FROM iam___roles</v>
      </c>
      <c r="CM36" s="9" t="str">
        <f>IF($I36&gt;=2," "&amp;$AA36&amp;" JOIN "&amp;$U36&amp;" USING ("&amp;$T36&amp;"."&amp;$W36&amp;", "&amp;$U36&amp;"."&amp;$V36&amp;" -&gt;&gt; '"&amp;$F36&amp;"')","")</f>
        <v/>
      </c>
      <c r="CN36" s="9" t="str">
        <f>IF($I36&gt;=3," "&amp;$AA37&amp;" JOIN "&amp;$U37&amp;" USING ("&amp;$T37&amp;"."&amp;$W37&amp;", "&amp;$U37&amp;"."&amp;$V37&amp;" -&gt;&gt; '"&amp;$F37&amp;"')","")</f>
        <v/>
      </c>
      <c r="CO36" s="9" t="str">
        <f>IF($I36&gt;=4," "&amp;$AA38&amp;" JOIN "&amp;$U38&amp;" USING ("&amp;$T38&amp;"."&amp;$W38&amp;", "&amp;$U38&amp;"."&amp;$V38&amp;" -&gt;&gt; '"&amp;$F38&amp;"')","")</f>
        <v/>
      </c>
      <c r="CP36" s="9" t="str">
        <f>IF($I36&gt;=5," "&amp;$AA39&amp;" JOIN "&amp;$U39&amp;" USING ("&amp;$T39&amp;"."&amp;$W39&amp;", "&amp;$U39&amp;"."&amp;$V39&amp;" -&gt;&gt; '"&amp;$F39&amp;"')","")</f>
        <v/>
      </c>
      <c r="CQ36" s="9" t="str">
        <f>IF($I36&gt;=6," "&amp;$AA40&amp;" JOIN "&amp;$U40&amp;" USING ("&amp;$T40&amp;"."&amp;$W40&amp;", "&amp;$U40&amp;"."&amp;$V40&amp;" -&gt;&gt; '"&amp;$F40&amp;"')","")</f>
        <v/>
      </c>
      <c r="CR36" s="8" t="str">
        <f>IF($I36&gt;=7," "&amp;$AA41&amp;" JOIN "&amp;$U41&amp;" USING ("&amp;$T41&amp;"."&amp;$W41&amp;", "&amp;$U41&amp;"."&amp;$V41&amp;" -&gt;&gt; '"&amp;$F41&amp;"')","")</f>
        <v/>
      </c>
      <c r="CS36" s="8" t="str">
        <f>IF($I36&gt;=8," "&amp;$AA42&amp;" JOIN "&amp;$U42&amp;" USING ("&amp;$T42&amp;"."&amp;$W42&amp;", "&amp;$U42&amp;"."&amp;$V42&amp;" -&gt;&gt; '"&amp;$F42&amp;"')","")</f>
        <v/>
      </c>
      <c r="CT36" s="8" t="str">
        <f t="shared" si="11"/>
        <v xml:space="preserve"> ;</v>
      </c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</row>
    <row r="37" spans="1:202" x14ac:dyDescent="0.25">
      <c r="A37">
        <v>36</v>
      </c>
      <c r="B37" s="4" t="s">
        <v>0</v>
      </c>
      <c r="C37" s="4" t="s">
        <v>52</v>
      </c>
      <c r="D37" s="4" t="s">
        <v>0</v>
      </c>
      <c r="E37" s="4" t="s">
        <v>48</v>
      </c>
      <c r="F37" s="4" t="s">
        <v>51</v>
      </c>
      <c r="G37" s="7" t="s">
        <v>72</v>
      </c>
      <c r="H37" s="7" t="s">
        <v>72</v>
      </c>
      <c r="I37" s="7">
        <v>1</v>
      </c>
      <c r="J37" s="7" t="s">
        <v>72</v>
      </c>
      <c r="K37" s="7">
        <v>1</v>
      </c>
      <c r="L37" s="4" t="s">
        <v>50</v>
      </c>
      <c r="M37" s="7" t="s">
        <v>72</v>
      </c>
      <c r="N37" s="4"/>
      <c r="O37" s="7"/>
      <c r="P37" s="4"/>
      <c r="Q37" s="8" t="str">
        <f>VLOOKUP($C37,aws_cli_commands!$C$2:$E$10000,2,FALSE)</f>
        <v>n</v>
      </c>
      <c r="R37" s="8" t="str">
        <f>VLOOKUP($C37,aws_cli_commands!$C$2:$E$10000,3,FALSE)</f>
        <v>y</v>
      </c>
      <c r="S37" s="8" t="str">
        <f>IF(OR(C37=C36,C37=C38),"y","n")</f>
        <v>n</v>
      </c>
      <c r="T37" s="8" t="str">
        <f>B37&amp;"___"&amp;SUBSTITUTE(RIGHT(C37,LEN(C37)-FIND("-",C37)),"-","_")</f>
        <v>iam___user_policies</v>
      </c>
      <c r="U37" s="8" t="str">
        <f>SUBSTITUTE(D37&amp;"___"&amp;RIGHT(E37,LEN(E37)-FIND("-",E37)),"-","_")</f>
        <v>iam___users</v>
      </c>
      <c r="V37" s="8" t="str">
        <f>SUBSTITUTE(RIGHT($E37,LEN($E37)-FIND("-",$E37)),"-","_")</f>
        <v>users</v>
      </c>
      <c r="W37" s="8" t="str">
        <f>IF(G37="y",V37&amp;"_"&amp;LOWER(F37),IF(M37="y","**hardcoded**",LOWER(F37)))</f>
        <v>username</v>
      </c>
      <c r="X37" s="8" t="str">
        <f t="shared" si="1"/>
        <v>n</v>
      </c>
      <c r="Y37" s="8">
        <f>IF(AND($C37=$C37,$M37="y"),1,0)+IF(AND($C36=$C37,$M36="y"),1,0)+IF(AND($C35=$C37,$M35="y"),1,0)+IF(AND($C34=$C37,$M34="y"),1,0)+IF(AND($C33=$C37,$M33="y"),1,0)+IF(AND($C32=$C37,$M32="y"),1,0)+IF(AND($C31=$C37,$M31="y"),1,0)+IF(AND($C30=$C37,$M30="y"),1,0)+IF(AND($C29=$C37,$M29="y"),1,0)</f>
        <v>0</v>
      </c>
      <c r="Z37" s="8">
        <f>IF(AND($C37=$C37,$M37="y"),1,0)+IF(AND($C37=$C38,$M38="y"),1,0)+IF(AND($C37=$C39,$M39="y"),1,0)+IF(AND($C37=$C40,$M40="y"),1,0)+IF(AND($C37=$C41,$M41="y"),1,0)+IF(AND($C37=$C42,$M42="y"),1,0)+IF(AND($C37=$C43,$M43="y"),1,0)+IF(AND($C37=$C44,$M44="y"),1,0)+IF(AND($C37=$C45,$M45="y"),1,0)</f>
        <v>0</v>
      </c>
      <c r="AA37" s="8" t="s">
        <v>127</v>
      </c>
      <c r="AB37" s="9" t="str">
        <f>IF(AND($H37="y",$C37&lt;&gt;$C36),B37&amp;" "&amp;AC37&amp;AD37&amp;AE37&amp;AF37&amp;AG37&amp;AH37&amp;AI37&amp;AJ37&amp;AK37,IF(H37="n",B37&amp;" "&amp;AC37&amp;AD37&amp;AE37&amp;AF37&amp;AG37&amp;AH37&amp;AI37&amp;AJ37&amp;AK37,""))</f>
        <v>iam list-user-policies --user-name</v>
      </c>
      <c r="AC37" s="8" t="str">
        <f t="shared" si="2"/>
        <v>list-user-policies</v>
      </c>
      <c r="AD37" s="8" t="str">
        <f>IF($I37&gt;=1," "&amp;$L37,"")</f>
        <v xml:space="preserve"> --user-name</v>
      </c>
      <c r="AE37" s="8" t="str">
        <f>IF($I37&gt;=2," "&amp;$L38,"")</f>
        <v/>
      </c>
      <c r="AF37" s="8" t="str">
        <f>IF($I37&gt;=3," "&amp;$L39,"")</f>
        <v/>
      </c>
      <c r="AG37" s="8" t="str">
        <f>IF($I37&gt;=4," "&amp;$L40,"")</f>
        <v/>
      </c>
      <c r="AH37" s="8" t="str">
        <f>IF($I37&gt;=5," "&amp;$L41,"")</f>
        <v/>
      </c>
      <c r="AI37" s="8" t="str">
        <f>IF($I37&gt;=6," "&amp;$L42,"")</f>
        <v/>
      </c>
      <c r="AJ37" s="8" t="str">
        <f>IF($I37&gt;=7," "&amp;$L43,"")</f>
        <v/>
      </c>
      <c r="AK37" s="8" t="str">
        <f>IF($I37&gt;=8," "&amp;$L44,"")</f>
        <v/>
      </c>
      <c r="AL37" s="8" t="str">
        <f>U37</f>
        <v>iam___users</v>
      </c>
      <c r="AM37" s="8" t="str">
        <f>IF($I37&gt;=2,$U38,"")</f>
        <v/>
      </c>
      <c r="AN37" s="8" t="str">
        <f>IF($I37&gt;=3,$U39,"")</f>
        <v/>
      </c>
      <c r="AO37" s="8" t="str">
        <f>IF(I37&gt;=4,$U40,"")</f>
        <v/>
      </c>
      <c r="AP37" s="8" t="str">
        <f>IF($I37&gt;=5,$U41,"")</f>
        <v/>
      </c>
      <c r="AQ37" s="8" t="str">
        <f>IF($I37&gt;=6,$U42,"")</f>
        <v/>
      </c>
      <c r="AR37" s="8" t="str">
        <f>IF($I37&gt;=7,$U43,"")</f>
        <v/>
      </c>
      <c r="AS37" s="8" t="str">
        <f>IF(I37&gt;=8,$U44,"")</f>
        <v/>
      </c>
      <c r="AT37" s="8" t="str">
        <f>F37</f>
        <v>UserName</v>
      </c>
      <c r="AU37" s="8" t="str">
        <f>IF($I37&gt;=2,$F38,"")</f>
        <v/>
      </c>
      <c r="AV37" s="8" t="str">
        <f>IF($I37&gt;=3,$F39,"")</f>
        <v/>
      </c>
      <c r="AW37" s="8" t="str">
        <f>IF($I37&gt;=4,$F40,"")</f>
        <v/>
      </c>
      <c r="AX37" s="8" t="str">
        <f>IF($I37&gt;=5,$F41,"")</f>
        <v/>
      </c>
      <c r="AY37" s="8" t="str">
        <f>IF($I37&gt;=6,$F42,"")</f>
        <v/>
      </c>
      <c r="AZ37" s="8" t="str">
        <f>IF($I37&gt;=7,$F43,"")</f>
        <v/>
      </c>
      <c r="BA37" s="8" t="str">
        <f>IF($I37&gt;=8,$F44,"")</f>
        <v/>
      </c>
      <c r="BB37" s="9" t="str">
        <f>IF(OR(R37&lt;&gt;"y",I37&lt;&gt;1),"","SELECT aws_command::text || ' ' || command_parameter::text AS aws_command_string, parameter_source_table, parameter_source_key FROM (SELECT  "&amp;"'"&amp;AB37&amp;"'"&amp;" AS aws_command,"&amp;U37&amp;"."&amp;V37&amp;" -&gt;&gt; "&amp;"'"&amp;F37&amp;"'"&amp;" AS command_parameter, "&amp;"'"&amp;AL37&amp;"'"&amp;" AS parameter_source_table, "&amp;"'"&amp;AT37&amp;"'"&amp;" AS parameter_source_key FROM "&amp;U37&amp;") AS f")</f>
        <v>SELECT aws_command::text || ' ' || command_parameter::text AS aws_command_string, parameter_source_table, parameter_source_key FROM (SELECT  'iam list-user-policies --user-name' AS aws_command,iam___users.users -&gt;&gt; 'UserName' AS command_parameter, 'iam___users' AS parameter_source_table, 'UserName' AS parameter_source_key FROM iam___users) AS f</v>
      </c>
      <c r="BC37" s="9" t="str">
        <f>IF(AND(H37="y",H36&lt;&gt;"y"),BE37&amp;BF37&amp;BG37&amp;BR37&amp;CC37,"")</f>
        <v/>
      </c>
      <c r="BD37" s="8" t="str">
        <f>"/* recursive command: "&amp;C37&amp;" */ DROP TABLE IF EXISTS "&amp;T37&amp;"; CREATE TABLE "&amp;T37&amp;"(  id SERIAL PRIMARY KEY, "&amp;F37&amp;" TEXT); SELECT "&amp;U37&amp;"."&amp;V37&amp;" -&gt;&gt; '"&amp;F37&amp;"' AS "&amp;V37&amp;" FROM "&amp;U37&amp;" ;"</f>
        <v>/* recursive command: list-user-policies */ DROP TABLE IF EXISTS iam___user_policies; CREATE TABLE iam___user_policies(  id SERIAL PRIMARY KEY, UserName TEXT); SELECT iam___users.users -&gt;&gt; 'UserName' AS users FROM iam___users ;</v>
      </c>
      <c r="BE37" s="8" t="str">
        <f t="shared" si="3"/>
        <v xml:space="preserve">/* recursive command multi: list-user-policies */ </v>
      </c>
      <c r="BF37" s="8" t="str">
        <f t="shared" si="4"/>
        <v xml:space="preserve">DROP TABLE IF EXISTS iam___user_policies; </v>
      </c>
      <c r="BG37" s="8" t="str">
        <f t="shared" si="5"/>
        <v>CREATE TABLE iam___user_policies(  id SERIAL PRIMARY KEY, username TEXT );</v>
      </c>
      <c r="BH37" s="8" t="str">
        <f t="shared" si="6"/>
        <v xml:space="preserve">CREATE TABLE iam___user_policies(  id SERIAL PRIMARY KEY, </v>
      </c>
      <c r="BI37" s="8" t="str">
        <f>IF($I37&gt;=1,$W37&amp;" TEXT","")</f>
        <v>username TEXT</v>
      </c>
      <c r="BJ37" s="8" t="str">
        <f>IF($I37&gt;=2,", "&amp;$W38&amp;" TEXT","")</f>
        <v/>
      </c>
      <c r="BK37" s="8" t="str">
        <f>IF($I37&gt;=3,", "&amp;$W39&amp;" TEXT","")</f>
        <v/>
      </c>
      <c r="BL37" s="8" t="str">
        <f>IF($I37&gt;=4,", "&amp;$W40&amp;" TEXT","")</f>
        <v/>
      </c>
      <c r="BM37" s="8" t="str">
        <f>IF($I37&gt;=5,", "&amp;$W41&amp;" TEXT","")</f>
        <v/>
      </c>
      <c r="BN37" s="8" t="str">
        <f>IF($I37&gt;=6,", "&amp;$W42&amp;" TEXT","")</f>
        <v/>
      </c>
      <c r="BO37" s="8" t="str">
        <f>IF($I37&gt;=7,", "&amp;$W43&amp;" TEXT","")</f>
        <v/>
      </c>
      <c r="BP37" s="8" t="str">
        <f>IF($I37&gt;=8,", "&amp;$W44&amp;" TEXT","")</f>
        <v/>
      </c>
      <c r="BQ37" s="8" t="str">
        <f t="shared" si="7"/>
        <v xml:space="preserve"> );</v>
      </c>
      <c r="BR37" s="9" t="str">
        <f t="shared" si="8"/>
        <v xml:space="preserve"> INSERT INTO iam___user_policies(username)</v>
      </c>
      <c r="BS37" s="9" t="str">
        <f t="shared" si="9"/>
        <v xml:space="preserve"> INSERT INTO iam___user_policies(</v>
      </c>
      <c r="BT37" s="9" t="str">
        <f>IF($I37&gt;=1,$W37,"")</f>
        <v>username</v>
      </c>
      <c r="BU37" s="9" t="str">
        <f>IF($I37&gt;=2,", "&amp;$W38,"")</f>
        <v/>
      </c>
      <c r="BV37" s="9" t="str">
        <f>IF($I37&gt;=3,", "&amp;$W39,"")</f>
        <v/>
      </c>
      <c r="BW37" s="9" t="str">
        <f>IF($I37&gt;=4,", "&amp;$W40,"")</f>
        <v/>
      </c>
      <c r="BX37" s="9" t="str">
        <f>IF($I37&gt;=5,", "&amp;$W41,"")</f>
        <v/>
      </c>
      <c r="BY37" s="9" t="str">
        <f>IF($I37&gt;=6,", "&amp;$W42,"")</f>
        <v/>
      </c>
      <c r="BZ37" s="9" t="str">
        <f>IF($I37&gt;=7,", "&amp;$W43,"")</f>
        <v/>
      </c>
      <c r="CA37" s="9" t="str">
        <f>IF($I37&gt;=8,", "&amp;$W44,"")</f>
        <v/>
      </c>
      <c r="CB37" s="9" t="str">
        <f t="shared" si="10"/>
        <v>)</v>
      </c>
      <c r="CC37" s="9" t="str">
        <f t="shared" si="0"/>
        <v xml:space="preserve"> SELECT iam___users.users -&gt;&gt; 'UserName' AS users_username FROM iam___users ;</v>
      </c>
      <c r="CD37" s="8" t="str">
        <f>" SELECT "&amp;$U37&amp;"."&amp;$V37&amp;" -&gt;&gt; '"&amp;$F37&amp;"' AS "&amp;$V37&amp;"_"&amp;LOWER(F37)</f>
        <v xml:space="preserve"> SELECT iam___users.users -&gt;&gt; 'UserName' AS users_username</v>
      </c>
      <c r="CE37" s="8" t="str">
        <f>IF($I37&gt;=2,", "&amp;$U38&amp;"."&amp;$V38&amp;" -&gt;&gt; '"&amp;$F38&amp;"' AS "&amp;$V38&amp;"_"&amp;LOWER(F38),"")</f>
        <v/>
      </c>
      <c r="CF37" s="8" t="str">
        <f>IF($I37&gt;=3,", "&amp;$U39&amp;"."&amp;$V39&amp;" -&gt;&gt; '"&amp;$F39&amp;"' AS "&amp;$V39&amp;"_"&amp;LOWER(F39),"")</f>
        <v/>
      </c>
      <c r="CG37" s="8" t="str">
        <f>IF($I37&gt;=4,", "&amp;$U40&amp;"."&amp;$V40&amp;" -&gt;&gt; '"&amp;$F40&amp;"' AS "&amp;$V40&amp;"_"&amp;LOWER(F40),"")</f>
        <v/>
      </c>
      <c r="CH37" s="8" t="str">
        <f>IF($I37&gt;=5,", "&amp;$U41&amp;"."&amp;$V41&amp;" -&gt;&gt; '"&amp;$F41&amp;"' AS "&amp;$V41&amp;"_"&amp;LOWER(F41),"")</f>
        <v/>
      </c>
      <c r="CI37" s="8" t="str">
        <f>IF($I37&gt;=6,", "&amp;$U42&amp;"."&amp;$V42&amp;" -&gt;&gt; '"&amp;$F42&amp;"' AS "&amp;$V42&amp;"_"&amp;LOWER(F42),"")</f>
        <v/>
      </c>
      <c r="CJ37" s="8" t="str">
        <f>IF($I37&gt;=7,", "&amp;$U43&amp;"."&amp;$V43&amp;" -&gt;&gt; '"&amp;$F43&amp;"' AS "&amp;$V43&amp;"_"&amp;LOWER(F43),"")</f>
        <v/>
      </c>
      <c r="CK37" s="8" t="str">
        <f>IF($I37&gt;=8,", "&amp;$U44&amp;"."&amp;$V44&amp;" -&gt;&gt; '"&amp;$F44&amp;"' AS "&amp;$V44&amp;"_"&amp;LOWER(F44),"")</f>
        <v/>
      </c>
      <c r="CL37" s="8" t="str">
        <f>IF($I37&gt;=1," FROM "&amp;$U37,"")</f>
        <v xml:space="preserve"> FROM iam___users</v>
      </c>
      <c r="CM37" s="9" t="str">
        <f>IF($I37&gt;=2," "&amp;$AA37&amp;" JOIN "&amp;$U37&amp;" USING ("&amp;$T37&amp;"."&amp;$W37&amp;", "&amp;$U37&amp;"."&amp;$V37&amp;" -&gt;&gt; '"&amp;$F37&amp;"')","")</f>
        <v/>
      </c>
      <c r="CN37" s="9" t="str">
        <f>IF($I37&gt;=3," "&amp;$AA38&amp;" JOIN "&amp;$U38&amp;" USING ("&amp;$T38&amp;"."&amp;$W38&amp;", "&amp;$U38&amp;"."&amp;$V38&amp;" -&gt;&gt; '"&amp;$F38&amp;"')","")</f>
        <v/>
      </c>
      <c r="CO37" s="9" t="str">
        <f>IF($I37&gt;=4," "&amp;$AA39&amp;" JOIN "&amp;$U39&amp;" USING ("&amp;$T39&amp;"."&amp;$W39&amp;", "&amp;$U39&amp;"."&amp;$V39&amp;" -&gt;&gt; '"&amp;$F39&amp;"')","")</f>
        <v/>
      </c>
      <c r="CP37" s="9" t="str">
        <f>IF($I37&gt;=5," "&amp;$AA40&amp;" JOIN "&amp;$U40&amp;" USING ("&amp;$T40&amp;"."&amp;$W40&amp;", "&amp;$U40&amp;"."&amp;$V40&amp;" -&gt;&gt; '"&amp;$F40&amp;"')","")</f>
        <v/>
      </c>
      <c r="CQ37" s="9" t="str">
        <f>IF($I37&gt;=6," "&amp;$AA41&amp;" JOIN "&amp;$U41&amp;" USING ("&amp;$T41&amp;"."&amp;$W41&amp;", "&amp;$U41&amp;"."&amp;$V41&amp;" -&gt;&gt; '"&amp;$F41&amp;"')","")</f>
        <v/>
      </c>
      <c r="CR37" s="8" t="str">
        <f>IF($I37&gt;=7," "&amp;$AA42&amp;" JOIN "&amp;$U42&amp;" USING ("&amp;$T42&amp;"."&amp;$W42&amp;", "&amp;$U42&amp;"."&amp;$V42&amp;" -&gt;&gt; '"&amp;$F42&amp;"')","")</f>
        <v/>
      </c>
      <c r="CS37" s="8" t="str">
        <f>IF($I37&gt;=8," "&amp;$AA43&amp;" JOIN "&amp;$U43&amp;" USING ("&amp;$T43&amp;"."&amp;$W43&amp;", "&amp;$U43&amp;"."&amp;$V43&amp;" -&gt;&gt; '"&amp;$F43&amp;"')","")</f>
        <v/>
      </c>
      <c r="CT37" s="8" t="str">
        <f t="shared" si="11"/>
        <v xml:space="preserve"> ;</v>
      </c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</row>
    <row r="38" spans="1:202" x14ac:dyDescent="0.25">
      <c r="B38" s="4"/>
      <c r="C38" s="4"/>
      <c r="D38" s="4"/>
      <c r="E38" s="4"/>
      <c r="F38" s="4"/>
      <c r="G38" s="7"/>
      <c r="H38" s="7"/>
      <c r="I38" s="7"/>
      <c r="J38" s="7"/>
      <c r="K38" s="7"/>
      <c r="L38" s="4"/>
      <c r="M38" s="7"/>
      <c r="N38" s="4"/>
      <c r="O38" s="7"/>
      <c r="P38" s="4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</row>
    <row r="39" spans="1:202" x14ac:dyDescent="0.25">
      <c r="B39" s="2"/>
      <c r="C39" s="2"/>
      <c r="D39" s="2"/>
      <c r="E39" s="2"/>
      <c r="F39" s="2"/>
      <c r="G39" s="6"/>
      <c r="H39" s="6"/>
      <c r="J39" s="6"/>
      <c r="L39" s="2"/>
      <c r="M39" s="6"/>
      <c r="N39" s="2"/>
      <c r="O39" s="6"/>
      <c r="P39" s="2"/>
      <c r="Q39" s="2"/>
      <c r="R39" s="2"/>
      <c r="S39" s="2"/>
      <c r="T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</row>
    <row r="40" spans="1:202" x14ac:dyDescent="0.25">
      <c r="B40" s="2"/>
      <c r="C40" s="2"/>
      <c r="D40" s="2"/>
      <c r="E40" s="2"/>
      <c r="F40" s="2"/>
      <c r="G40" s="6"/>
      <c r="H40" s="6"/>
      <c r="J40" s="6"/>
      <c r="L40" s="2"/>
      <c r="M40" s="6"/>
      <c r="N40" s="2"/>
      <c r="O40" s="6"/>
      <c r="P40" s="2"/>
      <c r="Q40" s="2"/>
      <c r="R40" s="2"/>
      <c r="S40" s="2"/>
      <c r="T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</row>
    <row r="41" spans="1:202" x14ac:dyDescent="0.25">
      <c r="B41" s="2"/>
      <c r="C41" s="2"/>
      <c r="D41" s="2"/>
      <c r="E41" s="2"/>
      <c r="F41" s="2"/>
      <c r="G41" s="6"/>
      <c r="H41" s="6"/>
      <c r="J41" s="6"/>
      <c r="L41" s="2"/>
      <c r="M41" s="6"/>
      <c r="N41" s="2"/>
      <c r="O41" s="6"/>
      <c r="P41" s="2"/>
      <c r="Q41" s="2"/>
      <c r="R41" s="2"/>
      <c r="S41" s="2"/>
      <c r="T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</row>
    <row r="42" spans="1:202" x14ac:dyDescent="0.25">
      <c r="B42" s="2"/>
      <c r="C42" s="2"/>
      <c r="D42" s="2"/>
      <c r="E42" s="2"/>
      <c r="F42" s="2"/>
      <c r="G42" s="6"/>
      <c r="H42" s="6"/>
      <c r="J42" s="6"/>
      <c r="L42" s="2"/>
      <c r="M42" s="6"/>
      <c r="N42" s="2"/>
      <c r="O42" s="6"/>
      <c r="P42" s="2"/>
      <c r="Q42" s="2"/>
      <c r="R42" s="2"/>
      <c r="S42" s="2"/>
      <c r="T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</row>
    <row r="43" spans="1:202" x14ac:dyDescent="0.25">
      <c r="B43" s="2"/>
      <c r="C43" s="2"/>
      <c r="D43" s="2"/>
      <c r="E43" s="2"/>
      <c r="F43" s="2"/>
      <c r="G43" s="6"/>
      <c r="H43" s="6"/>
      <c r="J43" s="6"/>
      <c r="L43" s="2"/>
      <c r="M43" s="6"/>
      <c r="N43" s="2"/>
      <c r="O43" s="6"/>
      <c r="P43" s="2"/>
      <c r="Q43" s="2"/>
      <c r="R43" s="2"/>
      <c r="S43" s="2"/>
      <c r="T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</row>
    <row r="44" spans="1:202" x14ac:dyDescent="0.25">
      <c r="B44" s="2"/>
      <c r="C44" s="2"/>
      <c r="D44" s="2"/>
      <c r="E44" s="2"/>
      <c r="F44" s="2"/>
      <c r="G44" s="6"/>
      <c r="H44" s="6"/>
      <c r="J44" s="6"/>
      <c r="L44" s="2"/>
      <c r="M44" s="6"/>
      <c r="N44" s="2"/>
      <c r="O44" s="6"/>
      <c r="P44" s="2"/>
      <c r="Q44" s="2"/>
      <c r="R44" s="2"/>
      <c r="S44" s="2"/>
      <c r="T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</row>
    <row r="45" spans="1:202" x14ac:dyDescent="0.25">
      <c r="B45" s="2"/>
      <c r="C45" s="2"/>
      <c r="D45" s="2"/>
      <c r="E45" s="2"/>
      <c r="F45" s="2"/>
      <c r="G45" s="6"/>
      <c r="H45" s="6"/>
      <c r="J45" s="6"/>
      <c r="L45" s="2"/>
      <c r="M45" s="6"/>
      <c r="N45" s="2"/>
      <c r="O45" s="6"/>
      <c r="P45" s="2"/>
      <c r="Q45" s="2"/>
      <c r="R45" s="2"/>
      <c r="S45" s="2"/>
      <c r="T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</row>
    <row r="46" spans="1:202" x14ac:dyDescent="0.25">
      <c r="B46" s="2"/>
      <c r="C46" s="2"/>
      <c r="D46" s="2"/>
      <c r="E46" s="2"/>
      <c r="F46" s="2"/>
      <c r="G46" s="6"/>
      <c r="H46" s="6"/>
      <c r="J46" s="6"/>
      <c r="L46" s="2"/>
      <c r="M46" s="6"/>
      <c r="N46" s="2"/>
      <c r="O46" s="6"/>
      <c r="P46" s="2"/>
      <c r="Q46" s="2"/>
      <c r="R46" s="2"/>
      <c r="S46" s="2"/>
      <c r="T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</row>
    <row r="47" spans="1:202" x14ac:dyDescent="0.25">
      <c r="B47" s="2"/>
      <c r="C47" s="2"/>
      <c r="D47" s="2"/>
      <c r="E47" s="2"/>
      <c r="F47" s="2"/>
      <c r="G47" s="6"/>
      <c r="H47" s="6"/>
      <c r="J47" s="6"/>
      <c r="L47" s="2"/>
      <c r="M47" s="6"/>
      <c r="N47" s="2"/>
      <c r="O47" s="6"/>
      <c r="P47" s="2"/>
      <c r="Q47" s="2"/>
      <c r="R47" s="2"/>
      <c r="S47" s="2"/>
      <c r="T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</row>
    <row r="48" spans="1:202" x14ac:dyDescent="0.25">
      <c r="B48" s="2"/>
      <c r="C48" s="2"/>
      <c r="D48" s="2"/>
      <c r="E48" s="2"/>
      <c r="F48" s="2"/>
      <c r="G48" s="6"/>
      <c r="H48" s="6"/>
      <c r="J48" s="6"/>
      <c r="L48" s="2"/>
      <c r="M48" s="6"/>
      <c r="N48" s="2"/>
      <c r="O48" s="6"/>
      <c r="P48" s="2"/>
      <c r="Q48" s="2"/>
      <c r="R48" s="2"/>
      <c r="S48" s="2"/>
      <c r="T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</row>
    <row r="49" spans="2:202" x14ac:dyDescent="0.25">
      <c r="B49" s="2"/>
      <c r="C49" s="2"/>
      <c r="D49" s="2"/>
      <c r="E49" s="2"/>
      <c r="F49" s="2"/>
      <c r="G49" s="6"/>
      <c r="H49" s="6"/>
      <c r="J49" s="6"/>
      <c r="L49" s="2"/>
      <c r="M49" s="6"/>
      <c r="N49" s="2"/>
      <c r="O49" s="6"/>
      <c r="P49" s="2"/>
      <c r="Q49" s="2"/>
      <c r="R49" s="2"/>
      <c r="S49" s="2"/>
      <c r="T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</row>
    <row r="50" spans="2:202" x14ac:dyDescent="0.25">
      <c r="B50" s="2"/>
      <c r="C50" s="2"/>
      <c r="D50" s="2"/>
      <c r="E50" s="2"/>
      <c r="F50" s="2"/>
      <c r="G50" s="6"/>
      <c r="H50" s="6"/>
      <c r="J50" s="6"/>
      <c r="L50" s="2"/>
      <c r="M50" s="6"/>
      <c r="N50" s="2"/>
      <c r="O50" s="6"/>
      <c r="P50" s="2"/>
      <c r="Q50" s="2"/>
      <c r="R50" s="2"/>
      <c r="S50" s="2"/>
      <c r="T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</row>
    <row r="51" spans="2:202" x14ac:dyDescent="0.25">
      <c r="B51" s="2"/>
      <c r="C51" s="2"/>
      <c r="D51" s="2"/>
      <c r="E51" s="2"/>
      <c r="F51" s="2"/>
      <c r="G51" s="6"/>
      <c r="H51" s="6"/>
      <c r="J51" s="6"/>
      <c r="L51" s="2"/>
      <c r="M51" s="6"/>
      <c r="N51" s="2"/>
      <c r="O51" s="6"/>
      <c r="P51" s="2"/>
      <c r="Q51" s="2"/>
      <c r="R51" s="2"/>
      <c r="S51" s="2"/>
      <c r="T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</row>
    <row r="52" spans="2:202" x14ac:dyDescent="0.25">
      <c r="BC52" s="2"/>
    </row>
    <row r="53" spans="2:202" x14ac:dyDescent="0.25">
      <c r="BC53" s="2"/>
    </row>
    <row r="54" spans="2:202" x14ac:dyDescent="0.25">
      <c r="BC54" s="2"/>
    </row>
    <row r="55" spans="2:202" x14ac:dyDescent="0.25">
      <c r="BC55" s="2"/>
    </row>
    <row r="56" spans="2:202" x14ac:dyDescent="0.25">
      <c r="BC56" s="2"/>
    </row>
    <row r="57" spans="2:202" x14ac:dyDescent="0.25">
      <c r="BC57" s="2"/>
    </row>
    <row r="58" spans="2:202" x14ac:dyDescent="0.25">
      <c r="BC58" s="2"/>
    </row>
    <row r="59" spans="2:202" x14ac:dyDescent="0.25">
      <c r="BC59" s="2"/>
    </row>
    <row r="60" spans="2:202" x14ac:dyDescent="0.25">
      <c r="BC60" s="2"/>
    </row>
    <row r="61" spans="2:202" x14ac:dyDescent="0.25">
      <c r="BC61" s="2"/>
    </row>
    <row r="62" spans="2:202" x14ac:dyDescent="0.25">
      <c r="BC62" s="2"/>
    </row>
    <row r="63" spans="2:202" x14ac:dyDescent="0.25">
      <c r="BC63" s="2"/>
    </row>
    <row r="64" spans="2:202" x14ac:dyDescent="0.25">
      <c r="BC64" s="2"/>
    </row>
    <row r="65" spans="55:55" x14ac:dyDescent="0.25">
      <c r="BC65" s="2"/>
    </row>
    <row r="66" spans="55:55" x14ac:dyDescent="0.25">
      <c r="BC66" s="2"/>
    </row>
    <row r="67" spans="55:55" x14ac:dyDescent="0.25">
      <c r="BC67" s="2"/>
    </row>
    <row r="68" spans="55:55" x14ac:dyDescent="0.25">
      <c r="BC68" s="2"/>
    </row>
    <row r="69" spans="55:55" x14ac:dyDescent="0.25">
      <c r="BC69" s="2"/>
    </row>
    <row r="70" spans="55:55" x14ac:dyDescent="0.25">
      <c r="BC70" s="2"/>
    </row>
    <row r="71" spans="55:55" x14ac:dyDescent="0.25">
      <c r="BC71" s="2"/>
    </row>
    <row r="72" spans="55:55" x14ac:dyDescent="0.25">
      <c r="BC72" s="2"/>
    </row>
    <row r="73" spans="55:55" x14ac:dyDescent="0.25">
      <c r="BC73" s="2"/>
    </row>
    <row r="74" spans="55:55" x14ac:dyDescent="0.25">
      <c r="BC74" s="2"/>
    </row>
    <row r="75" spans="55:55" x14ac:dyDescent="0.25">
      <c r="BC75" s="2"/>
    </row>
    <row r="76" spans="55:55" x14ac:dyDescent="0.25">
      <c r="BC76" s="2"/>
    </row>
    <row r="77" spans="55:55" x14ac:dyDescent="0.25">
      <c r="BC77" s="2"/>
    </row>
    <row r="78" spans="55:55" x14ac:dyDescent="0.25">
      <c r="BC78" s="2"/>
    </row>
    <row r="79" spans="55:55" x14ac:dyDescent="0.25">
      <c r="BC79" s="2"/>
    </row>
    <row r="80" spans="55:55" x14ac:dyDescent="0.25">
      <c r="BC80" s="2"/>
    </row>
    <row r="81" spans="55:55" x14ac:dyDescent="0.25">
      <c r="BC81" s="2"/>
    </row>
    <row r="82" spans="55:55" x14ac:dyDescent="0.25">
      <c r="BC82" s="2"/>
    </row>
    <row r="83" spans="55:55" x14ac:dyDescent="0.25">
      <c r="BC83" s="2"/>
    </row>
    <row r="84" spans="55:55" x14ac:dyDescent="0.25">
      <c r="BC84" s="2"/>
    </row>
    <row r="85" spans="55:55" x14ac:dyDescent="0.25">
      <c r="BC85" s="2"/>
    </row>
    <row r="86" spans="55:55" x14ac:dyDescent="0.25">
      <c r="BC86" s="2"/>
    </row>
    <row r="87" spans="55:55" x14ac:dyDescent="0.25">
      <c r="BC87" s="2"/>
    </row>
    <row r="88" spans="55:55" x14ac:dyDescent="0.25">
      <c r="BC88" s="2"/>
    </row>
    <row r="89" spans="55:55" x14ac:dyDescent="0.25">
      <c r="BC89" s="2"/>
    </row>
    <row r="90" spans="55:55" x14ac:dyDescent="0.25">
      <c r="BC90" s="2"/>
    </row>
    <row r="91" spans="55:55" x14ac:dyDescent="0.25">
      <c r="BC91" s="2"/>
    </row>
    <row r="92" spans="55:55" x14ac:dyDescent="0.25">
      <c r="BC92" s="2"/>
    </row>
    <row r="93" spans="55:55" x14ac:dyDescent="0.25">
      <c r="BC93" s="2"/>
    </row>
    <row r="94" spans="55:55" x14ac:dyDescent="0.25">
      <c r="BC94" s="2"/>
    </row>
    <row r="95" spans="55:55" x14ac:dyDescent="0.25">
      <c r="BC95" s="2"/>
    </row>
    <row r="96" spans="55:55" x14ac:dyDescent="0.25">
      <c r="BC96" s="2"/>
    </row>
    <row r="97" spans="55:55" x14ac:dyDescent="0.25">
      <c r="BC97" s="2"/>
    </row>
    <row r="98" spans="55:55" x14ac:dyDescent="0.25">
      <c r="BC98" s="2"/>
    </row>
    <row r="99" spans="55:55" x14ac:dyDescent="0.25">
      <c r="BC99" s="2"/>
    </row>
    <row r="100" spans="55:55" x14ac:dyDescent="0.25">
      <c r="BC100" s="2"/>
    </row>
    <row r="101" spans="55:55" x14ac:dyDescent="0.25">
      <c r="BC101" s="2"/>
    </row>
    <row r="102" spans="55:55" x14ac:dyDescent="0.25">
      <c r="BC102" s="2"/>
    </row>
    <row r="103" spans="55:55" x14ac:dyDescent="0.25">
      <c r="BC103" s="2"/>
    </row>
    <row r="104" spans="55:55" x14ac:dyDescent="0.25">
      <c r="BC104" s="2"/>
    </row>
    <row r="105" spans="55:55" x14ac:dyDescent="0.25">
      <c r="BC105" s="2"/>
    </row>
    <row r="106" spans="55:55" x14ac:dyDescent="0.25">
      <c r="BC106" s="2"/>
    </row>
    <row r="107" spans="55:55" x14ac:dyDescent="0.25">
      <c r="BC107" s="2"/>
    </row>
    <row r="108" spans="55:55" x14ac:dyDescent="0.25">
      <c r="BC108" s="2"/>
    </row>
    <row r="109" spans="55:55" x14ac:dyDescent="0.25">
      <c r="BC109" s="2"/>
    </row>
    <row r="110" spans="55:55" x14ac:dyDescent="0.25">
      <c r="BC110" s="2"/>
    </row>
    <row r="111" spans="55:55" x14ac:dyDescent="0.25">
      <c r="BC111" s="2"/>
    </row>
    <row r="112" spans="55:55" x14ac:dyDescent="0.25">
      <c r="BC112" s="2"/>
    </row>
    <row r="113" spans="55:55" x14ac:dyDescent="0.25">
      <c r="BC113" s="2"/>
    </row>
    <row r="114" spans="55:55" x14ac:dyDescent="0.25">
      <c r="BC114" s="2"/>
    </row>
    <row r="115" spans="55:55" x14ac:dyDescent="0.25">
      <c r="BC115" s="2"/>
    </row>
    <row r="116" spans="55:55" x14ac:dyDescent="0.25">
      <c r="BC116" s="2"/>
    </row>
    <row r="117" spans="55:55" x14ac:dyDescent="0.25">
      <c r="BC117" s="2"/>
    </row>
    <row r="118" spans="55:55" x14ac:dyDescent="0.25">
      <c r="BC118" s="2"/>
    </row>
    <row r="119" spans="55:55" x14ac:dyDescent="0.25">
      <c r="BC119" s="2"/>
    </row>
    <row r="120" spans="55:55" x14ac:dyDescent="0.25">
      <c r="BC120" s="2"/>
    </row>
    <row r="121" spans="55:55" x14ac:dyDescent="0.25">
      <c r="BC121" s="2"/>
    </row>
    <row r="122" spans="55:55" x14ac:dyDescent="0.25">
      <c r="BC122" s="2"/>
    </row>
    <row r="123" spans="55:55" x14ac:dyDescent="0.25">
      <c r="BC123" s="2"/>
    </row>
    <row r="124" spans="55:55" x14ac:dyDescent="0.25">
      <c r="BC124" s="2"/>
    </row>
    <row r="125" spans="55:55" x14ac:dyDescent="0.25">
      <c r="BC125" s="2"/>
    </row>
    <row r="126" spans="55:55" x14ac:dyDescent="0.25">
      <c r="BC126" s="2"/>
    </row>
    <row r="127" spans="55:55" x14ac:dyDescent="0.25">
      <c r="BC127" s="2"/>
    </row>
    <row r="128" spans="55:55" x14ac:dyDescent="0.25">
      <c r="BC128" s="2"/>
    </row>
    <row r="129" spans="55:55" x14ac:dyDescent="0.25">
      <c r="BC129" s="2"/>
    </row>
    <row r="130" spans="55:55" x14ac:dyDescent="0.25">
      <c r="BC130" s="2"/>
    </row>
    <row r="131" spans="55:55" x14ac:dyDescent="0.25">
      <c r="BC131" s="2"/>
    </row>
    <row r="132" spans="55:55" x14ac:dyDescent="0.25">
      <c r="BC132" s="2"/>
    </row>
    <row r="133" spans="55:55" x14ac:dyDescent="0.25">
      <c r="BC133" s="2"/>
    </row>
    <row r="134" spans="55:55" x14ac:dyDescent="0.25">
      <c r="BC134" s="2"/>
    </row>
    <row r="135" spans="55:55" x14ac:dyDescent="0.25">
      <c r="BC135" s="2"/>
    </row>
    <row r="136" spans="55:55" x14ac:dyDescent="0.25">
      <c r="BC136" s="2"/>
    </row>
    <row r="137" spans="55:55" x14ac:dyDescent="0.25">
      <c r="BC137" s="2"/>
    </row>
    <row r="138" spans="55:55" x14ac:dyDescent="0.25">
      <c r="BC138" s="2"/>
    </row>
    <row r="139" spans="55:55" x14ac:dyDescent="0.25">
      <c r="BC139" s="2"/>
    </row>
    <row r="140" spans="55:55" x14ac:dyDescent="0.25">
      <c r="BC140" s="2"/>
    </row>
    <row r="141" spans="55:55" x14ac:dyDescent="0.25">
      <c r="BC141" s="2"/>
    </row>
    <row r="142" spans="55:55" x14ac:dyDescent="0.25">
      <c r="BC142" s="2"/>
    </row>
    <row r="143" spans="55:55" x14ac:dyDescent="0.25">
      <c r="BC143" s="2"/>
    </row>
    <row r="144" spans="55:55" x14ac:dyDescent="0.25">
      <c r="BC144" s="2"/>
    </row>
    <row r="145" spans="55:55" x14ac:dyDescent="0.25">
      <c r="BC145" s="2"/>
    </row>
    <row r="146" spans="55:55" x14ac:dyDescent="0.25">
      <c r="BC146" s="2"/>
    </row>
    <row r="147" spans="55:55" x14ac:dyDescent="0.25">
      <c r="BC147" s="2"/>
    </row>
    <row r="148" spans="55:55" x14ac:dyDescent="0.25">
      <c r="BC148" s="2"/>
    </row>
    <row r="149" spans="55:55" x14ac:dyDescent="0.25">
      <c r="BC149" s="2"/>
    </row>
    <row r="150" spans="55:55" x14ac:dyDescent="0.25">
      <c r="BC150" s="2"/>
    </row>
    <row r="151" spans="55:55" x14ac:dyDescent="0.25">
      <c r="BC151" s="2"/>
    </row>
    <row r="152" spans="55:55" x14ac:dyDescent="0.25">
      <c r="BC152" s="2"/>
    </row>
    <row r="153" spans="55:55" x14ac:dyDescent="0.25">
      <c r="BC153" s="2"/>
    </row>
    <row r="154" spans="55:55" x14ac:dyDescent="0.25">
      <c r="BC154" s="2"/>
    </row>
    <row r="155" spans="55:55" x14ac:dyDescent="0.25">
      <c r="BC155" s="2"/>
    </row>
    <row r="156" spans="55:55" x14ac:dyDescent="0.25">
      <c r="BC156" s="2"/>
    </row>
    <row r="157" spans="55:55" x14ac:dyDescent="0.25">
      <c r="BC157" s="2"/>
    </row>
    <row r="158" spans="55:55" x14ac:dyDescent="0.25">
      <c r="BC158" s="2"/>
    </row>
    <row r="159" spans="55:55" x14ac:dyDescent="0.25">
      <c r="BC159" s="2"/>
    </row>
    <row r="160" spans="55:55" x14ac:dyDescent="0.25">
      <c r="BC160" s="2"/>
    </row>
    <row r="161" spans="55:55" x14ac:dyDescent="0.25">
      <c r="BC161" s="2"/>
    </row>
    <row r="162" spans="55:55" x14ac:dyDescent="0.25">
      <c r="BC162" s="2"/>
    </row>
    <row r="163" spans="55:55" x14ac:dyDescent="0.25">
      <c r="BC163" s="2"/>
    </row>
    <row r="164" spans="55:55" x14ac:dyDescent="0.25">
      <c r="BC164" s="2"/>
    </row>
    <row r="165" spans="55:55" x14ac:dyDescent="0.25">
      <c r="BC165" s="2"/>
    </row>
    <row r="166" spans="55:55" x14ac:dyDescent="0.25">
      <c r="BC166" s="2"/>
    </row>
    <row r="167" spans="55:55" x14ac:dyDescent="0.25">
      <c r="BC167" s="2"/>
    </row>
    <row r="168" spans="55:55" x14ac:dyDescent="0.25">
      <c r="BC168" s="2"/>
    </row>
    <row r="169" spans="55:55" x14ac:dyDescent="0.25">
      <c r="BC169" s="2"/>
    </row>
    <row r="170" spans="55:55" x14ac:dyDescent="0.25">
      <c r="BC170" s="2"/>
    </row>
    <row r="171" spans="55:55" x14ac:dyDescent="0.25">
      <c r="BC171" s="2"/>
    </row>
    <row r="172" spans="55:55" x14ac:dyDescent="0.25">
      <c r="BC172" s="2"/>
    </row>
    <row r="173" spans="55:55" x14ac:dyDescent="0.25">
      <c r="BC173" s="2"/>
    </row>
    <row r="174" spans="55:55" x14ac:dyDescent="0.25">
      <c r="BC174" s="2"/>
    </row>
    <row r="175" spans="55:55" x14ac:dyDescent="0.25">
      <c r="BC175" s="2"/>
    </row>
    <row r="176" spans="55:55" x14ac:dyDescent="0.25">
      <c r="BC176" s="2"/>
    </row>
    <row r="177" spans="55:55" x14ac:dyDescent="0.25">
      <c r="BC177" s="2"/>
    </row>
    <row r="178" spans="55:55" x14ac:dyDescent="0.25">
      <c r="BC178" s="2"/>
    </row>
    <row r="179" spans="55:55" x14ac:dyDescent="0.25">
      <c r="BC179" s="2"/>
    </row>
    <row r="180" spans="55:55" x14ac:dyDescent="0.25">
      <c r="BC180" s="2"/>
    </row>
    <row r="181" spans="55:55" x14ac:dyDescent="0.25">
      <c r="BC181" s="2"/>
    </row>
    <row r="182" spans="55:55" x14ac:dyDescent="0.25">
      <c r="BC182" s="2"/>
    </row>
    <row r="183" spans="55:55" x14ac:dyDescent="0.25">
      <c r="BC183" s="2"/>
    </row>
    <row r="184" spans="55:55" x14ac:dyDescent="0.25">
      <c r="BC184" s="2"/>
    </row>
    <row r="185" spans="55:55" x14ac:dyDescent="0.25">
      <c r="BC185" s="2"/>
    </row>
    <row r="186" spans="55:55" x14ac:dyDescent="0.25">
      <c r="BC186" s="2"/>
    </row>
    <row r="187" spans="55:55" x14ac:dyDescent="0.25">
      <c r="BC187" s="2"/>
    </row>
    <row r="188" spans="55:55" x14ac:dyDescent="0.25">
      <c r="BC188" s="2"/>
    </row>
    <row r="189" spans="55:55" x14ac:dyDescent="0.25">
      <c r="BC189" s="2"/>
    </row>
    <row r="190" spans="55:55" x14ac:dyDescent="0.25">
      <c r="BC190" s="2"/>
    </row>
    <row r="191" spans="55:55" x14ac:dyDescent="0.25">
      <c r="BC191" s="2"/>
    </row>
    <row r="192" spans="55:55" x14ac:dyDescent="0.25">
      <c r="BC192" s="2"/>
    </row>
    <row r="193" spans="55:55" x14ac:dyDescent="0.25">
      <c r="BC193" s="2"/>
    </row>
    <row r="194" spans="55:55" x14ac:dyDescent="0.25">
      <c r="BC194" s="2"/>
    </row>
    <row r="195" spans="55:55" x14ac:dyDescent="0.25">
      <c r="BC195" s="2"/>
    </row>
    <row r="196" spans="55:55" x14ac:dyDescent="0.25">
      <c r="BC196" s="2"/>
    </row>
    <row r="197" spans="55:55" x14ac:dyDescent="0.25">
      <c r="BC197" s="2"/>
    </row>
    <row r="198" spans="55:55" x14ac:dyDescent="0.25">
      <c r="BC198" s="2"/>
    </row>
    <row r="199" spans="55:55" x14ac:dyDescent="0.25">
      <c r="BC199" s="2"/>
    </row>
    <row r="200" spans="55:55" x14ac:dyDescent="0.25">
      <c r="BC200" s="2"/>
    </row>
    <row r="201" spans="55:55" x14ac:dyDescent="0.25">
      <c r="BC201" s="2"/>
    </row>
    <row r="202" spans="55:55" x14ac:dyDescent="0.25">
      <c r="BC202" s="2"/>
    </row>
    <row r="203" spans="55:55" x14ac:dyDescent="0.25">
      <c r="BC203" s="2"/>
    </row>
    <row r="204" spans="55:55" x14ac:dyDescent="0.25">
      <c r="BC204" s="2"/>
    </row>
    <row r="205" spans="55:55" x14ac:dyDescent="0.25">
      <c r="BC205" s="2"/>
    </row>
    <row r="206" spans="55:55" x14ac:dyDescent="0.25">
      <c r="BC206" s="2"/>
    </row>
    <row r="207" spans="55:55" x14ac:dyDescent="0.25">
      <c r="BC207" s="2"/>
    </row>
  </sheetData>
  <sortState ref="B2:W38">
    <sortCondition ref="B2:B38"/>
    <sortCondition ref="C2:C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aws_services</vt:lpstr>
      <vt:lpstr>aws_cli_commands</vt:lpstr>
      <vt:lpstr>aws_cli_commands_recursive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Hackney</dc:creator>
  <cp:lastModifiedBy>Douglas Hackney</cp:lastModifiedBy>
  <dcterms:created xsi:type="dcterms:W3CDTF">2018-02-01T22:17:15Z</dcterms:created>
  <dcterms:modified xsi:type="dcterms:W3CDTF">2018-03-05T12:54:25Z</dcterms:modified>
</cp:coreProperties>
</file>