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10" tabRatio="776" activeTab="4"/>
  </bookViews>
  <sheets>
    <sheet name="常数" sheetId="7" r:id="rId1"/>
    <sheet name="已知周期和e算ap" sheetId="1" r:id="rId2"/>
    <sheet name="霍曼转移计算（地球轨道）" sheetId="5" r:id="rId3"/>
    <sheet name="霍曼转移计算（行星际）" sheetId="8" r:id="rId4"/>
    <sheet name="快速转移轨道计算（行星际）" sheetId="3" r:id="rId5"/>
    <sheet name="引力弹弓计算" sheetId="6" r:id="rId6"/>
  </sheets>
  <calcPr calcId="144525"/>
</workbook>
</file>

<file path=xl/calcChain.xml><?xml version="1.0" encoding="utf-8"?>
<calcChain xmlns="http://schemas.openxmlformats.org/spreadsheetml/2006/main">
  <c r="B8" i="3" l="1"/>
  <c r="I2" i="1"/>
  <c r="H2" i="1"/>
  <c r="C3" i="6"/>
  <c r="E26" i="3"/>
  <c r="E5" i="3"/>
  <c r="C5" i="3"/>
  <c r="E3" i="3"/>
  <c r="C8" i="3" s="1"/>
  <c r="C3" i="3"/>
  <c r="C1" i="3"/>
  <c r="B18" i="8"/>
  <c r="D18" i="8"/>
  <c r="E14" i="3" l="1"/>
  <c r="F3" i="3"/>
  <c r="F5" i="3"/>
  <c r="B3" i="6"/>
  <c r="G3" i="6" s="1"/>
  <c r="H3" i="6" s="1"/>
  <c r="B2" i="8"/>
  <c r="D6" i="8"/>
  <c r="D4" i="8"/>
  <c r="B6" i="8"/>
  <c r="E18" i="8" s="1"/>
  <c r="B4" i="8"/>
  <c r="I12" i="5"/>
  <c r="I14" i="5" s="1"/>
  <c r="I8" i="5"/>
  <c r="C10" i="5"/>
  <c r="F10" i="5" s="1"/>
  <c r="C8" i="5"/>
  <c r="G10" i="5" s="1"/>
  <c r="C6" i="5"/>
  <c r="G6" i="5" s="1"/>
  <c r="C4" i="5"/>
  <c r="G4" i="5" s="1"/>
  <c r="E6" i="7"/>
  <c r="D6" i="7"/>
  <c r="B6" i="7"/>
  <c r="E5" i="7"/>
  <c r="D5" i="7"/>
  <c r="C5" i="7"/>
  <c r="B5" i="7"/>
  <c r="F3" i="6" l="1"/>
  <c r="I3" i="6"/>
  <c r="B15" i="8"/>
  <c r="E4" i="8"/>
  <c r="E6" i="8"/>
  <c r="B9" i="8"/>
  <c r="D8" i="3"/>
  <c r="G18" i="8" l="1"/>
  <c r="A21" i="8" s="1"/>
  <c r="F18" i="8"/>
  <c r="H18" i="8" s="1"/>
  <c r="B21" i="8" s="1"/>
  <c r="C9" i="8"/>
  <c r="B12" i="8" s="1"/>
  <c r="E8" i="3"/>
  <c r="F6" i="5"/>
  <c r="F4" i="5"/>
  <c r="E11" i="3" l="1"/>
  <c r="D14" i="3"/>
  <c r="G14" i="3" s="1"/>
  <c r="B20" i="3"/>
  <c r="C11" i="3"/>
  <c r="D9" i="8"/>
  <c r="D12" i="8"/>
  <c r="F8" i="5"/>
  <c r="G8" i="5"/>
  <c r="C34" i="3"/>
  <c r="F8" i="3"/>
  <c r="D11" i="3" s="1"/>
  <c r="G8" i="3"/>
  <c r="D17" i="3" l="1"/>
  <c r="B17" i="3"/>
  <c r="F14" i="3"/>
  <c r="B11" i="3"/>
  <c r="B32" i="3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F34" i="3"/>
  <c r="E34" i="3"/>
  <c r="D20" i="3"/>
  <c r="C20" i="3"/>
  <c r="F20" i="3"/>
  <c r="F23" i="3" s="1"/>
  <c r="H8" i="5"/>
  <c r="H10" i="5"/>
  <c r="F26" i="3" l="1"/>
  <c r="E20" i="3"/>
  <c r="C35" i="3"/>
  <c r="C56" i="3"/>
  <c r="C55" i="3"/>
  <c r="C36" i="3"/>
  <c r="D34" i="3"/>
  <c r="C37" i="3"/>
  <c r="B58" i="3"/>
  <c r="C57" i="3"/>
  <c r="C38" i="3"/>
  <c r="I10" i="5"/>
  <c r="A2" i="1"/>
  <c r="C2" i="1"/>
  <c r="D35" i="3" l="1"/>
  <c r="F35" i="3"/>
  <c r="E35" i="3"/>
  <c r="D37" i="3"/>
  <c r="F37" i="3"/>
  <c r="E37" i="3"/>
  <c r="D56" i="3"/>
  <c r="E56" i="3"/>
  <c r="F56" i="3"/>
  <c r="D38" i="3"/>
  <c r="F38" i="3"/>
  <c r="E38" i="3"/>
  <c r="D57" i="3"/>
  <c r="E57" i="3"/>
  <c r="F57" i="3"/>
  <c r="D36" i="3"/>
  <c r="F36" i="3"/>
  <c r="E36" i="3"/>
  <c r="D55" i="3"/>
  <c r="E55" i="3"/>
  <c r="F55" i="3"/>
  <c r="G20" i="3"/>
  <c r="H20" i="3" s="1"/>
  <c r="B26" i="3" s="1"/>
  <c r="D26" i="3" s="1"/>
  <c r="E23" i="3"/>
  <c r="E2" i="1"/>
  <c r="G2" i="1" s="1"/>
  <c r="B59" i="3"/>
  <c r="C58" i="3"/>
  <c r="C39" i="3"/>
  <c r="G26" i="3" l="1"/>
  <c r="A29" i="3" s="1"/>
  <c r="H26" i="3"/>
  <c r="B29" i="3" s="1"/>
  <c r="D39" i="3"/>
  <c r="E39" i="3"/>
  <c r="F39" i="3"/>
  <c r="D58" i="3"/>
  <c r="E58" i="3"/>
  <c r="F58" i="3"/>
  <c r="G23" i="3"/>
  <c r="F2" i="1"/>
  <c r="B60" i="3"/>
  <c r="C59" i="3"/>
  <c r="C40" i="3"/>
  <c r="D40" i="3" l="1"/>
  <c r="E40" i="3"/>
  <c r="F40" i="3"/>
  <c r="D59" i="3"/>
  <c r="F59" i="3"/>
  <c r="E59" i="3"/>
  <c r="B61" i="3"/>
  <c r="C60" i="3"/>
  <c r="C41" i="3"/>
  <c r="D60" i="3" l="1"/>
  <c r="F60" i="3"/>
  <c r="E60" i="3"/>
  <c r="D41" i="3"/>
  <c r="E41" i="3"/>
  <c r="F41" i="3"/>
  <c r="B62" i="3"/>
  <c r="C61" i="3"/>
  <c r="C42" i="3"/>
  <c r="D61" i="3" l="1"/>
  <c r="F61" i="3"/>
  <c r="E61" i="3"/>
  <c r="D42" i="3"/>
  <c r="E42" i="3"/>
  <c r="F42" i="3"/>
  <c r="B63" i="3"/>
  <c r="C62" i="3"/>
  <c r="C43" i="3"/>
  <c r="D62" i="3" l="1"/>
  <c r="E62" i="3"/>
  <c r="F62" i="3"/>
  <c r="D43" i="3"/>
  <c r="F43" i="3"/>
  <c r="E43" i="3"/>
  <c r="B64" i="3"/>
  <c r="C63" i="3"/>
  <c r="C44" i="3"/>
  <c r="D63" i="3" l="1"/>
  <c r="E63" i="3"/>
  <c r="F63" i="3"/>
  <c r="D44" i="3"/>
  <c r="F44" i="3"/>
  <c r="E44" i="3"/>
  <c r="B65" i="3"/>
  <c r="C64" i="3"/>
  <c r="C45" i="3"/>
  <c r="D64" i="3" l="1"/>
  <c r="E64" i="3"/>
  <c r="F64" i="3"/>
  <c r="D45" i="3"/>
  <c r="F45" i="3"/>
  <c r="E45" i="3"/>
  <c r="B66" i="3"/>
  <c r="C65" i="3"/>
  <c r="C46" i="3"/>
  <c r="D65" i="3" l="1"/>
  <c r="E65" i="3"/>
  <c r="F65" i="3"/>
  <c r="D46" i="3"/>
  <c r="F46" i="3"/>
  <c r="E46" i="3"/>
  <c r="B67" i="3"/>
  <c r="C66" i="3"/>
  <c r="C47" i="3"/>
  <c r="D66" i="3" l="1"/>
  <c r="E66" i="3"/>
  <c r="F66" i="3"/>
  <c r="D47" i="3"/>
  <c r="E47" i="3"/>
  <c r="F47" i="3"/>
  <c r="B68" i="3"/>
  <c r="C67" i="3"/>
  <c r="C48" i="3"/>
  <c r="D67" i="3" l="1"/>
  <c r="F67" i="3"/>
  <c r="E67" i="3"/>
  <c r="D48" i="3"/>
  <c r="E48" i="3"/>
  <c r="F48" i="3"/>
  <c r="B69" i="3"/>
  <c r="C68" i="3"/>
  <c r="C49" i="3"/>
  <c r="D68" i="3" l="1"/>
  <c r="F68" i="3"/>
  <c r="E68" i="3"/>
  <c r="D49" i="3"/>
  <c r="E49" i="3"/>
  <c r="F49" i="3"/>
  <c r="B70" i="3"/>
  <c r="C69" i="3"/>
  <c r="C50" i="3"/>
  <c r="D69" i="3" l="1"/>
  <c r="F69" i="3"/>
  <c r="E69" i="3"/>
  <c r="D50" i="3"/>
  <c r="E50" i="3"/>
  <c r="F50" i="3"/>
  <c r="B71" i="3"/>
  <c r="C70" i="3"/>
  <c r="C51" i="3"/>
  <c r="D70" i="3" l="1"/>
  <c r="F70" i="3"/>
  <c r="E70" i="3"/>
  <c r="D51" i="3"/>
  <c r="F51" i="3"/>
  <c r="E51" i="3"/>
  <c r="B72" i="3"/>
  <c r="C71" i="3"/>
  <c r="C52" i="3"/>
  <c r="D71" i="3" l="1"/>
  <c r="E71" i="3"/>
  <c r="F71" i="3"/>
  <c r="D52" i="3"/>
  <c r="F52" i="3"/>
  <c r="E52" i="3"/>
  <c r="B73" i="3"/>
  <c r="C72" i="3"/>
  <c r="C53" i="3"/>
  <c r="C54" i="3"/>
  <c r="D72" i="3" l="1"/>
  <c r="E72" i="3"/>
  <c r="F72" i="3"/>
  <c r="D54" i="3"/>
  <c r="E54" i="3"/>
  <c r="F54" i="3"/>
  <c r="D53" i="3"/>
  <c r="F53" i="3"/>
  <c r="E53" i="3"/>
  <c r="B74" i="3"/>
  <c r="C73" i="3"/>
  <c r="D73" i="3" l="1"/>
  <c r="E73" i="3"/>
  <c r="F73" i="3"/>
  <c r="B75" i="3"/>
  <c r="C74" i="3"/>
  <c r="D74" i="3" l="1"/>
  <c r="E74" i="3"/>
  <c r="F74" i="3"/>
  <c r="B76" i="3"/>
  <c r="C75" i="3"/>
  <c r="D75" i="3" l="1"/>
  <c r="F75" i="3"/>
  <c r="E75" i="3"/>
  <c r="B77" i="3"/>
  <c r="C76" i="3"/>
  <c r="D76" i="3" l="1"/>
  <c r="F76" i="3"/>
  <c r="E76" i="3"/>
  <c r="B78" i="3"/>
  <c r="C77" i="3"/>
  <c r="D77" i="3" l="1"/>
  <c r="F77" i="3"/>
  <c r="E77" i="3"/>
  <c r="B79" i="3"/>
  <c r="C78" i="3"/>
  <c r="D78" i="3" l="1"/>
  <c r="F78" i="3"/>
  <c r="E78" i="3"/>
  <c r="B80" i="3"/>
  <c r="C79" i="3"/>
  <c r="D79" i="3" l="1"/>
  <c r="E79" i="3"/>
  <c r="F79" i="3"/>
  <c r="B81" i="3"/>
  <c r="C80" i="3"/>
  <c r="D80" i="3" l="1"/>
  <c r="E80" i="3"/>
  <c r="F80" i="3"/>
  <c r="B82" i="3"/>
  <c r="C81" i="3"/>
  <c r="D81" i="3" l="1"/>
  <c r="E81" i="3"/>
  <c r="F81" i="3"/>
  <c r="B83" i="3"/>
  <c r="C82" i="3"/>
  <c r="D82" i="3" l="1"/>
  <c r="E82" i="3"/>
  <c r="F82" i="3"/>
  <c r="B84" i="3"/>
  <c r="C83" i="3"/>
  <c r="D83" i="3" l="1"/>
  <c r="F83" i="3"/>
  <c r="E83" i="3"/>
  <c r="B85" i="3"/>
  <c r="C84" i="3"/>
  <c r="D84" i="3" l="1"/>
  <c r="F84" i="3"/>
  <c r="E84" i="3"/>
  <c r="B86" i="3"/>
  <c r="C85" i="3"/>
  <c r="D85" i="3" l="1"/>
  <c r="F85" i="3"/>
  <c r="E85" i="3"/>
  <c r="B87" i="3"/>
  <c r="C86" i="3"/>
  <c r="D86" i="3" l="1"/>
  <c r="F86" i="3"/>
  <c r="E86" i="3"/>
  <c r="B88" i="3"/>
  <c r="C87" i="3"/>
  <c r="D87" i="3" l="1"/>
  <c r="E87" i="3"/>
  <c r="F87" i="3"/>
  <c r="B89" i="3"/>
  <c r="C88" i="3"/>
  <c r="D88" i="3" l="1"/>
  <c r="E88" i="3"/>
  <c r="F88" i="3"/>
  <c r="B90" i="3"/>
  <c r="C89" i="3"/>
  <c r="D89" i="3" l="1"/>
  <c r="E89" i="3"/>
  <c r="F89" i="3"/>
  <c r="B91" i="3"/>
  <c r="C90" i="3"/>
  <c r="D90" i="3" l="1"/>
  <c r="E90" i="3"/>
  <c r="F90" i="3"/>
  <c r="B92" i="3"/>
  <c r="C91" i="3"/>
  <c r="D91" i="3" l="1"/>
  <c r="F91" i="3"/>
  <c r="E91" i="3"/>
  <c r="B93" i="3"/>
  <c r="C92" i="3"/>
  <c r="D92" i="3" l="1"/>
  <c r="F92" i="3"/>
  <c r="E92" i="3"/>
  <c r="B94" i="3"/>
  <c r="C93" i="3"/>
  <c r="D93" i="3" l="1"/>
  <c r="F93" i="3"/>
  <c r="E93" i="3"/>
  <c r="B95" i="3"/>
  <c r="C94" i="3"/>
  <c r="D94" i="3" l="1"/>
  <c r="F94" i="3"/>
  <c r="E94" i="3"/>
  <c r="B96" i="3"/>
  <c r="C95" i="3"/>
  <c r="D95" i="3" l="1"/>
  <c r="E95" i="3"/>
  <c r="F95" i="3"/>
  <c r="B97" i="3"/>
  <c r="C96" i="3"/>
  <c r="D96" i="3" l="1"/>
  <c r="E96" i="3"/>
  <c r="F96" i="3"/>
  <c r="B98" i="3"/>
  <c r="C97" i="3"/>
  <c r="D97" i="3" l="1"/>
  <c r="E97" i="3"/>
  <c r="F97" i="3"/>
  <c r="B99" i="3"/>
  <c r="C98" i="3"/>
  <c r="D98" i="3" l="1"/>
  <c r="E98" i="3"/>
  <c r="F98" i="3"/>
  <c r="B100" i="3"/>
  <c r="C99" i="3"/>
  <c r="D99" i="3" l="1"/>
  <c r="F99" i="3"/>
  <c r="E99" i="3"/>
  <c r="B101" i="3"/>
  <c r="C100" i="3"/>
  <c r="D100" i="3" l="1"/>
  <c r="F100" i="3"/>
  <c r="E100" i="3"/>
  <c r="B102" i="3"/>
  <c r="C101" i="3"/>
  <c r="D101" i="3" l="1"/>
  <c r="F101" i="3"/>
  <c r="E101" i="3"/>
  <c r="B103" i="3"/>
  <c r="C102" i="3"/>
  <c r="D102" i="3" l="1"/>
  <c r="E102" i="3"/>
  <c r="F102" i="3"/>
  <c r="B104" i="3"/>
  <c r="C103" i="3"/>
  <c r="D103" i="3" l="1"/>
  <c r="E103" i="3"/>
  <c r="F103" i="3"/>
  <c r="B105" i="3"/>
  <c r="C104" i="3"/>
  <c r="D104" i="3" l="1"/>
  <c r="E104" i="3"/>
  <c r="F104" i="3"/>
  <c r="B106" i="3"/>
  <c r="C105" i="3"/>
  <c r="D105" i="3" l="1"/>
  <c r="E105" i="3"/>
  <c r="F105" i="3"/>
  <c r="B107" i="3"/>
  <c r="C106" i="3"/>
  <c r="D106" i="3" l="1"/>
  <c r="E106" i="3"/>
  <c r="F106" i="3"/>
  <c r="B108" i="3"/>
  <c r="C107" i="3"/>
  <c r="D107" i="3" l="1"/>
  <c r="F107" i="3"/>
  <c r="E107" i="3"/>
  <c r="B109" i="3"/>
  <c r="C108" i="3"/>
  <c r="D108" i="3" l="1"/>
  <c r="F108" i="3"/>
  <c r="E108" i="3"/>
  <c r="B110" i="3"/>
  <c r="C109" i="3"/>
  <c r="D109" i="3" l="1"/>
  <c r="F109" i="3"/>
  <c r="E109" i="3"/>
  <c r="B111" i="3"/>
  <c r="C110" i="3"/>
  <c r="D110" i="3" l="1"/>
  <c r="E110" i="3"/>
  <c r="F110" i="3"/>
  <c r="B112" i="3"/>
  <c r="C111" i="3"/>
  <c r="D111" i="3" l="1"/>
  <c r="E111" i="3"/>
  <c r="F111" i="3"/>
  <c r="B113" i="3"/>
  <c r="C112" i="3"/>
  <c r="D112" i="3" l="1"/>
  <c r="E112" i="3"/>
  <c r="F112" i="3"/>
  <c r="B114" i="3"/>
  <c r="C113" i="3"/>
  <c r="D113" i="3" l="1"/>
  <c r="E113" i="3"/>
  <c r="F113" i="3"/>
  <c r="B115" i="3"/>
  <c r="C114" i="3"/>
  <c r="D114" i="3" l="1"/>
  <c r="E114" i="3"/>
  <c r="F114" i="3"/>
  <c r="B116" i="3"/>
  <c r="C115" i="3"/>
  <c r="D115" i="3" l="1"/>
  <c r="F115" i="3"/>
  <c r="E115" i="3"/>
  <c r="B117" i="3"/>
  <c r="C116" i="3"/>
  <c r="D116" i="3" l="1"/>
  <c r="F116" i="3"/>
  <c r="E116" i="3"/>
  <c r="B118" i="3"/>
  <c r="C117" i="3"/>
  <c r="D117" i="3" l="1"/>
  <c r="F117" i="3"/>
  <c r="E117" i="3"/>
  <c r="B119" i="3"/>
  <c r="C118" i="3"/>
  <c r="D118" i="3" l="1"/>
  <c r="F118" i="3"/>
  <c r="E118" i="3"/>
  <c r="B120" i="3"/>
  <c r="C119" i="3"/>
  <c r="D119" i="3" l="1"/>
  <c r="E119" i="3"/>
  <c r="F119" i="3"/>
  <c r="B121" i="3"/>
  <c r="C120" i="3"/>
  <c r="D120" i="3" l="1"/>
  <c r="E120" i="3"/>
  <c r="F120" i="3"/>
  <c r="B122" i="3"/>
  <c r="C121" i="3"/>
  <c r="D121" i="3" l="1"/>
  <c r="E121" i="3"/>
  <c r="F121" i="3"/>
  <c r="B123" i="3"/>
  <c r="C122" i="3"/>
  <c r="D122" i="3" l="1"/>
  <c r="E122" i="3"/>
  <c r="F122" i="3"/>
  <c r="B124" i="3"/>
  <c r="C123" i="3"/>
  <c r="D123" i="3" l="1"/>
  <c r="F123" i="3"/>
  <c r="E123" i="3"/>
  <c r="B125" i="3"/>
  <c r="C124" i="3"/>
  <c r="D124" i="3" l="1"/>
  <c r="F124" i="3"/>
  <c r="E124" i="3"/>
  <c r="B126" i="3"/>
  <c r="C125" i="3"/>
  <c r="D125" i="3" l="1"/>
  <c r="F125" i="3"/>
  <c r="E125" i="3"/>
  <c r="B127" i="3"/>
  <c r="C126" i="3"/>
  <c r="D126" i="3" l="1"/>
  <c r="F126" i="3"/>
  <c r="E126" i="3"/>
  <c r="B128" i="3"/>
  <c r="C127" i="3"/>
  <c r="D127" i="3" l="1"/>
  <c r="E127" i="3"/>
  <c r="F127" i="3"/>
  <c r="B129" i="3"/>
  <c r="C128" i="3"/>
  <c r="D128" i="3" l="1"/>
  <c r="E128" i="3"/>
  <c r="F128" i="3"/>
  <c r="B130" i="3"/>
  <c r="C129" i="3"/>
  <c r="D129" i="3" l="1"/>
  <c r="E129" i="3"/>
  <c r="F129" i="3"/>
  <c r="B131" i="3"/>
  <c r="C130" i="3"/>
  <c r="D130" i="3" l="1"/>
  <c r="E130" i="3"/>
  <c r="F130" i="3"/>
  <c r="B132" i="3"/>
  <c r="C131" i="3"/>
  <c r="D131" i="3" l="1"/>
  <c r="F131" i="3"/>
  <c r="E131" i="3"/>
  <c r="B133" i="3"/>
  <c r="C132" i="3"/>
  <c r="D132" i="3" l="1"/>
  <c r="F132" i="3"/>
  <c r="E132" i="3"/>
  <c r="B134" i="3"/>
  <c r="C134" i="3" s="1"/>
  <c r="C133" i="3"/>
  <c r="D133" i="3" l="1"/>
  <c r="F133" i="3"/>
  <c r="E133" i="3"/>
  <c r="D134" i="3"/>
  <c r="F134" i="3"/>
  <c r="E134" i="3"/>
  <c r="B14" i="3"/>
  <c r="C14" i="3" s="1"/>
  <c r="F11" i="3" s="1"/>
</calcChain>
</file>

<file path=xl/sharedStrings.xml><?xml version="1.0" encoding="utf-8"?>
<sst xmlns="http://schemas.openxmlformats.org/spreadsheetml/2006/main" count="259" uniqueCount="220">
  <si>
    <t>R</t>
    <phoneticPr fontId="1" type="noConversion"/>
  </si>
  <si>
    <t>T</t>
    <phoneticPr fontId="1" type="noConversion"/>
  </si>
  <si>
    <t>e</t>
    <phoneticPr fontId="1" type="noConversion"/>
  </si>
  <si>
    <t>a</t>
    <phoneticPr fontId="1" type="noConversion"/>
  </si>
  <si>
    <t>b</t>
    <phoneticPr fontId="1" type="noConversion"/>
  </si>
  <si>
    <t>ap</t>
    <phoneticPr fontId="1" type="noConversion"/>
  </si>
  <si>
    <t>pe</t>
    <phoneticPr fontId="1" type="noConversion"/>
  </si>
  <si>
    <t>每日圈数</t>
    <phoneticPr fontId="1" type="noConversion"/>
  </si>
  <si>
    <t>GM</t>
    <phoneticPr fontId="1" type="noConversion"/>
  </si>
  <si>
    <t>地心距r</t>
    <phoneticPr fontId="1" type="noConversion"/>
  </si>
  <si>
    <t>半长轴a</t>
    <phoneticPr fontId="1" type="noConversion"/>
  </si>
  <si>
    <t>速度</t>
    <phoneticPr fontId="1" type="noConversion"/>
  </si>
  <si>
    <t>dV2</t>
    <phoneticPr fontId="1" type="noConversion"/>
  </si>
  <si>
    <t>第一次点火dV1</t>
    <phoneticPr fontId="1" type="noConversion"/>
  </si>
  <si>
    <t>第二次点火dV2</t>
    <phoneticPr fontId="1" type="noConversion"/>
  </si>
  <si>
    <t>V2转移轨道远地点速度</t>
    <phoneticPr fontId="1" type="noConversion"/>
  </si>
  <si>
    <t>V初始圆轨道环绕</t>
    <phoneticPr fontId="1" type="noConversion"/>
  </si>
  <si>
    <t>V目标圆轨道环绕</t>
    <phoneticPr fontId="1" type="noConversion"/>
  </si>
  <si>
    <t>霍曼转移总dV</t>
    <phoneticPr fontId="1" type="noConversion"/>
  </si>
  <si>
    <t>提前角</t>
    <phoneticPr fontId="1" type="noConversion"/>
  </si>
  <si>
    <t>目标行星GM</t>
    <phoneticPr fontId="1" type="noConversion"/>
  </si>
  <si>
    <t>目标行星对日速度</t>
    <phoneticPr fontId="1" type="noConversion"/>
  </si>
  <si>
    <t>近星点</t>
    <phoneticPr fontId="1" type="noConversion"/>
  </si>
  <si>
    <t>双曲轨道偏心率</t>
    <phoneticPr fontId="1" type="noConversion"/>
  </si>
  <si>
    <t>相对行星速度（双曲剩余速度）</t>
    <phoneticPr fontId="1" type="noConversion"/>
  </si>
  <si>
    <t>速度转向角delta（弧度）</t>
    <phoneticPr fontId="1" type="noConversion"/>
  </si>
  <si>
    <t>GM</t>
    <phoneticPr fontId="1" type="noConversion"/>
  </si>
  <si>
    <t>注意！标黄的部分不能修改，里面有公式。建议保存副本再使用</t>
    <phoneticPr fontId="1" type="noConversion"/>
  </si>
  <si>
    <t>地球</t>
    <phoneticPr fontId="1" type="noConversion"/>
  </si>
  <si>
    <t>太阳</t>
    <phoneticPr fontId="1" type="noConversion"/>
  </si>
  <si>
    <t>火星</t>
    <phoneticPr fontId="1" type="noConversion"/>
  </si>
  <si>
    <t>木星</t>
    <phoneticPr fontId="1" type="noConversion"/>
  </si>
  <si>
    <t>常数</t>
    <phoneticPr fontId="1" type="noConversion"/>
  </si>
  <si>
    <t>公转半径</t>
    <phoneticPr fontId="1" type="noConversion"/>
  </si>
  <si>
    <t>r=a*(1-e^2)/(1+e*cos(theta))</t>
    <phoneticPr fontId="1" type="noConversion"/>
  </si>
  <si>
    <t>theta</t>
    <phoneticPr fontId="1" type="noConversion"/>
  </si>
  <si>
    <t>d theta</t>
    <phoneticPr fontId="1" type="noConversion"/>
  </si>
  <si>
    <t>t1</t>
    <phoneticPr fontId="1" type="noConversion"/>
  </si>
  <si>
    <t>t2</t>
    <phoneticPr fontId="1" type="noConversion"/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</si>
  <si>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</si>
  <si>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</si>
  <si>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</si>
  <si>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</si>
  <si>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</si>
  <si>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</si>
  <si>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</si>
  <si>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</si>
  <si>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</si>
  <si>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</si>
  <si>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</si>
  <si>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</si>
  <si>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</si>
  <si>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</si>
  <si>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</si>
  <si>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</si>
  <si>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</si>
  <si>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</si>
  <si>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  <phoneticPr fontId="1" type="noConversion"/>
  </si>
  <si>
    <t>r</t>
    <phoneticPr fontId="1" type="noConversion"/>
  </si>
  <si>
    <t>dA</t>
    <phoneticPr fontId="1" type="noConversion"/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</si>
  <si>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</si>
  <si>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</si>
  <si>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</si>
  <si>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</si>
  <si>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</si>
  <si>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</si>
  <si>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</si>
  <si>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</si>
  <si>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</si>
  <si>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</si>
  <si>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</si>
  <si>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</si>
  <si>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</si>
  <si>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</si>
  <si>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</si>
  <si>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</si>
  <si>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</si>
  <si>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</si>
  <si>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</si>
  <si>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</si>
  <si>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</si>
  <si>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</si>
  <si>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</si>
  <si>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</si>
  <si>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</si>
  <si>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</si>
  <si>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</si>
  <si>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</si>
  <si>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</si>
  <si>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</si>
  <si>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</si>
  <si>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</si>
  <si>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</si>
  <si>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</si>
  <si>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</si>
  <si>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</si>
  <si>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</si>
  <si>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</si>
  <si>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</si>
  <si>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</si>
  <si>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</si>
  <si>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</si>
  <si>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</si>
  <si>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</si>
  <si>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</si>
  <si>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</si>
  <si>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</si>
  <si>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</si>
  <si>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</si>
  <si>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</si>
  <si>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</si>
  <si>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</si>
  <si>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</si>
  <si>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</si>
  <si>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</si>
  <si>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</si>
  <si>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</si>
  <si>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</si>
  <si>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</si>
  <si>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</si>
  <si>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</si>
  <si>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</si>
  <si>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</si>
  <si>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</si>
  <si>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</si>
  <si>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</si>
  <si>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</si>
  <si>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</si>
  <si>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</si>
  <si>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</si>
  <si>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</si>
  <si>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</si>
  <si>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</si>
  <si>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</si>
  <si>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</si>
  <si>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</si>
  <si>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</si>
  <si>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</si>
  <si>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</si>
  <si>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</si>
  <si>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转移轨道rp</t>
    <phoneticPr fontId="1" type="noConversion"/>
  </si>
  <si>
    <t>转移轨道e</t>
    <phoneticPr fontId="1" type="noConversion"/>
  </si>
  <si>
    <t>转移轨道a</t>
    <phoneticPr fontId="1" type="noConversion"/>
  </si>
  <si>
    <t>转移轨道b</t>
    <phoneticPr fontId="1" type="noConversion"/>
  </si>
  <si>
    <t>转移轨道f</t>
    <phoneticPr fontId="1" type="noConversion"/>
  </si>
  <si>
    <t>快速转移初速度</t>
    <phoneticPr fontId="1" type="noConversion"/>
  </si>
  <si>
    <t>霍曼转移初速度</t>
    <phoneticPr fontId="1" type="noConversion"/>
  </si>
  <si>
    <t>到达目标对日速度</t>
    <phoneticPr fontId="1" type="noConversion"/>
  </si>
  <si>
    <t>到达目标x坐标</t>
    <phoneticPr fontId="1" type="noConversion"/>
  </si>
  <si>
    <t>到达目标y坐标</t>
    <phoneticPr fontId="1" type="noConversion"/>
  </si>
  <si>
    <t>原理：已知轨道两点的theta1,theta2坐标，算转移时间。原点是焦点</t>
    <phoneticPr fontId="1" type="noConversion"/>
  </si>
  <si>
    <t>转移轨道椭圆面积</t>
    <phoneticPr fontId="1" type="noConversion"/>
  </si>
  <si>
    <t>转移轨道完整周期 day</t>
    <phoneticPr fontId="1" type="noConversion"/>
  </si>
  <si>
    <t>转移段扫过扇形面积</t>
    <phoneticPr fontId="1" type="noConversion"/>
  </si>
  <si>
    <t>01 椭圆轨道基本公式</t>
    <phoneticPr fontId="1" type="noConversion"/>
  </si>
  <si>
    <t>已知r和a，求v</t>
    <phoneticPr fontId="1" type="noConversion"/>
  </si>
  <si>
    <t>已知v和r，求a</t>
    <phoneticPr fontId="1" type="noConversion"/>
  </si>
  <si>
    <t>周期 秒</t>
    <phoneticPr fontId="1" type="noConversion"/>
  </si>
  <si>
    <t>02 绕地轨道霍曼转移</t>
    <phoneticPr fontId="1" type="noConversion"/>
  </si>
  <si>
    <t>dV1</t>
    <phoneticPr fontId="1" type="noConversion"/>
  </si>
  <si>
    <t>目标轨道半径</t>
    <phoneticPr fontId="1" type="noConversion"/>
  </si>
  <si>
    <t>初始轨道半径</t>
    <phoneticPr fontId="1" type="noConversion"/>
  </si>
  <si>
    <t>第一次点火相对目标的提前角</t>
    <phoneticPr fontId="1" type="noConversion"/>
  </si>
  <si>
    <t>转移时间 秒</t>
    <phoneticPr fontId="1" type="noConversion"/>
  </si>
  <si>
    <t>转移时间 小时</t>
    <phoneticPr fontId="1" type="noConversion"/>
  </si>
  <si>
    <t>V1转移轨道近地点速度</t>
    <phoneticPr fontId="1" type="noConversion"/>
  </si>
  <si>
    <t>交会窗口</t>
    <phoneticPr fontId="1" type="noConversion"/>
  </si>
  <si>
    <t>行星公转轨道出发霍曼转移</t>
    <phoneticPr fontId="1" type="noConversion"/>
  </si>
  <si>
    <t>公转轨道出发dV1</t>
    <phoneticPr fontId="1" type="noConversion"/>
  </si>
  <si>
    <t>V1转移轨道对日速度</t>
    <phoneticPr fontId="1" type="noConversion"/>
  </si>
  <si>
    <t>出发行星对日速度</t>
    <phoneticPr fontId="1" type="noConversion"/>
  </si>
  <si>
    <t>先逃逸进入公转轨道，再加速至转移轨道，总dV</t>
    <phoneticPr fontId="1" type="noConversion"/>
  </si>
  <si>
    <t>出发行星</t>
    <phoneticPr fontId="1" type="noConversion"/>
  </si>
  <si>
    <t>出发行星半径</t>
    <phoneticPr fontId="1" type="noConversion"/>
  </si>
  <si>
    <t>出发行星公转轨道半径</t>
    <phoneticPr fontId="1" type="noConversion"/>
  </si>
  <si>
    <t>出发行星GM</t>
    <phoneticPr fontId="1" type="noConversion"/>
  </si>
  <si>
    <t>目标行星</t>
    <phoneticPr fontId="1" type="noConversion"/>
  </si>
  <si>
    <t>目标行星GM</t>
    <phoneticPr fontId="1" type="noConversion"/>
  </si>
  <si>
    <t>目标行星半径</t>
    <phoneticPr fontId="1" type="noConversion"/>
  </si>
  <si>
    <t>目标行星公转轨道半径</t>
    <phoneticPr fontId="1" type="noConversion"/>
  </si>
  <si>
    <t>地球</t>
    <phoneticPr fontId="1" type="noConversion"/>
  </si>
  <si>
    <t>火星</t>
    <phoneticPr fontId="1" type="noConversion"/>
  </si>
  <si>
    <t>行星表面出发dV1</t>
    <phoneticPr fontId="1" type="noConversion"/>
  </si>
  <si>
    <t>行星停泊轨道出发dV1</t>
    <phoneticPr fontId="1" type="noConversion"/>
  </si>
  <si>
    <t>目标行星对日速度</t>
    <phoneticPr fontId="1" type="noConversion"/>
  </si>
  <si>
    <t>太阳GM</t>
    <phoneticPr fontId="1" type="noConversion"/>
  </si>
  <si>
    <t>目标行星捕获制动</t>
    <phoneticPr fontId="1" type="noConversion"/>
  </si>
  <si>
    <t>行星近地轨道出发霍曼转移</t>
    <phoneticPr fontId="1" type="noConversion"/>
  </si>
  <si>
    <t>捕获所需dV</t>
    <phoneticPr fontId="1" type="noConversion"/>
  </si>
  <si>
    <t>减速至圆轨所需dV</t>
    <phoneticPr fontId="1" type="noConversion"/>
  </si>
  <si>
    <t>近拱点速度</t>
    <phoneticPr fontId="1" type="noConversion"/>
  </si>
  <si>
    <t>近拱点逃逸速度</t>
    <phoneticPr fontId="1" type="noConversion"/>
  </si>
  <si>
    <t>转移轨道设置</t>
    <phoneticPr fontId="1" type="noConversion"/>
  </si>
  <si>
    <t>轨道交会点</t>
    <phoneticPr fontId="1" type="noConversion"/>
  </si>
  <si>
    <t>公转轨道出发dV</t>
    <phoneticPr fontId="1" type="noConversion"/>
  </si>
  <si>
    <t>到达时相对速度</t>
    <phoneticPr fontId="1" type="noConversion"/>
  </si>
  <si>
    <t>到达时速度矢量与x轴夹角rad</t>
    <phoneticPr fontId="1" type="noConversion"/>
  </si>
  <si>
    <t>到达时目标速度矢量与x夹角rad</t>
    <phoneticPr fontId="1" type="noConversion"/>
  </si>
  <si>
    <t>飞行器和目标角度差rad</t>
    <phoneticPr fontId="1" type="noConversion"/>
  </si>
  <si>
    <t>转移时间 天</t>
    <phoneticPr fontId="1" type="noConversion"/>
  </si>
  <si>
    <t>到达时速度矢量与x轴夹角deg</t>
    <phoneticPr fontId="1" type="noConversion"/>
  </si>
  <si>
    <t>到达时目标速度矢量与x夹角deg</t>
    <phoneticPr fontId="1" type="noConversion"/>
  </si>
  <si>
    <t>飞行器和目标角度差deg</t>
    <phoneticPr fontId="1" type="noConversion"/>
  </si>
  <si>
    <t>到达时速度与目标轨道的夹角</t>
    <phoneticPr fontId="1" type="noConversion"/>
  </si>
  <si>
    <t>进入目标天体影响球的速度</t>
    <phoneticPr fontId="1" type="noConversion"/>
  </si>
  <si>
    <t>theta（交会点到日心连线与长轴的夹角）rad</t>
    <phoneticPr fontId="1" type="noConversion"/>
  </si>
  <si>
    <t>theta（交会点到日心连线与长轴的夹角）deg</t>
    <phoneticPr fontId="1" type="noConversion"/>
  </si>
  <si>
    <t>转移轨道ra（自己定）</t>
    <phoneticPr fontId="1" type="noConversion"/>
  </si>
  <si>
    <t>x</t>
    <phoneticPr fontId="1" type="noConversion"/>
  </si>
  <si>
    <t>y</t>
    <phoneticPr fontId="1" type="noConversion"/>
  </si>
  <si>
    <t>停泊圆轨道高度（自己定）</t>
    <phoneticPr fontId="1" type="noConversion"/>
  </si>
  <si>
    <t>快速转移所需额外初速度</t>
    <phoneticPr fontId="1" type="noConversion"/>
  </si>
  <si>
    <t>近拱点环绕速度</t>
    <phoneticPr fontId="1" type="noConversion"/>
  </si>
  <si>
    <t>积分计算（勿动）</t>
    <phoneticPr fontId="1" type="noConversion"/>
  </si>
  <si>
    <t>合计dV（从近地停泊轨道出发到捕获）</t>
    <phoneticPr fontId="1" type="noConversion"/>
  </si>
  <si>
    <t>合计dV（从近地停泊轨道出发到目标星圆轨）</t>
    <phoneticPr fontId="1" type="noConversion"/>
  </si>
  <si>
    <t>提前角</t>
    <phoneticPr fontId="1" type="noConversion"/>
  </si>
  <si>
    <t>制动高度（对地面，自己定）</t>
    <phoneticPr fontId="1" type="noConversion"/>
  </si>
  <si>
    <t>速度转向角delta(deg)</t>
    <phoneticPr fontId="1" type="noConversion"/>
  </si>
  <si>
    <t>引力弹弓速度偏转角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</si>
</sst>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/>
    <xf numFmtId="0" fontId="2" fillId="0" borderId="0" xfId="0" applyFont="1" applyAlignment="1"/>
    <xf numFmtId="0" fontId="0" fillId="5" borderId="0" xfId="0" applyFill="1"/>
    <xf numFmtId="0" fontId="0" fillId="0" borderId="0" xfId="0" applyAlignment="1">
      <alignment horizontal="center"/>
    </xf>
    <xf numFmtId="0" fontId="3" fillId="0" borderId="0" xfId="0" applyFont="1" applyAlignment="1"/>
    <xf numFmtId="0" fontId="0" fillId="6" borderId="0" xfId="0" applyFill="1"/>
    <xf numFmtId="0" fontId="0" fillId="3" borderId="0" xfId="0" applyFill="1" applyAlignment="1">
      <alignment horizontal="center"/>
    </xf>
    <xf numFmtId="0" fontId="3" fillId="5" borderId="0" xfId="0" applyFont="1" applyFill="1" applyAlignment="1"/>
    <xf numFmtId="0" fontId="0" fillId="5" borderId="0" xfId="0" applyFill="1" applyAlignment="1"/>
    <xf numFmtId="0" fontId="3" fillId="2" borderId="0" xfId="0" applyFont="1" applyFill="1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已知周期和e算ap!$D$1</c:f>
              <c:strCache>
                <c:ptCount val="1"/>
                <c:pt idx="0">
                  <c:v>e</c:v>
                </c:pt>
              </c:strCache>
            </c:strRef>
          </c:tx>
          <c:xVal>
            <c:numRef>
              <c:f>已知周期和e算ap!#REF!</c:f>
            </c:numRef>
          </c:xVal>
          <c:yVal>
            <c:numRef>
              <c:f>已知周期和e算ap!$D$2:$D$16</c:f>
              <c:numCache>
                <c:formatCode>General</c:formatCode>
                <c:ptCount val="15"/>
                <c:pt idx="0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387136"/>
        <c:axId val="173388928"/>
      </c:scatterChart>
      <c:valAx>
        <c:axId val="173387136"/>
        <c:scaling>
          <c:orientation val="minMax"/>
        </c:scaling>
        <c:delete val="0"/>
        <c:axPos val="b"/>
        <c:numFmt formatCode="yyyy/m/d\ h:mm;@" sourceLinked="1"/>
        <c:majorTickMark val="out"/>
        <c:minorTickMark val="none"/>
        <c:tickLblPos val="nextTo"/>
        <c:crossAx val="173388928"/>
        <c:crosses val="autoZero"/>
        <c:crossBetween val="midCat"/>
      </c:valAx>
      <c:valAx>
        <c:axId val="17338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387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已知周期和e算ap!$J$1</c:f>
              <c:strCache>
                <c:ptCount val="1"/>
              </c:strCache>
            </c:strRef>
          </c:tx>
          <c:xVal>
            <c:numRef>
              <c:f>已知周期和e算ap!#REF!</c:f>
            </c:numRef>
          </c:xVal>
          <c:yVal>
            <c:numRef>
              <c:f>已知周期和e算ap!$J$2:$J$16</c:f>
              <c:numCache>
                <c:formatCode>General</c:formatCode>
                <c:ptCount val="15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13120"/>
        <c:axId val="173414656"/>
      </c:scatterChart>
      <c:valAx>
        <c:axId val="173413120"/>
        <c:scaling>
          <c:orientation val="minMax"/>
        </c:scaling>
        <c:delete val="0"/>
        <c:axPos val="b"/>
        <c:numFmt formatCode="yyyy/m/d\ h:mm;@" sourceLinked="1"/>
        <c:majorTickMark val="out"/>
        <c:minorTickMark val="none"/>
        <c:tickLblPos val="nextTo"/>
        <c:crossAx val="173414656"/>
        <c:crosses val="autoZero"/>
        <c:crossBetween val="midCat"/>
      </c:valAx>
      <c:valAx>
        <c:axId val="173414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131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已知周期和e算ap!$C$1</c:f>
              <c:strCache>
                <c:ptCount val="1"/>
                <c:pt idx="0">
                  <c:v>T</c:v>
                </c:pt>
              </c:strCache>
            </c:strRef>
          </c:tx>
          <c:xVal>
            <c:numRef>
              <c:f>已知周期和e算ap!#REF!</c:f>
            </c:numRef>
          </c:xVal>
          <c:yVal>
            <c:numRef>
              <c:f>已知周期和e算ap!$C$2:$C$16</c:f>
              <c:numCache>
                <c:formatCode>General</c:formatCode>
                <c:ptCount val="15"/>
                <c:pt idx="0">
                  <c:v>86400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35136"/>
        <c:axId val="173441024"/>
      </c:scatterChart>
      <c:valAx>
        <c:axId val="173435136"/>
        <c:scaling>
          <c:orientation val="minMax"/>
        </c:scaling>
        <c:delete val="0"/>
        <c:axPos val="b"/>
        <c:numFmt formatCode="yyyy/m/d\ h:mm;@" sourceLinked="1"/>
        <c:majorTickMark val="out"/>
        <c:minorTickMark val="none"/>
        <c:tickLblPos val="nextTo"/>
        <c:crossAx val="173441024"/>
        <c:crosses val="autoZero"/>
        <c:crossBetween val="midCat"/>
      </c:valAx>
      <c:valAx>
        <c:axId val="173441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4351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已知周期和e算ap!$E$1</c:f>
              <c:strCache>
                <c:ptCount val="1"/>
                <c:pt idx="0">
                  <c:v>R</c:v>
                </c:pt>
              </c:strCache>
            </c:strRef>
          </c:tx>
          <c:xVal>
            <c:numRef>
              <c:f>已知周期和e算ap!#REF!</c:f>
            </c:numRef>
          </c:xVal>
          <c:yVal>
            <c:numRef>
              <c:f>已知周期和e算ap!$E$2:$E$16</c:f>
              <c:numCache>
                <c:formatCode>General</c:formatCode>
                <c:ptCount val="15"/>
                <c:pt idx="0">
                  <c:v>42215118.243091524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79296"/>
        <c:axId val="212280832"/>
      </c:scatterChart>
      <c:valAx>
        <c:axId val="212279296"/>
        <c:scaling>
          <c:orientation val="minMax"/>
        </c:scaling>
        <c:delete val="0"/>
        <c:axPos val="b"/>
        <c:numFmt formatCode="yyyy/m/d\ h:mm;@" sourceLinked="1"/>
        <c:majorTickMark val="out"/>
        <c:minorTickMark val="none"/>
        <c:tickLblPos val="nextTo"/>
        <c:crossAx val="212280832"/>
        <c:crosses val="autoZero"/>
        <c:crossBetween val="midCat"/>
      </c:valAx>
      <c:valAx>
        <c:axId val="21228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79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已知周期和e算ap!$L$1</c:f>
              <c:strCache>
                <c:ptCount val="1"/>
              </c:strCache>
            </c:strRef>
          </c:tx>
          <c:yVal>
            <c:numRef>
              <c:f>已知周期和e算ap!$L$2:$L$15</c:f>
              <c:numCache>
                <c:formatCode>General</c:formatCode>
                <c:ptCount val="14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90560"/>
        <c:axId val="212300544"/>
      </c:scatterChart>
      <c:valAx>
        <c:axId val="21229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300544"/>
        <c:crosses val="autoZero"/>
        <c:crossBetween val="midCat"/>
      </c:valAx>
      <c:valAx>
        <c:axId val="21230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90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转移轨道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'快速转移轨道计算（行星际）'!$F$33</c:f>
              <c:strCache>
                <c:ptCount val="1"/>
                <c:pt idx="0">
                  <c:v>y</c:v>
                </c:pt>
              </c:strCache>
            </c:strRef>
          </c:tx>
          <c:xVal>
            <c:numRef>
              <c:f>'快速转移轨道计算（行星际）'!$E$34:$E$134</c:f>
              <c:numCache>
                <c:formatCode>General</c:formatCode>
                <c:ptCount val="101"/>
                <c:pt idx="0">
                  <c:v>195000000000</c:v>
                </c:pt>
                <c:pt idx="1">
                  <c:v>194960678398.707</c:v>
                </c:pt>
                <c:pt idx="2">
                  <c:v>194842710427.18951</c:v>
                </c:pt>
                <c:pt idx="3">
                  <c:v>194646086606.46445</c:v>
                </c:pt>
                <c:pt idx="4">
                  <c:v>194370791218.05566</c:v>
                </c:pt>
                <c:pt idx="5">
                  <c:v>194016802423.92355</c:v>
                </c:pt>
                <c:pt idx="6">
                  <c:v>193584092434.7413</c:v>
                </c:pt>
                <c:pt idx="7">
                  <c:v>193072627726.88834</c:v>
                </c:pt>
                <c:pt idx="8">
                  <c:v>192482369308.64175</c:v>
                </c:pt>
                <c:pt idx="9">
                  <c:v>191813273036.14679</c:v>
                </c:pt>
                <c:pt idx="10">
                  <c:v>191065289979.85382</c:v>
                </c:pt>
                <c:pt idx="11">
                  <c:v>190238366842.21133</c:v>
                </c:pt>
                <c:pt idx="12">
                  <c:v>189332446427.50391</c:v>
                </c:pt>
                <c:pt idx="13">
                  <c:v>188347468164.82504</c:v>
                </c:pt>
                <c:pt idx="14">
                  <c:v>187283368685.27078</c:v>
                </c:pt>
                <c:pt idx="15">
                  <c:v>186140082454.53488</c:v>
                </c:pt>
                <c:pt idx="16">
                  <c:v>184917542462.17819</c:v>
                </c:pt>
                <c:pt idx="17">
                  <c:v>183615680968.93387</c:v>
                </c:pt>
                <c:pt idx="18">
                  <c:v>182234430313.49396</c:v>
                </c:pt>
                <c:pt idx="19">
                  <c:v>180773723780.30603</c:v>
                </c:pt>
                <c:pt idx="20">
                  <c:v>179233496529.98114</c:v>
                </c:pt>
                <c:pt idx="21">
                  <c:v>177613686593.98969</c:v>
                </c:pt>
                <c:pt idx="22">
                  <c:v>175914235935.38153</c:v>
                </c:pt>
                <c:pt idx="23">
                  <c:v>174135091577.33023</c:v>
                </c:pt>
                <c:pt idx="24">
                  <c:v>172276206801.34662</c:v>
                </c:pt>
                <c:pt idx="25">
                  <c:v>170337542417.05338</c:v>
                </c:pt>
                <c:pt idx="26">
                  <c:v>168319068105.44232</c:v>
                </c:pt>
                <c:pt idx="27">
                  <c:v>166220763837.56018</c:v>
                </c:pt>
                <c:pt idx="28">
                  <c:v>164042621370.5787</c:v>
                </c:pt>
                <c:pt idx="29">
                  <c:v>161784645823.2038</c:v>
                </c:pt>
                <c:pt idx="30">
                  <c:v>159446857332.3623</c:v>
                </c:pt>
                <c:pt idx="31">
                  <c:v>157029292793.07495</c:v>
                </c:pt>
                <c:pt idx="32">
                  <c:v>154532007683.37421</c:v>
                </c:pt>
                <c:pt idx="33">
                  <c:v>151955077976.06244</c:v>
                </c:pt>
                <c:pt idx="34">
                  <c:v>149298602139.01721</c:v>
                </c:pt>
                <c:pt idx="35">
                  <c:v>146562703225.64362</c:v>
                </c:pt>
                <c:pt idx="36">
                  <c:v>143747531056.94159</c:v>
                </c:pt>
                <c:pt idx="37">
                  <c:v>140853264496.50006</c:v>
                </c:pt>
                <c:pt idx="38">
                  <c:v>137880113819.54333</c:v>
                </c:pt>
                <c:pt idx="39">
                  <c:v>134828323176.94237</c:v>
                </c:pt>
                <c:pt idx="40">
                  <c:v>131698173154.85696</c:v>
                </c:pt>
                <c:pt idx="41">
                  <c:v>128489983430.39409</c:v>
                </c:pt>
                <c:pt idx="42">
                  <c:v>125204115523.35249</c:v>
                </c:pt>
                <c:pt idx="43">
                  <c:v>121840975643.76724</c:v>
                </c:pt>
                <c:pt idx="44">
                  <c:v>118401017634.57314</c:v>
                </c:pt>
                <c:pt idx="45">
                  <c:v>114884746008.26587</c:v>
                </c:pt>
                <c:pt idx="46">
                  <c:v>111292719075.9557</c:v>
                </c:pt>
                <c:pt idx="47">
                  <c:v>107625552166.67612</c:v>
                </c:pt>
                <c:pt idx="48">
                  <c:v>103883920934.22719</c:v>
                </c:pt>
                <c:pt idx="49">
                  <c:v>100068564748.20023</c:v>
                </c:pt>
                <c:pt idx="50">
                  <c:v>96180290165.142242</c:v>
                </c:pt>
                <c:pt idx="51">
                  <c:v>92219974475.075897</c:v>
                </c:pt>
                <c:pt idx="52">
                  <c:v>88188569317.79126</c:v>
                </c:pt>
                <c:pt idx="53">
                  <c:v>84087104362.468964</c:v>
                </c:pt>
                <c:pt idx="54">
                  <c:v>79916691043.278946</c:v>
                </c:pt>
                <c:pt idx="55">
                  <c:v>75678526342.625031</c:v>
                </c:pt>
                <c:pt idx="56">
                  <c:v>71373896612.674316</c:v>
                </c:pt>
                <c:pt idx="57">
                  <c:v>67004181424.721313</c:v>
                </c:pt>
                <c:pt idx="58">
                  <c:v>62570857434.791901</c:v>
                </c:pt>
                <c:pt idx="59">
                  <c:v>58075502252.695137</c:v>
                </c:pt>
                <c:pt idx="60">
                  <c:v>53519798300.482246</c:v>
                </c:pt>
                <c:pt idx="61">
                  <c:v>48905536644.979034</c:v>
                </c:pt>
                <c:pt idx="62">
                  <c:v>44234620787.722809</c:v>
                </c:pt>
                <c:pt idx="63">
                  <c:v>39509070394.265869</c:v>
                </c:pt>
                <c:pt idx="64">
                  <c:v>34731024943.410736</c:v>
                </c:pt>
                <c:pt idx="65">
                  <c:v>29902747275.527229</c:v>
                </c:pt>
                <c:pt idx="66">
                  <c:v>25026627017.677643</c:v>
                </c:pt>
                <c:pt idx="67">
                  <c:v>20105183861.855118</c:v>
                </c:pt>
                <c:pt idx="68">
                  <c:v>15141070671.235153</c:v>
                </c:pt>
                <c:pt idx="69">
                  <c:v>10137076387.964714</c:v>
                </c:pt>
                <c:pt idx="70">
                  <c:v>5096128714.6841125</c:v>
                </c:pt>
                <c:pt idx="71">
                  <c:v>21296540.711181641</c:v>
                </c:pt>
                <c:pt idx="72">
                  <c:v>-5084207917.366394</c:v>
                </c:pt>
                <c:pt idx="73">
                  <c:v>-10217027292.025124</c:v>
                </c:pt>
                <c:pt idx="74">
                  <c:v>-15373657590.35601</c:v>
                </c:pt>
                <c:pt idx="75">
                  <c:v>-20550447101.92952</c:v>
                </c:pt>
                <c:pt idx="76">
                  <c:v>-25743595722.707764</c:v>
                </c:pt>
                <c:pt idx="77">
                  <c:v>-30949154729.175522</c:v>
                </c:pt>
                <c:pt idx="78">
                  <c:v>-36163027037.074966</c:v>
                </c:pt>
                <c:pt idx="79">
                  <c:v>-41380967979.093521</c:v>
                </c:pt>
                <c:pt idx="80">
                  <c:v>-46598586635.541672</c:v>
                </c:pt>
                <c:pt idx="81">
                  <c:v>-51811347751.441895</c:v>
                </c:pt>
                <c:pt idx="82">
                  <c:v>-57014574272.5056</c:v>
                </c:pt>
                <c:pt idx="83">
                  <c:v>-62203450531.178207</c:v>
                </c:pt>
                <c:pt idx="84">
                  <c:v>-67373026112.258377</c:v>
                </c:pt>
                <c:pt idx="85">
                  <c:v>-72518220425.527725</c:v>
                </c:pt>
                <c:pt idx="86">
                  <c:v>-77633828010.343842</c:v>
                </c:pt>
                <c:pt idx="87">
                  <c:v>-82714524594.234619</c:v>
                </c:pt>
                <c:pt idx="88">
                  <c:v>-87754873924.18132</c:v>
                </c:pt>
                <c:pt idx="89">
                  <c:v>-92749335385.480011</c:v>
                </c:pt>
                <c:pt idx="90">
                  <c:v>-97692272418.828735</c:v>
                </c:pt>
                <c:pt idx="91">
                  <c:v>-102577961741.60715</c:v>
                </c:pt>
                <c:pt idx="92">
                  <c:v>-107400603374.20703</c:v>
                </c:pt>
                <c:pt idx="93">
                  <c:v>-112154331466.75366</c:v>
                </c:pt>
                <c:pt idx="94">
                  <c:v>-116833225915.66284</c:v>
                </c:pt>
                <c:pt idx="95">
                  <c:v>-121431324753.23135</c:v>
                </c:pt>
                <c:pt idx="96">
                  <c:v>-125942637286.90961</c:v>
                </c:pt>
                <c:pt idx="97">
                  <c:v>-130361157958.1026</c:v>
                </c:pt>
                <c:pt idx="98">
                  <c:v>-134680880883.34503</c:v>
                </c:pt>
                <c:pt idx="99">
                  <c:v>-138895815033.56897</c:v>
                </c:pt>
                <c:pt idx="100">
                  <c:v>-142999999999.99951</c:v>
                </c:pt>
              </c:numCache>
            </c:numRef>
          </c:xVal>
          <c:yVal>
            <c:numRef>
              <c:f>'快速转移轨道计算（行星际）'!$F$34:$F$134</c:f>
              <c:numCache>
                <c:formatCode>General</c:formatCode>
                <c:ptCount val="101"/>
                <c:pt idx="0">
                  <c:v>0</c:v>
                </c:pt>
                <c:pt idx="1">
                  <c:v>3810155015.9881577</c:v>
                </c:pt>
                <c:pt idx="2">
                  <c:v>7619234047.2253704</c:v>
                </c:pt>
                <c:pt idx="3">
                  <c:v>11426159906.731188</c:v>
                </c:pt>
                <c:pt idx="4">
                  <c:v>15229853003.273838</c:v>
                </c:pt>
                <c:pt idx="5">
                  <c:v>19029230139.77142</c:v>
                </c:pt>
                <c:pt idx="6">
                  <c:v>22823203312.347073</c:v>
                </c:pt>
                <c:pt idx="7">
                  <c:v>26610678510.292107</c:v>
                </c:pt>
                <c:pt idx="8">
                  <c:v>30390554517.222527</c:v>
                </c:pt>
                <c:pt idx="9">
                  <c:v>34161721713.753128</c:v>
                </c:pt>
                <c:pt idx="10">
                  <c:v>37923060882.060822</c:v>
                </c:pt>
                <c:pt idx="11">
                  <c:v>41673442012.764175</c:v>
                </c:pt>
                <c:pt idx="12">
                  <c:v>45411723114.609718</c:v>
                </c:pt>
                <c:pt idx="13">
                  <c:v>49136749027.528175</c:v>
                </c:pt>
                <c:pt idx="14">
                  <c:v>52847350239.704971</c:v>
                </c:pt>
                <c:pt idx="15">
                  <c:v>56542341709.399002</c:v>
                </c:pt>
                <c:pt idx="16">
                  <c:v>60220521692.343369</c:v>
                </c:pt>
                <c:pt idx="17">
                  <c:v>63880670575.670593</c:v>
                </c:pt>
                <c:pt idx="18">
                  <c:v>67521549719.422729</c:v>
                </c:pt>
                <c:pt idx="19">
                  <c:v>71141900306.836136</c:v>
                </c:pt>
                <c:pt idx="20">
                  <c:v>74740442204.728256</c:v>
                </c:pt>
                <c:pt idx="21">
                  <c:v>78315872835.464279</c:v>
                </c:pt>
                <c:pt idx="22">
                  <c:v>81866866062.14006</c:v>
                </c:pt>
                <c:pt idx="23">
                  <c:v>85392071088.789993</c:v>
                </c:pt>
                <c:pt idx="24">
                  <c:v>88890111377.610107</c:v>
                </c:pt>
                <c:pt idx="25">
                  <c:v>92359583585.380539</c:v>
                </c:pt>
                <c:pt idx="26">
                  <c:v>95799056521.477188</c:v>
                </c:pt>
                <c:pt idx="27">
                  <c:v>99207070130.079956</c:v>
                </c:pt>
                <c:pt idx="28">
                  <c:v>102582134499.41379</c:v>
                </c:pt>
                <c:pt idx="29">
                  <c:v>105922728901.10089</c:v>
                </c:pt>
                <c:pt idx="30">
                  <c:v>109227300862.95581</c:v>
                </c:pt>
                <c:pt idx="31">
                  <c:v>112494265278.82104</c:v>
                </c:pt>
                <c:pt idx="32">
                  <c:v>115722003559.31798</c:v>
                </c:pt>
                <c:pt idx="33">
                  <c:v>118908862827.67839</c:v>
                </c:pt>
                <c:pt idx="34">
                  <c:v>122053155165.12206</c:v>
                </c:pt>
                <c:pt idx="35">
                  <c:v>125153156910.55792</c:v>
                </c:pt>
                <c:pt idx="36">
                  <c:v>128207108019.70918</c:v>
                </c:pt>
                <c:pt idx="37">
                  <c:v>131213211489.09468</c:v>
                </c:pt>
                <c:pt idx="38">
                  <c:v>134169632850.63998</c:v>
                </c:pt>
                <c:pt idx="39">
                  <c:v>137074499743.04105</c:v>
                </c:pt>
                <c:pt idx="40">
                  <c:v>139925901566.35818</c:v>
                </c:pt>
                <c:pt idx="41">
                  <c:v>142721889226.67999</c:v>
                </c:pt>
                <c:pt idx="42">
                  <c:v>145460474978.0593</c:v>
                </c:pt>
                <c:pt idx="43">
                  <c:v>148139632369.29138</c:v>
                </c:pt>
                <c:pt idx="44">
                  <c:v>150757296303.46704</c:v>
                </c:pt>
                <c:pt idx="45">
                  <c:v>153311363218.59634</c:v>
                </c:pt>
                <c:pt idx="46">
                  <c:v>155799691397.95306</c:v>
                </c:pt>
                <c:pt idx="47">
                  <c:v>158220101419.13763</c:v>
                </c:pt>
                <c:pt idx="48">
                  <c:v>160570376751.18579</c:v>
                </c:pt>
                <c:pt idx="49">
                  <c:v>162848264509.37039</c:v>
                </c:pt>
                <c:pt idx="50">
                  <c:v>165051476377.63486</c:v>
                </c:pt>
                <c:pt idx="51">
                  <c:v>167177689708.86685</c:v>
                </c:pt>
                <c:pt idx="52">
                  <c:v>169224548813.4574</c:v>
                </c:pt>
                <c:pt idx="53">
                  <c:v>171189666446.79099</c:v>
                </c:pt>
                <c:pt idx="54">
                  <c:v>173070625506.46939</c:v>
                </c:pt>
                <c:pt idx="55">
                  <c:v>174864980950.17874</c:v>
                </c:pt>
                <c:pt idx="56">
                  <c:v>176570261945.16159</c:v>
                </c:pt>
                <c:pt idx="57">
                  <c:v>178183974260.24167</c:v>
                </c:pt>
                <c:pt idx="58">
                  <c:v>179703602911.26575</c:v>
                </c:pt>
                <c:pt idx="59">
                  <c:v>181126615070.66248</c:v>
                </c:pt>
                <c:pt idx="60">
                  <c:v>182450463251.56516</c:v>
                </c:pt>
                <c:pt idx="61">
                  <c:v>183672588776.5983</c:v>
                </c:pt>
                <c:pt idx="62">
                  <c:v>184790425540.97095</c:v>
                </c:pt>
                <c:pt idx="63">
                  <c:v>185801404078.95139</c:v>
                </c:pt>
                <c:pt idx="64">
                  <c:v>186702955942.10529</c:v>
                </c:pt>
                <c:pt idx="65">
                  <c:v>187492518396.85178</c:v>
                </c:pt>
                <c:pt idx="66">
                  <c:v>188167539447.92633</c:v>
                </c:pt>
                <c:pt idx="67">
                  <c:v>188725483193.22049</c:v>
                </c:pt>
                <c:pt idx="68">
                  <c:v>189163835514.19479</c:v>
                </c:pt>
                <c:pt idx="69">
                  <c:v>189480110104.61957</c:v>
                </c:pt>
                <c:pt idx="70">
                  <c:v>189671854838.78894</c:v>
                </c:pt>
                <c:pt idx="71">
                  <c:v>189736658478.5621</c:v>
                </c:pt>
                <c:pt idx="72">
                  <c:v>189672157716.62051</c:v>
                </c:pt>
                <c:pt idx="73">
                  <c:v>189476044551.17496</c:v>
                </c:pt>
                <c:pt idx="74">
                  <c:v>189146073985.02206</c:v>
                </c:pt>
                <c:pt idx="75">
                  <c:v>188680072039.33231</c:v>
                </c:pt>
                <c:pt idx="76">
                  <c:v>188075944069.85287</c:v>
                </c:pt>
                <c:pt idx="77">
                  <c:v>187331683370.34296</c:v>
                </c:pt>
                <c:pt idx="78">
                  <c:v>186445380045.02359</c:v>
                </c:pt>
                <c:pt idx="79">
                  <c:v>185415230128.64264</c:v>
                </c:pt>
                <c:pt idx="80">
                  <c:v>184239544929.43646</c:v>
                </c:pt>
                <c:pt idx="81">
                  <c:v>182916760566.83353</c:v>
                </c:pt>
                <c:pt idx="82">
                  <c:v>181445447672.21457</c:v>
                </c:pt>
                <c:pt idx="83">
                  <c:v>179824321217.44882</c:v>
                </c:pt>
                <c:pt idx="84">
                  <c:v>178052250432.28699</c:v>
                </c:pt>
                <c:pt idx="85">
                  <c:v>176128268768.05646</c:v>
                </c:pt>
                <c:pt idx="86">
                  <c:v>174051583861.49835</c:v>
                </c:pt>
                <c:pt idx="87">
                  <c:v>171821587449.05884</c:v>
                </c:pt>
                <c:pt idx="88">
                  <c:v>169437865178.54071</c:v>
                </c:pt>
                <c:pt idx="89">
                  <c:v>166900206261.78537</c:v>
                </c:pt>
                <c:pt idx="90">
                  <c:v>164208612909.03836</c:v>
                </c:pt>
                <c:pt idx="91">
                  <c:v>161363309482.91187</c:v>
                </c:pt>
                <c:pt idx="92">
                  <c:v>158364751307.44421</c:v>
                </c:pt>
                <c:pt idx="93">
                  <c:v>155213633065.73053</c:v>
                </c:pt>
                <c:pt idx="94">
                  <c:v>151910896718.01263</c:v>
                </c:pt>
                <c:pt idx="95">
                  <c:v>148457738871.02847</c:v>
                </c:pt>
                <c:pt idx="96">
                  <c:v>144855617528.88211</c:v>
                </c:pt>
                <c:pt idx="97">
                  <c:v>141106258155.75879</c:v>
                </c:pt>
                <c:pt idx="98">
                  <c:v>137211658981.51782</c:v>
                </c:pt>
                <c:pt idx="99">
                  <c:v>133174095482.59624</c:v>
                </c:pt>
                <c:pt idx="100">
                  <c:v>128996123972.77731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83488"/>
        <c:axId val="197089152"/>
      </c:scatterChart>
      <c:valAx>
        <c:axId val="50383488"/>
        <c:scaling>
          <c:orientation val="minMax"/>
          <c:max val="1000000000000"/>
          <c:min val="-1000000000000"/>
        </c:scaling>
        <c:delete val="0"/>
        <c:axPos val="b"/>
        <c:numFmt formatCode="General" sourceLinked="1"/>
        <c:majorTickMark val="out"/>
        <c:minorTickMark val="none"/>
        <c:tickLblPos val="nextTo"/>
        <c:crossAx val="197089152"/>
        <c:crosses val="autoZero"/>
        <c:crossBetween val="midCat"/>
      </c:valAx>
      <c:valAx>
        <c:axId val="197089152"/>
        <c:scaling>
          <c:orientation val="minMax"/>
          <c:max val="1000000000000"/>
          <c:min val="-10000000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83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95413</xdr:rowOff>
    </xdr:from>
    <xdr:to>
      <xdr:col>3</xdr:col>
      <xdr:colOff>3338</xdr:colOff>
      <xdr:row>76</xdr:row>
      <xdr:rowOff>172915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733262</xdr:colOff>
      <xdr:row>61</xdr:row>
      <xdr:rowOff>165914</xdr:rowOff>
    </xdr:from>
    <xdr:to>
      <xdr:col>10</xdr:col>
      <xdr:colOff>287785</xdr:colOff>
      <xdr:row>77</xdr:row>
      <xdr:rowOff>64314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66</xdr:row>
      <xdr:rowOff>100460</xdr:rowOff>
    </xdr:from>
    <xdr:to>
      <xdr:col>3</xdr:col>
      <xdr:colOff>175277</xdr:colOff>
      <xdr:row>81</xdr:row>
      <xdr:rowOff>176660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442303</xdr:colOff>
      <xdr:row>64</xdr:row>
      <xdr:rowOff>170147</xdr:rowOff>
    </xdr:from>
    <xdr:to>
      <xdr:col>9</xdr:col>
      <xdr:colOff>607403</xdr:colOff>
      <xdr:row>80</xdr:row>
      <xdr:rowOff>67245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53974</xdr:colOff>
      <xdr:row>65</xdr:row>
      <xdr:rowOff>60080</xdr:rowOff>
    </xdr:from>
    <xdr:to>
      <xdr:col>17</xdr:col>
      <xdr:colOff>359751</xdr:colOff>
      <xdr:row>80</xdr:row>
      <xdr:rowOff>137583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730250</xdr:colOff>
      <xdr:row>34</xdr:row>
      <xdr:rowOff>57150</xdr:rowOff>
    </xdr:from>
    <xdr:to>
      <xdr:col>3</xdr:col>
      <xdr:colOff>1416050</xdr:colOff>
      <xdr:row>54</xdr:row>
      <xdr:rowOff>101150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4" sqref="F4"/>
    </sheetView>
  </sheetViews>
  <sheetFormatPr defaultRowHeight="14" x14ac:dyDescent="0.25"/>
  <sheetData>
    <row r="1" spans="1:5" x14ac:dyDescent="0.25">
      <c r="A1" s="5"/>
      <c r="B1" s="6"/>
      <c r="C1" s="5"/>
      <c r="D1" s="5"/>
      <c r="E1" s="5"/>
    </row>
    <row r="2" spans="1:5" x14ac:dyDescent="0.25">
      <c r="A2" s="5"/>
      <c r="B2" s="6"/>
      <c r="C2" s="5"/>
      <c r="D2" s="5"/>
      <c r="E2" s="5"/>
    </row>
    <row r="3" spans="1:5" x14ac:dyDescent="0.25">
      <c r="A3" s="8" t="s">
        <v>32</v>
      </c>
      <c r="B3" s="8"/>
      <c r="C3" s="8"/>
      <c r="D3" s="8"/>
      <c r="E3" s="8"/>
    </row>
    <row r="4" spans="1:5" x14ac:dyDescent="0.25">
      <c r="A4" s="7"/>
      <c r="B4" s="7" t="s">
        <v>28</v>
      </c>
      <c r="C4" s="7" t="s">
        <v>29</v>
      </c>
      <c r="D4" s="7" t="s">
        <v>30</v>
      </c>
      <c r="E4" s="7" t="s">
        <v>31</v>
      </c>
    </row>
    <row r="5" spans="1:5" x14ac:dyDescent="0.25">
      <c r="A5" s="7" t="s">
        <v>8</v>
      </c>
      <c r="B5" s="7">
        <f>5.965*10^24*6.67*10^(-11)</f>
        <v>397865499999999.94</v>
      </c>
      <c r="C5" s="7">
        <f>1.33*10^20</f>
        <v>1.33E+20</v>
      </c>
      <c r="D5" s="7">
        <f>6.42*10^23*6.67*10^-11</f>
        <v>42821399999999.992</v>
      </c>
      <c r="E5" s="7">
        <f>1.9*10^27*6.67*10^(-11)</f>
        <v>1.2672999999999997E+17</v>
      </c>
    </row>
    <row r="6" spans="1:5" x14ac:dyDescent="0.25">
      <c r="A6" s="7" t="s">
        <v>33</v>
      </c>
      <c r="B6" s="7">
        <f>15*10^10</f>
        <v>150000000000</v>
      </c>
      <c r="C6" s="7"/>
      <c r="D6" s="7">
        <f>22.8*10^10</f>
        <v>228000000000</v>
      </c>
      <c r="E6" s="7">
        <f>77.8*10^10</f>
        <v>778000000000</v>
      </c>
    </row>
  </sheetData>
  <mergeCells count="1">
    <mergeCell ref="A3:E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Normal="100" workbookViewId="0">
      <selection activeCell="E12" sqref="E12"/>
    </sheetView>
  </sheetViews>
  <sheetFormatPr defaultRowHeight="14" x14ac:dyDescent="0.25"/>
  <cols>
    <col min="1" max="1" width="12.453125" bestFit="1" customWidth="1"/>
    <col min="2" max="2" width="19.7265625" customWidth="1"/>
    <col min="4" max="4" width="13.08984375" customWidth="1"/>
    <col min="5" max="5" width="12.453125" bestFit="1" customWidth="1"/>
    <col min="6" max="6" width="11.36328125" bestFit="1" customWidth="1"/>
    <col min="8" max="9" width="9.26953125" bestFit="1" customWidth="1"/>
  </cols>
  <sheetData>
    <row r="1" spans="1:9" x14ac:dyDescent="0.25">
      <c r="A1" t="s">
        <v>26</v>
      </c>
      <c r="B1" t="s">
        <v>7</v>
      </c>
      <c r="C1" s="1" t="s">
        <v>1</v>
      </c>
      <c r="D1" t="s">
        <v>2</v>
      </c>
      <c r="E1" s="1" t="s">
        <v>0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25">
      <c r="A2">
        <f>5.965*10^24*6.67*10^(-11)</f>
        <v>397865499999999.94</v>
      </c>
      <c r="B2">
        <v>1</v>
      </c>
      <c r="C2">
        <f>86400/B2</f>
        <v>86400</v>
      </c>
      <c r="D2">
        <v>0</v>
      </c>
      <c r="E2">
        <f>(SQRT(A2)*C2/2/PI())^(2/3)</f>
        <v>42215118.243091524</v>
      </c>
      <c r="F2">
        <f>(1+D2)*E2</f>
        <v>42215118.243091524</v>
      </c>
      <c r="G2">
        <f>(1-D2)*E2</f>
        <v>42215118.243091524</v>
      </c>
      <c r="H2">
        <f>(F2-6373000)</f>
        <v>35842118.243091524</v>
      </c>
      <c r="I2">
        <f>(G2-6373000)</f>
        <v>35842118.243091524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>
      <selection activeCell="D20" sqref="D20"/>
    </sheetView>
  </sheetViews>
  <sheetFormatPr defaultRowHeight="14" x14ac:dyDescent="0.25"/>
  <cols>
    <col min="2" max="2" width="20.453125" customWidth="1"/>
    <col min="3" max="3" width="12.453125" bestFit="1" customWidth="1"/>
    <col min="4" max="4" width="18.7265625" customWidth="1"/>
    <col min="5" max="5" width="13.26953125" customWidth="1"/>
    <col min="6" max="6" width="18.1796875" customWidth="1"/>
    <col min="7" max="7" width="17" customWidth="1"/>
    <col min="8" max="8" width="15.54296875" customWidth="1"/>
    <col min="9" max="9" width="26.36328125" customWidth="1"/>
    <col min="10" max="10" width="18.54296875" customWidth="1"/>
    <col min="11" max="11" width="11.36328125" bestFit="1" customWidth="1"/>
    <col min="12" max="12" width="10.7265625" customWidth="1"/>
  </cols>
  <sheetData>
    <row r="1" spans="2:9" s="5" customFormat="1" x14ac:dyDescent="0.25">
      <c r="B1" s="6" t="s">
        <v>27</v>
      </c>
    </row>
    <row r="2" spans="2:9" x14ac:dyDescent="0.25">
      <c r="B2" s="3" t="s">
        <v>154</v>
      </c>
    </row>
    <row r="3" spans="2:9" x14ac:dyDescent="0.25">
      <c r="B3" s="2" t="s">
        <v>155</v>
      </c>
      <c r="C3" t="s">
        <v>8</v>
      </c>
      <c r="D3" t="s">
        <v>9</v>
      </c>
      <c r="E3" t="s">
        <v>10</v>
      </c>
      <c r="F3" s="1" t="s">
        <v>11</v>
      </c>
      <c r="G3" s="1" t="s">
        <v>157</v>
      </c>
    </row>
    <row r="4" spans="2:9" x14ac:dyDescent="0.25">
      <c r="C4" s="7">
        <f>5.965*10^24*6.67*10^(-11)</f>
        <v>397865499999999.94</v>
      </c>
      <c r="D4">
        <v>6871000</v>
      </c>
      <c r="E4">
        <v>6871000</v>
      </c>
      <c r="F4">
        <f>SQRT(C4*(2/D4-1/E4))</f>
        <v>7609.535837165733</v>
      </c>
      <c r="G4">
        <f>2*PI()*SQRT(E4^3/C4)</f>
        <v>5673.3770849433049</v>
      </c>
    </row>
    <row r="5" spans="2:9" x14ac:dyDescent="0.25">
      <c r="B5" t="s">
        <v>156</v>
      </c>
      <c r="C5" t="s">
        <v>8</v>
      </c>
      <c r="D5" t="s">
        <v>11</v>
      </c>
      <c r="E5" t="s">
        <v>9</v>
      </c>
      <c r="F5" s="1" t="s">
        <v>10</v>
      </c>
      <c r="G5" s="1" t="s">
        <v>157</v>
      </c>
    </row>
    <row r="6" spans="2:9" x14ac:dyDescent="0.25">
      <c r="C6" s="7">
        <f>5.965*10^24*6.67*10^(-11)</f>
        <v>397865499999999.94</v>
      </c>
      <c r="D6">
        <v>7900</v>
      </c>
      <c r="E6">
        <v>6471000</v>
      </c>
      <c r="F6">
        <f>1/(2/E6-D6^2/C6)</f>
        <v>6569905.7181088645</v>
      </c>
      <c r="G6">
        <f>2*PI()*SQRT(E6^3/C6)</f>
        <v>5185.2395764107141</v>
      </c>
    </row>
    <row r="7" spans="2:9" x14ac:dyDescent="0.25">
      <c r="B7" s="3" t="s">
        <v>158</v>
      </c>
      <c r="C7" s="2" t="s">
        <v>8</v>
      </c>
      <c r="D7" t="s">
        <v>160</v>
      </c>
      <c r="E7" t="s">
        <v>161</v>
      </c>
      <c r="F7" s="1" t="s">
        <v>165</v>
      </c>
      <c r="G7" s="1" t="s">
        <v>16</v>
      </c>
      <c r="H7" s="1" t="s">
        <v>159</v>
      </c>
      <c r="I7" s="1" t="s">
        <v>162</v>
      </c>
    </row>
    <row r="8" spans="2:9" x14ac:dyDescent="0.25">
      <c r="B8" t="s">
        <v>13</v>
      </c>
      <c r="C8" s="7">
        <f>5.965*10^24*6.67*10^(-11)</f>
        <v>397865499999999.94</v>
      </c>
      <c r="D8">
        <v>42215118</v>
      </c>
      <c r="E8">
        <v>6471000</v>
      </c>
      <c r="F8">
        <f>SQRT(C8/E8)*SQRT(2*D8/(D8+E8))</f>
        <v>10325.922685680482</v>
      </c>
      <c r="G8">
        <f>SQRT(C8/E8)</f>
        <v>7841.1983715713677</v>
      </c>
      <c r="H8">
        <f>F8-G8</f>
        <v>2484.7243141091139</v>
      </c>
      <c r="I8" s="1">
        <f>(1-((D8+E8)/(2*D8))^1.5)*180</f>
        <v>101.18058244114449</v>
      </c>
    </row>
    <row r="9" spans="2:9" x14ac:dyDescent="0.25">
      <c r="C9" s="2" t="s">
        <v>8</v>
      </c>
      <c r="D9" s="2"/>
      <c r="E9" s="2"/>
      <c r="F9" s="1" t="s">
        <v>15</v>
      </c>
      <c r="G9" s="1" t="s">
        <v>17</v>
      </c>
      <c r="H9" s="1" t="s">
        <v>12</v>
      </c>
      <c r="I9" s="1" t="s">
        <v>18</v>
      </c>
    </row>
    <row r="10" spans="2:9" x14ac:dyDescent="0.25">
      <c r="B10" t="s">
        <v>14</v>
      </c>
      <c r="C10" s="7">
        <f>5.965*10^24*6.67*10^(-11)</f>
        <v>397865499999999.94</v>
      </c>
      <c r="F10">
        <f>SQRT(C10/D8)*SQRT(2*E8/(D8+E8))</f>
        <v>1582.8226679133859</v>
      </c>
      <c r="G10">
        <f>SQRT(C8/D8)</f>
        <v>3069.9700399251933</v>
      </c>
      <c r="H10">
        <f>G10-F10</f>
        <v>1487.1473720118074</v>
      </c>
      <c r="I10" s="1">
        <f>H8+H10</f>
        <v>3971.8716861209214</v>
      </c>
    </row>
    <row r="11" spans="2:9" x14ac:dyDescent="0.25">
      <c r="I11" s="1" t="s">
        <v>163</v>
      </c>
    </row>
    <row r="12" spans="2:9" x14ac:dyDescent="0.25">
      <c r="I12" s="1">
        <f>SQRT(((D8+E8)/2)^3/C10)*PI()</f>
        <v>18916.660050730748</v>
      </c>
    </row>
    <row r="13" spans="2:9" x14ac:dyDescent="0.25">
      <c r="I13" s="1" t="s">
        <v>164</v>
      </c>
    </row>
    <row r="14" spans="2:9" x14ac:dyDescent="0.25">
      <c r="I14" s="1">
        <f>I12/3600</f>
        <v>5.2546277918696527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C12" sqref="C12"/>
    </sheetView>
  </sheetViews>
  <sheetFormatPr defaultRowHeight="14" x14ac:dyDescent="0.25"/>
  <cols>
    <col min="1" max="1" width="25.90625" customWidth="1"/>
    <col min="2" max="2" width="28.26953125" customWidth="1"/>
    <col min="3" max="3" width="23.26953125" customWidth="1"/>
    <col min="4" max="4" width="24" customWidth="1"/>
    <col min="5" max="5" width="21.90625" customWidth="1"/>
    <col min="6" max="7" width="17" customWidth="1"/>
    <col min="8" max="8" width="15.54296875" customWidth="1"/>
    <col min="9" max="9" width="19.7265625" customWidth="1"/>
    <col min="10" max="10" width="18.54296875" customWidth="1"/>
    <col min="11" max="11" width="11.36328125" bestFit="1" customWidth="1"/>
    <col min="12" max="12" width="10.7265625" customWidth="1"/>
  </cols>
  <sheetData>
    <row r="1" spans="1:8" s="5" customFormat="1" x14ac:dyDescent="0.25">
      <c r="A1" s="6" t="s">
        <v>27</v>
      </c>
    </row>
    <row r="2" spans="1:8" s="5" customFormat="1" x14ac:dyDescent="0.25">
      <c r="A2" s="6" t="s">
        <v>185</v>
      </c>
      <c r="B2">
        <f>1.33*10^20</f>
        <v>1.33E+20</v>
      </c>
    </row>
    <row r="3" spans="1:8" s="5" customFormat="1" x14ac:dyDescent="0.25">
      <c r="A3" s="9" t="s">
        <v>172</v>
      </c>
      <c r="B3" s="5" t="s">
        <v>175</v>
      </c>
      <c r="C3" s="5" t="s">
        <v>173</v>
      </c>
      <c r="D3" s="5" t="s">
        <v>174</v>
      </c>
      <c r="E3" s="1" t="s">
        <v>170</v>
      </c>
    </row>
    <row r="4" spans="1:8" s="5" customFormat="1" x14ac:dyDescent="0.25">
      <c r="A4" s="9" t="s">
        <v>180</v>
      </c>
      <c r="B4" s="2">
        <f>5.965*10^24*6.67*10^(-11)</f>
        <v>397865499999999.94</v>
      </c>
      <c r="C4" s="5">
        <v>6371000</v>
      </c>
      <c r="D4">
        <f>15*10^10</f>
        <v>150000000000</v>
      </c>
      <c r="E4">
        <f>SQRT(B2/D4)</f>
        <v>29776.948578836393</v>
      </c>
    </row>
    <row r="5" spans="1:8" s="5" customFormat="1" x14ac:dyDescent="0.25">
      <c r="A5" s="9" t="s">
        <v>176</v>
      </c>
      <c r="B5" s="5" t="s">
        <v>177</v>
      </c>
      <c r="C5" s="5" t="s">
        <v>178</v>
      </c>
      <c r="D5" s="5" t="s">
        <v>179</v>
      </c>
      <c r="E5" s="1" t="s">
        <v>184</v>
      </c>
    </row>
    <row r="6" spans="1:8" s="5" customFormat="1" x14ac:dyDescent="0.25">
      <c r="A6" s="9" t="s">
        <v>181</v>
      </c>
      <c r="B6" s="2">
        <f>6.42*10^23*6.67*10^-11</f>
        <v>42821399999999.992</v>
      </c>
      <c r="C6" s="5">
        <v>3395000</v>
      </c>
      <c r="D6" s="2">
        <f>22.8*10^10</f>
        <v>228000000000</v>
      </c>
      <c r="E6">
        <f>SQRT(B2/D6)</f>
        <v>24152.2945769824</v>
      </c>
    </row>
    <row r="7" spans="1:8" s="5" customFormat="1" x14ac:dyDescent="0.25">
      <c r="A7" s="6"/>
    </row>
    <row r="8" spans="1:8" x14ac:dyDescent="0.25">
      <c r="A8" s="3" t="s">
        <v>167</v>
      </c>
      <c r="B8" s="1" t="s">
        <v>169</v>
      </c>
      <c r="C8" s="1" t="s">
        <v>168</v>
      </c>
      <c r="D8" s="1" t="s">
        <v>171</v>
      </c>
    </row>
    <row r="9" spans="1:8" x14ac:dyDescent="0.25">
      <c r="B9">
        <f>SQRT(B2/D4)*SQRT(2*D6/(D6+D4))</f>
        <v>32705.192701307074</v>
      </c>
      <c r="C9">
        <f>B9-E4</f>
        <v>2928.2441224706818</v>
      </c>
      <c r="D9">
        <f>C9+SQRT(2*B4/C4)-SQRT(B4/C4)</f>
        <v>6201.5655472777835</v>
      </c>
    </row>
    <row r="10" spans="1:8" s="2" customFormat="1" x14ac:dyDescent="0.25"/>
    <row r="11" spans="1:8" x14ac:dyDescent="0.25">
      <c r="A11" s="3" t="s">
        <v>187</v>
      </c>
      <c r="B11" s="1" t="s">
        <v>182</v>
      </c>
      <c r="C11" s="2" t="s">
        <v>210</v>
      </c>
      <c r="D11" s="1" t="s">
        <v>183</v>
      </c>
    </row>
    <row r="12" spans="1:8" x14ac:dyDescent="0.25">
      <c r="B12">
        <f>SQRT(2*$B$4/C4+$C$9^2)-SQRT($B$4/C4)</f>
        <v>3650.5775311285197</v>
      </c>
      <c r="C12">
        <v>300000</v>
      </c>
      <c r="D12">
        <f>SQRT(2*$B$4/(C4+C12)+$C$9^2)-SQRT($B$4/(C4+C12))</f>
        <v>3584.6126888235576</v>
      </c>
    </row>
    <row r="13" spans="1:8" x14ac:dyDescent="0.25">
      <c r="B13" s="2"/>
      <c r="C13" s="2"/>
      <c r="D13" s="2"/>
      <c r="E13" s="2"/>
      <c r="F13" s="2"/>
      <c r="G13" s="2"/>
      <c r="H13" s="2"/>
    </row>
    <row r="14" spans="1:8" x14ac:dyDescent="0.25">
      <c r="A14" s="3" t="s">
        <v>166</v>
      </c>
      <c r="B14" s="1" t="s">
        <v>19</v>
      </c>
    </row>
    <row r="15" spans="1:8" x14ac:dyDescent="0.25">
      <c r="B15">
        <f>(1-((D6+D4)/(2*D6))^1.5)*180</f>
        <v>44.148968327319778</v>
      </c>
    </row>
    <row r="17" spans="1:8" x14ac:dyDescent="0.25">
      <c r="A17" s="4" t="s">
        <v>186</v>
      </c>
      <c r="B17" s="1" t="s">
        <v>24</v>
      </c>
      <c r="C17" t="s">
        <v>217</v>
      </c>
      <c r="D17" s="1" t="s">
        <v>190</v>
      </c>
      <c r="E17" s="1" t="s">
        <v>191</v>
      </c>
      <c r="F17" s="1" t="s">
        <v>212</v>
      </c>
      <c r="G17" s="1" t="s">
        <v>188</v>
      </c>
      <c r="H17" s="1" t="s">
        <v>189</v>
      </c>
    </row>
    <row r="18" spans="1:8" x14ac:dyDescent="0.25">
      <c r="B18">
        <f>SQRT((B2/D6)*2*D4/(D4+D6))-E6</f>
        <v>-2635.7204313856382</v>
      </c>
      <c r="C18">
        <v>200000</v>
      </c>
      <c r="D18">
        <f>SQRT(2*B6/(C18+C6)+B18^2)</f>
        <v>5547.0511100205576</v>
      </c>
      <c r="E18">
        <f>SQRT(2*B6/(C6+C18))</f>
        <v>4880.8558496186506</v>
      </c>
      <c r="F18">
        <f>E18/SQRT(2)</f>
        <v>3451.2862692593753</v>
      </c>
      <c r="G18">
        <f>E18-D18</f>
        <v>-666.19526040190703</v>
      </c>
      <c r="H18">
        <f>F18-D18</f>
        <v>-2095.7648407611823</v>
      </c>
    </row>
    <row r="19" spans="1:8" ht="14.5" thickBot="1" x14ac:dyDescent="0.3"/>
    <row r="20" spans="1:8" x14ac:dyDescent="0.25">
      <c r="A20" s="15" t="s">
        <v>214</v>
      </c>
      <c r="B20" s="16" t="s">
        <v>215</v>
      </c>
    </row>
    <row r="21" spans="1:8" ht="14.5" thickBot="1" x14ac:dyDescent="0.3">
      <c r="A21" s="17">
        <f>D12-G18</f>
        <v>4250.8079492254647</v>
      </c>
      <c r="B21" s="18">
        <f>D12-H18</f>
        <v>5680.3775295847399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4"/>
  <sheetViews>
    <sheetView tabSelected="1" topLeftCell="A19" workbookViewId="0">
      <selection activeCell="E31" sqref="E31"/>
    </sheetView>
  </sheetViews>
  <sheetFormatPr defaultRowHeight="14" x14ac:dyDescent="0.25"/>
  <cols>
    <col min="1" max="1" width="15.1796875" customWidth="1"/>
    <col min="2" max="2" width="19.81640625" customWidth="1"/>
    <col min="3" max="3" width="16.6328125" customWidth="1"/>
    <col min="4" max="4" width="26.6328125" customWidth="1"/>
    <col min="5" max="5" width="29.36328125" customWidth="1"/>
    <col min="6" max="6" width="23.08984375" customWidth="1"/>
    <col min="7" max="7" width="23.6328125" customWidth="1"/>
    <col min="8" max="8" width="15.453125" customWidth="1"/>
    <col min="9" max="9" width="15.54296875" customWidth="1"/>
    <col min="10" max="10" width="23.6328125" customWidth="1"/>
    <col min="11" max="11" width="25" customWidth="1"/>
    <col min="12" max="12" width="12.08984375" customWidth="1"/>
    <col min="13" max="13" width="10.6328125" customWidth="1"/>
    <col min="14" max="14" width="13.36328125" customWidth="1"/>
    <col min="15" max="15" width="14" customWidth="1"/>
    <col min="16" max="16" width="21.26953125" customWidth="1"/>
    <col min="17" max="17" width="16" customWidth="1"/>
    <col min="18" max="18" width="13.54296875" customWidth="1"/>
    <col min="19" max="19" width="12.453125" bestFit="1" customWidth="1"/>
  </cols>
  <sheetData>
    <row r="1" spans="1:11" x14ac:dyDescent="0.25">
      <c r="B1" s="6" t="s">
        <v>185</v>
      </c>
      <c r="C1">
        <f>1.33*10^20</f>
        <v>1.33E+20</v>
      </c>
      <c r="D1" s="5"/>
      <c r="E1" s="5"/>
      <c r="F1" s="5"/>
      <c r="H1" s="10" t="s">
        <v>150</v>
      </c>
      <c r="I1" s="10"/>
      <c r="J1" s="10"/>
      <c r="K1" s="10"/>
    </row>
    <row r="2" spans="1:11" x14ac:dyDescent="0.25">
      <c r="B2" s="12" t="s">
        <v>172</v>
      </c>
      <c r="C2" s="13" t="s">
        <v>175</v>
      </c>
      <c r="D2" s="13" t="s">
        <v>173</v>
      </c>
      <c r="E2" s="13" t="s">
        <v>174</v>
      </c>
      <c r="F2" s="1" t="s">
        <v>170</v>
      </c>
      <c r="H2" s="10" t="s">
        <v>34</v>
      </c>
      <c r="I2" s="10"/>
      <c r="J2" s="10"/>
      <c r="K2" s="10"/>
    </row>
    <row r="3" spans="1:11" x14ac:dyDescent="0.25">
      <c r="B3" s="9" t="s">
        <v>180</v>
      </c>
      <c r="C3" s="2">
        <f>5.965*10^24*6.67*10^(-11)</f>
        <v>397865499999999.94</v>
      </c>
      <c r="D3" s="5">
        <v>6371000</v>
      </c>
      <c r="E3">
        <f>15*10^10</f>
        <v>150000000000</v>
      </c>
      <c r="F3">
        <f>SQRT(C1/E3)</f>
        <v>29776.948578836393</v>
      </c>
    </row>
    <row r="4" spans="1:11" x14ac:dyDescent="0.25">
      <c r="B4" s="12" t="s">
        <v>176</v>
      </c>
      <c r="C4" s="13" t="s">
        <v>177</v>
      </c>
      <c r="D4" s="13" t="s">
        <v>178</v>
      </c>
      <c r="E4" s="13" t="s">
        <v>179</v>
      </c>
      <c r="F4" s="1" t="s">
        <v>184</v>
      </c>
    </row>
    <row r="5" spans="1:11" x14ac:dyDescent="0.25">
      <c r="B5" s="9" t="s">
        <v>30</v>
      </c>
      <c r="C5" s="2">
        <f>6.42*10^23*6.67*10^-11</f>
        <v>42821399999999.992</v>
      </c>
      <c r="D5" s="5">
        <v>3395000</v>
      </c>
      <c r="E5" s="2">
        <f>22.8*10^10</f>
        <v>228000000000</v>
      </c>
      <c r="F5">
        <f>SQRT(C1/E5)</f>
        <v>24152.2945769824</v>
      </c>
    </row>
    <row r="6" spans="1:11" x14ac:dyDescent="0.25">
      <c r="B6" s="9"/>
      <c r="C6" s="2"/>
      <c r="D6" s="5"/>
      <c r="E6" s="2"/>
    </row>
    <row r="7" spans="1:11" x14ac:dyDescent="0.25">
      <c r="A7" s="4" t="s">
        <v>192</v>
      </c>
      <c r="B7" s="7" t="s">
        <v>207</v>
      </c>
      <c r="C7" s="1" t="s">
        <v>140</v>
      </c>
      <c r="D7" s="1" t="s">
        <v>141</v>
      </c>
      <c r="E7" s="1" t="s">
        <v>142</v>
      </c>
      <c r="F7" s="1" t="s">
        <v>143</v>
      </c>
      <c r="G7" s="1" t="s">
        <v>144</v>
      </c>
    </row>
    <row r="8" spans="1:11" x14ac:dyDescent="0.25">
      <c r="B8" s="7">
        <f>24*10^10</f>
        <v>240000000000</v>
      </c>
      <c r="C8">
        <f>E3</f>
        <v>150000000000</v>
      </c>
      <c r="D8">
        <f>(B8-C8)/(B8+C8)</f>
        <v>0.23076923076923078</v>
      </c>
      <c r="E8">
        <f>(B8+C8)/2</f>
        <v>195000000000</v>
      </c>
      <c r="F8">
        <f>E8*SQRT(1-D8^2)</f>
        <v>189736659610.10275</v>
      </c>
      <c r="G8">
        <f>E8*D8</f>
        <v>45000000000</v>
      </c>
    </row>
    <row r="10" spans="1:11" x14ac:dyDescent="0.25">
      <c r="A10" s="4" t="s">
        <v>193</v>
      </c>
      <c r="B10" s="1" t="s">
        <v>206</v>
      </c>
      <c r="C10" s="1" t="s">
        <v>205</v>
      </c>
      <c r="D10" s="1" t="s">
        <v>151</v>
      </c>
      <c r="E10" s="1" t="s">
        <v>152</v>
      </c>
      <c r="F10" s="14" t="s">
        <v>216</v>
      </c>
    </row>
    <row r="11" spans="1:11" x14ac:dyDescent="0.25">
      <c r="B11">
        <f>C11*180/PI()</f>
        <v>145.54404953870466</v>
      </c>
      <c r="C11" s="2">
        <f>ACOS((E8*(1-D8^2)-$E$5)/$E$5/D8)</f>
        <v>2.5402228711361303</v>
      </c>
      <c r="D11" s="2">
        <f>PI()*(E8*F8)</f>
        <v>1.1623468270981439E+23</v>
      </c>
      <c r="E11" s="2">
        <f>2*PI()*SQRT(E8^3/$C$1)/86400</f>
        <v>542.99048883622766</v>
      </c>
      <c r="F11">
        <f>B11-(86400*C14*F5/2/PI()/E5)*360</f>
        <v>43.702304314358088</v>
      </c>
    </row>
    <row r="13" spans="1:11" x14ac:dyDescent="0.25">
      <c r="A13" s="4" t="s">
        <v>194</v>
      </c>
      <c r="B13" s="1" t="s">
        <v>153</v>
      </c>
      <c r="C13" s="1" t="s">
        <v>199</v>
      </c>
      <c r="D13" s="1" t="s">
        <v>145</v>
      </c>
      <c r="E13" s="1" t="s">
        <v>146</v>
      </c>
      <c r="F13" s="1" t="s">
        <v>211</v>
      </c>
      <c r="G13" s="1" t="s">
        <v>171</v>
      </c>
    </row>
    <row r="14" spans="1:11" x14ac:dyDescent="0.25">
      <c r="B14" s="2">
        <f>SUM(D$35:D$134)</f>
        <v>4.1572813804235722E+22</v>
      </c>
      <c r="C14" s="2">
        <f>B14/D11*E11</f>
        <v>194.20745997316172</v>
      </c>
      <c r="D14" s="2">
        <f>SQRT($C$1*(2/C8-1/E8))</f>
        <v>33034.558439338209</v>
      </c>
      <c r="E14" s="2">
        <f>SQRT($C$1*(2/C8-1/(($E$5+C8)/2)))</f>
        <v>32705.192701307074</v>
      </c>
      <c r="F14" s="2">
        <f>D14-E14</f>
        <v>329.36573803113424</v>
      </c>
      <c r="G14">
        <f>D14-F3+SQRT(2*C3/D3)-SQRT(C3/D3)</f>
        <v>6530.9312853089177</v>
      </c>
    </row>
    <row r="15" spans="1:11" x14ac:dyDescent="0.25">
      <c r="B15" s="2"/>
      <c r="C15" s="2"/>
      <c r="D15" s="2"/>
      <c r="E15" s="2"/>
      <c r="F15" s="2"/>
    </row>
    <row r="16" spans="1:11" x14ac:dyDescent="0.25">
      <c r="A16" s="4" t="s">
        <v>187</v>
      </c>
      <c r="B16" s="1" t="s">
        <v>182</v>
      </c>
      <c r="C16" s="2" t="s">
        <v>210</v>
      </c>
      <c r="D16" s="1" t="s">
        <v>183</v>
      </c>
      <c r="E16" s="2"/>
      <c r="F16" s="2"/>
    </row>
    <row r="17" spans="1:8" x14ac:dyDescent="0.25">
      <c r="B17">
        <f>SQRT(2*C3/D3+(D14-F3)^2)-SQRT(C3/D3)</f>
        <v>3738.4196085909862</v>
      </c>
      <c r="C17">
        <v>300000</v>
      </c>
      <c r="D17">
        <f>SQRT(2*C3/(D3+C17)+(D14-F3)^2)-SQRT(C3/(D3+C17))</f>
        <v>3674.3486273965718</v>
      </c>
      <c r="E17" s="2"/>
      <c r="F17" s="2"/>
    </row>
    <row r="19" spans="1:8" x14ac:dyDescent="0.25">
      <c r="A19" s="4" t="s">
        <v>195</v>
      </c>
      <c r="B19" s="1" t="s">
        <v>147</v>
      </c>
      <c r="C19" s="1" t="s">
        <v>148</v>
      </c>
      <c r="D19" s="1" t="s">
        <v>149</v>
      </c>
      <c r="E19" s="1" t="s">
        <v>196</v>
      </c>
      <c r="F19" s="1" t="s">
        <v>197</v>
      </c>
      <c r="G19" s="1" t="s">
        <v>198</v>
      </c>
      <c r="H19" s="1" t="s">
        <v>204</v>
      </c>
    </row>
    <row r="20" spans="1:8" x14ac:dyDescent="0.25">
      <c r="B20" s="2">
        <f>SQRT(C1*(2/E5-1/E8))</f>
        <v>22013.981571160282</v>
      </c>
      <c r="C20">
        <f>E5*COS(C11)+E8*D8</f>
        <v>-142999999999.99994</v>
      </c>
      <c r="D20">
        <f>E5*SIN(C11)</f>
        <v>128996123972.77687</v>
      </c>
      <c r="E20">
        <f>ATAN(C20/D20*F8^2/E8^2)</f>
        <v>-0.80955744388674244</v>
      </c>
      <c r="F20">
        <f>-(C11-PI()/2)</f>
        <v>-0.96942654434123376</v>
      </c>
      <c r="G20" s="2">
        <f>E20-F20</f>
        <v>0.15986910045449132</v>
      </c>
      <c r="H20" s="2">
        <f>SQRT(B20^2+F5^2-2*F5*B20*COS(G20))</f>
        <v>4258.2179052283154</v>
      </c>
    </row>
    <row r="22" spans="1:8" x14ac:dyDescent="0.25">
      <c r="A22" s="4" t="s">
        <v>203</v>
      </c>
      <c r="E22" s="1" t="s">
        <v>200</v>
      </c>
      <c r="F22" s="1" t="s">
        <v>201</v>
      </c>
      <c r="G22" s="1" t="s">
        <v>202</v>
      </c>
    </row>
    <row r="23" spans="1:8" x14ac:dyDescent="0.25">
      <c r="E23">
        <f>E20*180/PI()</f>
        <v>-46.384224808109309</v>
      </c>
      <c r="F23">
        <f>F20*180/PI()</f>
        <v>-55.544049538704648</v>
      </c>
      <c r="G23">
        <f>G20*180/PI()</f>
        <v>9.1598247305953429</v>
      </c>
    </row>
    <row r="25" spans="1:8" x14ac:dyDescent="0.25">
      <c r="A25" s="4" t="s">
        <v>186</v>
      </c>
      <c r="B25" s="1" t="s">
        <v>24</v>
      </c>
      <c r="C25" t="s">
        <v>217</v>
      </c>
      <c r="D25" s="1" t="s">
        <v>190</v>
      </c>
      <c r="E25" s="1" t="s">
        <v>191</v>
      </c>
      <c r="F25" s="1" t="s">
        <v>212</v>
      </c>
      <c r="G25" s="1" t="s">
        <v>188</v>
      </c>
      <c r="H25" s="1" t="s">
        <v>189</v>
      </c>
    </row>
    <row r="26" spans="1:8" x14ac:dyDescent="0.25">
      <c r="B26">
        <f>H20</f>
        <v>4258.2179052283154</v>
      </c>
      <c r="C26">
        <v>200000</v>
      </c>
      <c r="D26">
        <f>SQRT(2*C5/(C26+D5)+B26^2)</f>
        <v>6477.2813396643214</v>
      </c>
      <c r="E26">
        <f>SQRT(2*C5/(D5+C26))</f>
        <v>4880.8558496186506</v>
      </c>
      <c r="F26">
        <f>E26/SQRT(2)</f>
        <v>3451.2862692593753</v>
      </c>
      <c r="G26">
        <f>E26-D26</f>
        <v>-1596.4254900456708</v>
      </c>
      <c r="H26">
        <f>F26-D26</f>
        <v>-3025.9950704049461</v>
      </c>
    </row>
    <row r="27" spans="1:8" ht="14.5" thickBot="1" x14ac:dyDescent="0.3"/>
    <row r="28" spans="1:8" x14ac:dyDescent="0.25">
      <c r="A28" s="15" t="s">
        <v>214</v>
      </c>
      <c r="B28" s="16" t="s">
        <v>215</v>
      </c>
    </row>
    <row r="29" spans="1:8" ht="14.5" thickBot="1" x14ac:dyDescent="0.3">
      <c r="A29" s="17">
        <f>D17-G26</f>
        <v>5270.7741174422426</v>
      </c>
      <c r="B29" s="18">
        <f>D17-H26</f>
        <v>6700.3436978015179</v>
      </c>
    </row>
    <row r="31" spans="1:8" x14ac:dyDescent="0.25">
      <c r="A31" s="11" t="s">
        <v>213</v>
      </c>
      <c r="B31" s="11"/>
      <c r="C31" s="11"/>
      <c r="D31" s="11"/>
    </row>
    <row r="32" spans="1:8" x14ac:dyDescent="0.25">
      <c r="A32" t="s">
        <v>36</v>
      </c>
      <c r="B32">
        <f>(C11)/100</f>
        <v>2.5402228711361302E-2</v>
      </c>
    </row>
    <row r="33" spans="1:6" x14ac:dyDescent="0.25">
      <c r="B33" t="s">
        <v>35</v>
      </c>
      <c r="C33" t="s">
        <v>58</v>
      </c>
      <c r="D33" t="s">
        <v>59</v>
      </c>
      <c r="E33" t="s">
        <v>208</v>
      </c>
      <c r="F33" t="s">
        <v>209</v>
      </c>
    </row>
    <row r="34" spans="1:6" x14ac:dyDescent="0.25">
      <c r="A34" t="s">
        <v>37</v>
      </c>
      <c r="B34">
        <v>0</v>
      </c>
      <c r="C34">
        <f>$E$8*(1-$D$8^2)/(1+$D$8*COS(B34))</f>
        <v>150000000000</v>
      </c>
      <c r="D34">
        <f>C34^2/2*$B$32</f>
        <v>2.8577507300281464E+20</v>
      </c>
      <c r="E34">
        <f>C34*COS(B34)+$E$8*$D$8</f>
        <v>195000000000</v>
      </c>
      <c r="F34">
        <f>C34*SIN(B34)</f>
        <v>0</v>
      </c>
    </row>
    <row r="35" spans="1:6" x14ac:dyDescent="0.25">
      <c r="A35" t="s">
        <v>38</v>
      </c>
      <c r="B35">
        <f>B34+$B$32</f>
        <v>2.5402228711361302E-2</v>
      </c>
      <c r="C35">
        <f>$E$8*(1-$D$8^2)/(1+$D$8*COS(B35))</f>
        <v>150009074215.68298</v>
      </c>
      <c r="D35">
        <f>C35^2/2*$B$32</f>
        <v>2.8580964984396536E+20</v>
      </c>
      <c r="E35">
        <f t="shared" ref="E35:E98" si="0">C35*COS(B35)+$E$8*$D$8</f>
        <v>194960678398.707</v>
      </c>
      <c r="F35">
        <f t="shared" ref="F35:F98" si="1">C35*SIN(B35)</f>
        <v>3810155015.9881577</v>
      </c>
    </row>
    <row r="36" spans="1:6" x14ac:dyDescent="0.25">
      <c r="A36" t="s">
        <v>39</v>
      </c>
      <c r="B36">
        <f>B35+$B$32</f>
        <v>5.0804457422722604E-2</v>
      </c>
      <c r="C36">
        <f>$E$8*(1-$D$8^2)/(1+$D$8*COS(B36))</f>
        <v>150036297593.72552</v>
      </c>
      <c r="D36">
        <f>C36^2/2*$B$32</f>
        <v>2.8591339570335043E+20</v>
      </c>
      <c r="E36">
        <f t="shared" si="0"/>
        <v>194842710427.18951</v>
      </c>
      <c r="F36">
        <f t="shared" si="1"/>
        <v>7619234047.2253704</v>
      </c>
    </row>
    <row r="37" spans="1:6" x14ac:dyDescent="0.25">
      <c r="A37" t="s">
        <v>40</v>
      </c>
      <c r="B37">
        <f>B36+$B$32</f>
        <v>7.6206686134083906E-2</v>
      </c>
      <c r="C37">
        <f>$E$8*(1-$D$8^2)/(1+$D$8*COS(B37))</f>
        <v>150081672321.58511</v>
      </c>
      <c r="D37">
        <f>C37^2/2*$B$32</f>
        <v>2.8608635657276677E+20</v>
      </c>
      <c r="E37">
        <f t="shared" si="0"/>
        <v>194646086606.46445</v>
      </c>
      <c r="F37">
        <f t="shared" si="1"/>
        <v>11426159906.731188</v>
      </c>
    </row>
    <row r="38" spans="1:6" x14ac:dyDescent="0.25">
      <c r="A38" t="s">
        <v>41</v>
      </c>
      <c r="B38">
        <f>B37+$B$32</f>
        <v>0.10160891484544521</v>
      </c>
      <c r="C38">
        <f>$E$8*(1-$D$8^2)/(1+$D$8*COS(B38))</f>
        <v>150145202026.60257</v>
      </c>
      <c r="D38">
        <f>C38^2/2*$B$32</f>
        <v>2.8632860905175836E+20</v>
      </c>
      <c r="E38">
        <f t="shared" si="0"/>
        <v>194370791218.05566</v>
      </c>
      <c r="F38">
        <f t="shared" si="1"/>
        <v>15229853003.273838</v>
      </c>
    </row>
    <row r="39" spans="1:6" x14ac:dyDescent="0.25">
      <c r="A39" t="s">
        <v>42</v>
      </c>
      <c r="B39">
        <f>B38+$B$32</f>
        <v>0.12701114355680651</v>
      </c>
      <c r="C39">
        <f>$E$8*(1-$D$8^2)/(1+$D$8*COS(B39))</f>
        <v>150226891748.32532</v>
      </c>
      <c r="D39">
        <f>C39^2/2*$B$32</f>
        <v>2.8664026026702491E+20</v>
      </c>
      <c r="E39">
        <f t="shared" si="0"/>
        <v>194016802423.92355</v>
      </c>
      <c r="F39">
        <f t="shared" si="1"/>
        <v>19029230139.77142</v>
      </c>
    </row>
    <row r="40" spans="1:6" x14ac:dyDescent="0.25">
      <c r="A40" t="s">
        <v>43</v>
      </c>
      <c r="B40">
        <f>B39+$B$32</f>
        <v>0.15241337226816781</v>
      </c>
      <c r="C40">
        <f>$E$8*(1-$D$8^2)/(1+$D$8*COS(B40))</f>
        <v>150326747899.67511</v>
      </c>
      <c r="D40">
        <f>C40^2/2*$B$32</f>
        <v>2.8702144775877581E+20</v>
      </c>
      <c r="E40">
        <f t="shared" si="0"/>
        <v>193584092434.7413</v>
      </c>
      <c r="F40">
        <f t="shared" si="1"/>
        <v>22823203312.347073</v>
      </c>
    </row>
    <row r="41" spans="1:6" x14ac:dyDescent="0.25">
      <c r="A41" t="s">
        <v>44</v>
      </c>
      <c r="B41">
        <f>B40+$B$32</f>
        <v>0.17781560097952911</v>
      </c>
      <c r="C41">
        <f>$E$8*(1-$D$8^2)/(1+$D$8*COS(B41))</f>
        <v>150444778216.87192</v>
      </c>
      <c r="D41">
        <f>C41^2/2*$B$32</f>
        <v>2.8747233933319681E+20</v>
      </c>
      <c r="E41">
        <f t="shared" si="0"/>
        <v>193072627726.88834</v>
      </c>
      <c r="F41">
        <f t="shared" si="1"/>
        <v>26610678510.292107</v>
      </c>
    </row>
    <row r="42" spans="1:6" x14ac:dyDescent="0.25">
      <c r="A42" t="s">
        <v>45</v>
      </c>
      <c r="B42">
        <f>B41+$B$32</f>
        <v>0.20321782969089042</v>
      </c>
      <c r="C42">
        <f>$E$8*(1-$D$8^2)/(1+$D$8*COS(B42))</f>
        <v>150580991698.00574</v>
      </c>
      <c r="D42">
        <f>C42^2/2*$B$32</f>
        <v>2.8799313287997352E+20</v>
      </c>
      <c r="E42">
        <f t="shared" si="0"/>
        <v>192482369308.64175</v>
      </c>
      <c r="F42">
        <f t="shared" si="1"/>
        <v>30390554517.222527</v>
      </c>
    </row>
    <row r="43" spans="1:6" x14ac:dyDescent="0.25">
      <c r="A43" t="s">
        <v>46</v>
      </c>
      <c r="B43">
        <f>B42+$B$32</f>
        <v>0.22862005840225172</v>
      </c>
      <c r="C43">
        <f>$E$8*(1-$D$8^2)/(1+$D$8*COS(B43))</f>
        <v>150735398530.12</v>
      </c>
      <c r="D43">
        <f>C43^2/2*$B$32</f>
        <v>2.8858405615356238E+20</v>
      </c>
      <c r="E43">
        <f t="shared" si="0"/>
        <v>191813273036.14679</v>
      </c>
      <c r="F43">
        <f t="shared" si="1"/>
        <v>34161721713.753128</v>
      </c>
    </row>
    <row r="44" spans="1:6" x14ac:dyDescent="0.25">
      <c r="A44" t="s">
        <v>47</v>
      </c>
      <c r="B44">
        <f>B43+$B$32</f>
        <v>0.25402228711361302</v>
      </c>
      <c r="C44">
        <f>$E$8*(1-$D$8^2)/(1+$D$8*COS(B44))</f>
        <v>150908010004.64911</v>
      </c>
      <c r="D44">
        <f>C44^2/2*$B$32</f>
        <v>2.8924536651666666E+20</v>
      </c>
      <c r="E44">
        <f t="shared" si="0"/>
        <v>191065289979.85382</v>
      </c>
      <c r="F44">
        <f t="shared" si="1"/>
        <v>37923060882.060822</v>
      </c>
    </row>
    <row r="45" spans="1:6" x14ac:dyDescent="0.25">
      <c r="A45" t="s">
        <v>48</v>
      </c>
      <c r="B45">
        <f>B44+$B$32</f>
        <v>0.2794245158249743</v>
      </c>
      <c r="C45">
        <f>$E$8*(1-$D$8^2)/(1+$D$8*COS(B45))</f>
        <v>151098838421.02814</v>
      </c>
      <c r="D45">
        <f>C45^2/2*$B$32</f>
        <v>2.8997735064412619E+20</v>
      </c>
      <c r="E45">
        <f t="shared" si="0"/>
        <v>190238366842.21133</v>
      </c>
      <c r="F45">
        <f t="shared" si="1"/>
        <v>41673442012.764175</v>
      </c>
    </row>
    <row r="46" spans="1:6" x14ac:dyDescent="0.25">
      <c r="A46" t="s">
        <v>49</v>
      </c>
      <c r="B46">
        <f>B45+$B$32</f>
        <v>0.30482674453633563</v>
      </c>
      <c r="C46">
        <f>$E$8*(1-$D$8^2)/(1+$D$8*COS(B46))</f>
        <v>151307896978.26834</v>
      </c>
      <c r="D46">
        <f>C46^2/2*$B$32</f>
        <v>2.9078032418517916E+20</v>
      </c>
      <c r="E46">
        <f t="shared" si="0"/>
        <v>189332446427.50391</v>
      </c>
      <c r="F46">
        <f t="shared" si="1"/>
        <v>45411723114.609718</v>
      </c>
    </row>
    <row r="47" spans="1:6" x14ac:dyDescent="0.25">
      <c r="A47" t="s">
        <v>50</v>
      </c>
      <c r="B47">
        <f>B46+$B$32</f>
        <v>0.33022897324769696</v>
      </c>
      <c r="C47">
        <f>$E$8*(1-$D$8^2)/(1+$D$8*COS(B47))</f>
        <v>151535199654.27115</v>
      </c>
      <c r="D47">
        <f>C47^2/2*$B$32</f>
        <v>2.9165463138180684E+20</v>
      </c>
      <c r="E47">
        <f t="shared" si="0"/>
        <v>188347468164.82504</v>
      </c>
      <c r="F47">
        <f t="shared" si="1"/>
        <v>49136749027.528175</v>
      </c>
    </row>
    <row r="48" spans="1:6" x14ac:dyDescent="0.25">
      <c r="A48" t="s">
        <v>51</v>
      </c>
      <c r="B48">
        <f>B47+$B$32</f>
        <v>0.35563120195905829</v>
      </c>
      <c r="C48">
        <f>$E$8*(1-$D$8^2)/(1+$D$8*COS(B48))</f>
        <v>151780761072.62982</v>
      </c>
      <c r="D48">
        <f>C48^2/2*$B$32</f>
        <v>2.9260064464061586E+20</v>
      </c>
      <c r="E48">
        <f t="shared" si="0"/>
        <v>187283368685.27078</v>
      </c>
      <c r="F48">
        <f t="shared" si="1"/>
        <v>52847350239.704971</v>
      </c>
    </row>
    <row r="49" spans="1:6" x14ac:dyDescent="0.25">
      <c r="A49" t="s">
        <v>52</v>
      </c>
      <c r="B49">
        <f>B48+$B$32</f>
        <v>0.38103343067041962</v>
      </c>
      <c r="C49">
        <f>$E$8*(1-$D$8^2)/(1+$D$8*COS(B49))</f>
        <v>152044596356.64581</v>
      </c>
      <c r="D49">
        <f>C49^2/2*$B$32</f>
        <v>2.9361876405545085E+20</v>
      </c>
      <c r="E49">
        <f t="shared" si="0"/>
        <v>186140082454.53488</v>
      </c>
      <c r="F49">
        <f t="shared" si="1"/>
        <v>56542341709.399002</v>
      </c>
    </row>
    <row r="50" spans="1:6" x14ac:dyDescent="0.25">
      <c r="A50" t="s">
        <v>53</v>
      </c>
      <c r="B50">
        <f>B49+$B$32</f>
        <v>0.40643565938178094</v>
      </c>
      <c r="C50">
        <f>$E$8*(1-$D$8^2)/(1+$D$8*COS(B50))</f>
        <v>152326720970.26654</v>
      </c>
      <c r="D50">
        <f>C50^2/2*$B$32</f>
        <v>2.9470941687767237E+20</v>
      </c>
      <c r="E50">
        <f t="shared" si="0"/>
        <v>184917542462.17819</v>
      </c>
      <c r="F50">
        <f t="shared" si="1"/>
        <v>60220521692.343369</v>
      </c>
    </row>
    <row r="51" spans="1:6" x14ac:dyDescent="0.25">
      <c r="A51" t="s">
        <v>54</v>
      </c>
      <c r="B51">
        <f>B50+$B$32</f>
        <v>0.43183788809314227</v>
      </c>
      <c r="C51">
        <f>$E$8*(1-$D$8^2)/(1+$D$8*COS(B51))</f>
        <v>152627150545.63065</v>
      </c>
      <c r="D51">
        <f>C51^2/2*$B$32</f>
        <v>2.9587305693076691E+20</v>
      </c>
      <c r="E51">
        <f t="shared" si="0"/>
        <v>183615680968.93387</v>
      </c>
      <c r="F51">
        <f t="shared" si="1"/>
        <v>63880670575.670593</v>
      </c>
    </row>
    <row r="52" spans="1:6" x14ac:dyDescent="0.25">
      <c r="A52" t="s">
        <v>55</v>
      </c>
      <c r="B52">
        <f>B51+$B$32</f>
        <v>0.4572401168045036</v>
      </c>
      <c r="C52">
        <f>$E$8*(1-$D$8^2)/(1+$D$8*COS(B52))</f>
        <v>152945900696.88599</v>
      </c>
      <c r="D52">
        <f>C52^2/2*$B$32</f>
        <v>2.9711016396568258E+20</v>
      </c>
      <c r="E52">
        <f t="shared" si="0"/>
        <v>182234430313.49396</v>
      </c>
      <c r="F52">
        <f t="shared" si="1"/>
        <v>67521549719.422729</v>
      </c>
    </row>
    <row r="53" spans="1:6" x14ac:dyDescent="0.25">
      <c r="A53" t="s">
        <v>56</v>
      </c>
      <c r="B53">
        <f>B52+$B$32</f>
        <v>0.48264234551586493</v>
      </c>
      <c r="C53">
        <f>$E$8*(1-$D$8^2)/(1+$D$8*COS(B53))</f>
        <v>153282986819.92938</v>
      </c>
      <c r="D53">
        <f>C53^2/2*$B$32</f>
        <v>2.9842124295301739E+20</v>
      </c>
      <c r="E53">
        <f t="shared" si="0"/>
        <v>180773723780.30603</v>
      </c>
      <c r="F53">
        <f t="shared" si="1"/>
        <v>71141900306.836136</v>
      </c>
    </row>
    <row r="54" spans="1:6" x14ac:dyDescent="0.25">
      <c r="A54" t="s">
        <v>57</v>
      </c>
      <c r="B54">
        <f>B53+$B$32</f>
        <v>0.50804457422722626</v>
      </c>
      <c r="C54">
        <f>$E$8*(1-$D$8^2)/(1+$D$8*COS(B54))</f>
        <v>153638423877.69666</v>
      </c>
      <c r="D54">
        <f>C54^2/2*$B$32</f>
        <v>2.9980682330790258E+20</v>
      </c>
      <c r="E54">
        <f t="shared" si="0"/>
        <v>179233496529.98114</v>
      </c>
      <c r="F54">
        <f t="shared" si="1"/>
        <v>74740442204.728256</v>
      </c>
    </row>
    <row r="55" spans="1:6" x14ac:dyDescent="0.25">
      <c r="A55" t="s">
        <v>60</v>
      </c>
      <c r="B55">
        <f>B54+$B$32</f>
        <v>0.53344680293858759</v>
      </c>
      <c r="C55">
        <f>$E$8*(1-$D$8^2)/(1+$D$8*COS(B55))</f>
        <v>154012226170.6178</v>
      </c>
      <c r="D55">
        <f>C55^2/2*$B$32</f>
        <v>3.0126745804314916E+20</v>
      </c>
      <c r="E55">
        <f t="shared" si="0"/>
        <v>177613686593.98969</v>
      </c>
      <c r="F55">
        <f t="shared" si="1"/>
        <v>78315872835.464279</v>
      </c>
    </row>
    <row r="56" spans="1:6" x14ac:dyDescent="0.25">
      <c r="A56" t="s">
        <v>61</v>
      </c>
      <c r="B56">
        <f>B55+$B$32</f>
        <v>0.55884903164994892</v>
      </c>
      <c r="C56">
        <f>$E$8*(1-$D$8^2)/(1+$D$8*COS(B56))</f>
        <v>154404407091.83505</v>
      </c>
      <c r="D56">
        <f>C56^2/2*$B$32</f>
        <v>3.0280372284593871E+20</v>
      </c>
      <c r="E56">
        <f t="shared" si="0"/>
        <v>175914235935.38153</v>
      </c>
      <c r="F56">
        <f t="shared" si="1"/>
        <v>81866866062.14006</v>
      </c>
    </row>
    <row r="57" spans="1:6" x14ac:dyDescent="0.25">
      <c r="A57" t="s">
        <v>62</v>
      </c>
      <c r="B57">
        <f>B56+$B$32</f>
        <v>0.58425126036131025</v>
      </c>
      <c r="C57">
        <f>$E$8*(1-$D$8^2)/(1+$D$8*COS(B57))</f>
        <v>154814978866.76996</v>
      </c>
      <c r="D57">
        <f>C57^2/2*$B$32</f>
        <v>3.0441621507306049E+20</v>
      </c>
      <c r="E57">
        <f t="shared" si="0"/>
        <v>174135091577.33023</v>
      </c>
      <c r="F57">
        <f t="shared" si="1"/>
        <v>85392071088.789993</v>
      </c>
    </row>
    <row r="58" spans="1:6" x14ac:dyDescent="0.25">
      <c r="A58" t="s">
        <v>63</v>
      </c>
      <c r="B58">
        <f>B57+$B$32</f>
        <v>0.60965348907267158</v>
      </c>
      <c r="C58">
        <f>$E$8*(1-$D$8^2)/(1+$D$8*COS(B58))</f>
        <v>155243952276.6123</v>
      </c>
      <c r="D58">
        <f>C58^2/2*$B$32</f>
        <v>3.0610555265940469E+20</v>
      </c>
      <c r="E58">
        <f t="shared" si="0"/>
        <v>172276206801.34662</v>
      </c>
      <c r="F58">
        <f t="shared" si="1"/>
        <v>88890111377.610107</v>
      </c>
    </row>
    <row r="59" spans="1:6" x14ac:dyDescent="0.25">
      <c r="A59" t="s">
        <v>64</v>
      </c>
      <c r="B59">
        <f>B58+$B$32</f>
        <v>0.63505571778403291</v>
      </c>
      <c r="C59">
        <f>$E$8*(1-$D$8^2)/(1+$D$8*COS(B59))</f>
        <v>155691336365.29538</v>
      </c>
      <c r="D59">
        <f>C59^2/2*$B$32</f>
        <v>3.0787237293414397E+20</v>
      </c>
      <c r="E59">
        <f t="shared" si="0"/>
        <v>170337542417.05338</v>
      </c>
      <c r="F59">
        <f t="shared" si="1"/>
        <v>92359583585.380539</v>
      </c>
    </row>
    <row r="60" spans="1:6" x14ac:dyDescent="0.25">
      <c r="A60" t="s">
        <v>65</v>
      </c>
      <c r="B60">
        <f>B59+$B$32</f>
        <v>0.66045794649539424</v>
      </c>
      <c r="C60">
        <f>$E$8*(1-$D$8^2)/(1+$D$8*COS(B60))</f>
        <v>156157138129.51331</v>
      </c>
      <c r="D60">
        <f>C60^2/2*$B$32</f>
        <v>3.0971733133874253E+20</v>
      </c>
      <c r="E60">
        <f t="shared" si="0"/>
        <v>168319068105.44232</v>
      </c>
      <c r="F60">
        <f t="shared" si="1"/>
        <v>95799056521.477188</v>
      </c>
    </row>
    <row r="61" spans="1:6" x14ac:dyDescent="0.25">
      <c r="A61" t="s">
        <v>66</v>
      </c>
      <c r="B61">
        <f>B60+$B$32</f>
        <v>0.68586017520675557</v>
      </c>
      <c r="C61">
        <f>$E$8*(1-$D$8^2)/(1+$D$8*COS(B61))</f>
        <v>156641362191.33228</v>
      </c>
      <c r="D61">
        <f>C61^2/2*$B$32</f>
        <v>3.1164110004066006E+20</v>
      </c>
      <c r="E61">
        <f t="shared" si="0"/>
        <v>166220763837.56018</v>
      </c>
      <c r="F61">
        <f t="shared" si="1"/>
        <v>99207070130.079956</v>
      </c>
    </row>
    <row r="62" spans="1:6" x14ac:dyDescent="0.25">
      <c r="A62" t="s">
        <v>67</v>
      </c>
      <c r="B62">
        <f>B61+$B$32</f>
        <v>0.7112624039181169</v>
      </c>
      <c r="C62">
        <f>$E$8*(1-$D$8^2)/(1+$D$8*COS(B62))</f>
        <v>157144010452.94339</v>
      </c>
      <c r="D62">
        <f>C62^2/2*$B$32</f>
        <v>3.1364436643632873E+20</v>
      </c>
      <c r="E62">
        <f t="shared" si="0"/>
        <v>164042621370.5787</v>
      </c>
      <c r="F62">
        <f t="shared" si="1"/>
        <v>102582134499.41379</v>
      </c>
    </row>
    <row r="63" spans="1:6" x14ac:dyDescent="0.25">
      <c r="A63" t="s">
        <v>68</v>
      </c>
      <c r="B63">
        <f>B62+$B$32</f>
        <v>0.73666463262947823</v>
      </c>
      <c r="C63">
        <f>$E$8*(1-$D$8^2)/(1+$D$8*COS(B63))</f>
        <v>157665081733.10684</v>
      </c>
      <c r="D63">
        <f>C63^2/2*$B$32</f>
        <v>3.1572783153672041E+20</v>
      </c>
      <c r="E63">
        <f t="shared" si="0"/>
        <v>161784645823.2038</v>
      </c>
      <c r="F63">
        <f t="shared" si="1"/>
        <v>105922728901.10089</v>
      </c>
    </row>
    <row r="64" spans="1:6" x14ac:dyDescent="0.25">
      <c r="A64" t="s">
        <v>69</v>
      </c>
      <c r="B64">
        <f>B63+$B$32</f>
        <v>0.76206686134083956</v>
      </c>
      <c r="C64">
        <f>$E$8*(1-$D$8^2)/(1+$D$8*COS(B64))</f>
        <v>158204571384.83945</v>
      </c>
      <c r="D64">
        <f>C64^2/2*$B$32</f>
        <v>3.1789220822854861E+20</v>
      </c>
      <c r="E64">
        <f t="shared" si="0"/>
        <v>159446857332.3623</v>
      </c>
      <c r="F64">
        <f t="shared" si="1"/>
        <v>109227300862.95581</v>
      </c>
    </row>
    <row r="65" spans="1:6" x14ac:dyDescent="0.25">
      <c r="A65" t="s">
        <v>70</v>
      </c>
      <c r="B65">
        <f>B64+$B$32</f>
        <v>0.78746909005220089</v>
      </c>
      <c r="C65">
        <f>$E$8*(1-$D$8^2)/(1+$D$8*COS(B65))</f>
        <v>158762470893.90576</v>
      </c>
      <c r="D65">
        <f>C65^2/2*$B$32</f>
        <v>3.201382194039037E+20</v>
      </c>
      <c r="E65">
        <f t="shared" si="0"/>
        <v>157029292793.07495</v>
      </c>
      <c r="F65">
        <f t="shared" si="1"/>
        <v>112494265278.82104</v>
      </c>
    </row>
    <row r="66" spans="1:6" x14ac:dyDescent="0.25">
      <c r="A66" t="s">
        <v>71</v>
      </c>
      <c r="B66">
        <f>B65+$B$32</f>
        <v>0.81287131876356222</v>
      </c>
      <c r="C66">
        <f>$E$8*(1-$D$8^2)/(1+$D$8*COS(B66))</f>
        <v>159338767457.68289</v>
      </c>
      <c r="D66">
        <f>C66^2/2*$B$32</f>
        <v>3.2246659595087197E+20</v>
      </c>
      <c r="E66">
        <f t="shared" si="0"/>
        <v>154532007683.37421</v>
      </c>
      <c r="F66">
        <f t="shared" si="1"/>
        <v>115722003559.31798</v>
      </c>
    </row>
    <row r="67" spans="1:6" x14ac:dyDescent="0.25">
      <c r="A67" t="s">
        <v>72</v>
      </c>
      <c r="B67">
        <f>B66+$B$32</f>
        <v>0.83827354747492355</v>
      </c>
      <c r="C67">
        <f>$E$8*(1-$D$8^2)/(1+$D$8*COS(B67))</f>
        <v>159933443543.9856</v>
      </c>
      <c r="D67">
        <f>C67^2/2*$B$32</f>
        <v>3.2487807459747306E+20</v>
      </c>
      <c r="E67">
        <f t="shared" si="0"/>
        <v>151955077976.06244</v>
      </c>
      <c r="F67">
        <f t="shared" si="1"/>
        <v>118908862827.67839</v>
      </c>
    </row>
    <row r="68" spans="1:6" x14ac:dyDescent="0.25">
      <c r="A68" t="s">
        <v>73</v>
      </c>
      <c r="B68">
        <f>B67+$B$32</f>
        <v>0.86367577618628488</v>
      </c>
      <c r="C68">
        <f>$E$8*(1-$D$8^2)/(1+$D$8*COS(B68))</f>
        <v>160546476429.45755</v>
      </c>
      <c r="D68">
        <f>C68^2/2*$B$32</f>
        <v>3.2737339560104074E+20</v>
      </c>
      <c r="E68">
        <f t="shared" si="0"/>
        <v>149298602139.01721</v>
      </c>
      <c r="F68">
        <f t="shared" si="1"/>
        <v>122053155165.12206</v>
      </c>
    </row>
    <row r="69" spans="1:6" x14ac:dyDescent="0.25">
      <c r="A69" t="s">
        <v>74</v>
      </c>
      <c r="B69">
        <f>B68+$B$32</f>
        <v>0.88907800489764621</v>
      </c>
      <c r="C69">
        <f>$E$8*(1-$D$8^2)/(1+$D$8*COS(B69))</f>
        <v>161177837717.15915</v>
      </c>
      <c r="D69">
        <f>C69^2/2*$B$32</f>
        <v>3.2995330027499238E+20</v>
      </c>
      <c r="E69">
        <f t="shared" si="0"/>
        <v>146562703225.64362</v>
      </c>
      <c r="F69">
        <f t="shared" si="1"/>
        <v>125153156910.55792</v>
      </c>
    </row>
    <row r="70" spans="1:6" x14ac:dyDescent="0.25">
      <c r="A70" t="s">
        <v>75</v>
      </c>
      <c r="B70">
        <f>B69+$B$32</f>
        <v>0.91448023360900754</v>
      </c>
      <c r="C70">
        <f>$E$8*(1-$D$8^2)/(1+$D$8*COS(B70))</f>
        <v>161827492833.01346</v>
      </c>
      <c r="D70">
        <f>C70^2/2*$B$32</f>
        <v>3.3261852834477978E+20</v>
      </c>
      <c r="E70">
        <f t="shared" si="0"/>
        <v>143747531056.94159</v>
      </c>
      <c r="F70">
        <f t="shared" si="1"/>
        <v>128207108019.70918</v>
      </c>
    </row>
    <row r="71" spans="1:6" x14ac:dyDescent="0.25">
      <c r="A71" t="s">
        <v>76</v>
      </c>
      <c r="B71">
        <f>B70+$B$32</f>
        <v>0.93988246232036887</v>
      </c>
      <c r="C71">
        <f>$E$8*(1-$D$8^2)/(1+$D$8*COS(B71))</f>
        <v>162495400500.80768</v>
      </c>
      <c r="D71">
        <f>C71^2/2*$B$32</f>
        <v>3.3536981512469263E+20</v>
      </c>
      <c r="E71">
        <f t="shared" si="0"/>
        <v>140853264496.50006</v>
      </c>
      <c r="F71">
        <f t="shared" si="1"/>
        <v>131213211489.09468</v>
      </c>
    </row>
    <row r="72" spans="1:6" x14ac:dyDescent="0.25">
      <c r="A72" t="s">
        <v>77</v>
      </c>
      <c r="B72">
        <f>B71+$B$32</f>
        <v>0.9652846910317302</v>
      </c>
      <c r="C72">
        <f>$E$8*(1-$D$8^2)/(1+$D$8*COS(B72))</f>
        <v>163181512195.49002</v>
      </c>
      <c r="D72">
        <f>C72^2/2*$B$32</f>
        <v>3.382078885071023E+20</v>
      </c>
      <c r="E72">
        <f t="shared" si="0"/>
        <v>137880113819.54333</v>
      </c>
      <c r="F72">
        <f t="shared" si="1"/>
        <v>134169632850.63998</v>
      </c>
    </row>
    <row r="73" spans="1:6" x14ac:dyDescent="0.25">
      <c r="A73" t="s">
        <v>78</v>
      </c>
      <c r="B73">
        <f>B72+$B$32</f>
        <v>0.99068691974309153</v>
      </c>
      <c r="C73">
        <f>$E$8*(1-$D$8^2)/(1+$D$8*COS(B73))</f>
        <v>163885771574.55176</v>
      </c>
      <c r="D73">
        <f>C73^2/2*$B$32</f>
        <v>3.4113346575569217E+20</v>
      </c>
      <c r="E73">
        <f t="shared" si="0"/>
        <v>134828323176.94237</v>
      </c>
      <c r="F73">
        <f t="shared" si="1"/>
        <v>137074499743.04105</v>
      </c>
    </row>
    <row r="74" spans="1:6" x14ac:dyDescent="0.25">
      <c r="A74" t="s">
        <v>79</v>
      </c>
      <c r="B74">
        <f>B73+$B$32</f>
        <v>1.0160891484544528</v>
      </c>
      <c r="C74">
        <f>$E$8*(1-$D$8^2)/(1+$D$8*COS(B74))</f>
        <v>164608113887.3407</v>
      </c>
      <c r="D74">
        <f>C74^2/2*$B$32</f>
        <v>3.441472500942285E+20</v>
      </c>
      <c r="E74">
        <f t="shared" si="0"/>
        <v>131698173154.85696</v>
      </c>
      <c r="F74">
        <f t="shared" si="1"/>
        <v>139925901566.35818</v>
      </c>
    </row>
    <row r="75" spans="1:6" x14ac:dyDescent="0.25">
      <c r="A75" t="s">
        <v>80</v>
      </c>
      <c r="B75">
        <f>B74+$B$32</f>
        <v>1.0414913771658141</v>
      </c>
      <c r="C75">
        <f>$E$8*(1-$D$8^2)/(1+$D$8*COS(B75))</f>
        <v>165348465362.21674</v>
      </c>
      <c r="D75">
        <f>C75^2/2*$B$32</f>
        <v>3.4724992708248764E+20</v>
      </c>
      <c r="E75">
        <f t="shared" si="0"/>
        <v>128489983430.39409</v>
      </c>
      <c r="F75">
        <f t="shared" si="1"/>
        <v>142721889226.67999</v>
      </c>
    </row>
    <row r="76" spans="1:6" x14ac:dyDescent="0.25">
      <c r="A76" t="s">
        <v>81</v>
      </c>
      <c r="B76">
        <f>B75+$B$32</f>
        <v>1.0668936058771754</v>
      </c>
      <c r="C76">
        <f>$E$8*(1-$D$8^2)/(1+$D$8*COS(B76))</f>
        <v>166106742571.53406</v>
      </c>
      <c r="D76">
        <f>C76^2/2*$B$32</f>
        <v>3.5044216077108314E+20</v>
      </c>
      <c r="E76">
        <f t="shared" si="0"/>
        <v>125204115523.35249</v>
      </c>
      <c r="F76">
        <f t="shared" si="1"/>
        <v>145460474978.0593</v>
      </c>
    </row>
    <row r="77" spans="1:6" x14ac:dyDescent="0.25">
      <c r="A77" t="s">
        <v>82</v>
      </c>
      <c r="B77">
        <f>B76+$B$32</f>
        <v>1.0922958345885367</v>
      </c>
      <c r="C77">
        <f>$E$8*(1-$D$8^2)/(1+$D$8*COS(B77))</f>
        <v>166882851774.51526</v>
      </c>
      <c r="D77">
        <f>C77^2/2*$B$32</f>
        <v>3.5372458962712507E+20</v>
      </c>
      <c r="E77">
        <f t="shared" si="0"/>
        <v>121840975643.76724</v>
      </c>
      <c r="F77">
        <f t="shared" si="1"/>
        <v>148139632369.29138</v>
      </c>
    </row>
    <row r="78" spans="1:6" x14ac:dyDescent="0.25">
      <c r="A78" t="s">
        <v>83</v>
      </c>
      <c r="B78">
        <f>B77+$B$32</f>
        <v>1.1176980632998981</v>
      </c>
      <c r="C78">
        <f>$E$8*(1-$D$8^2)/(1+$D$8*COS(B78))</f>
        <v>167676688238.17542</v>
      </c>
      <c r="D78">
        <f>C78^2/2*$B$32</f>
        <v>3.5709782222292346E+20</v>
      </c>
      <c r="E78">
        <f t="shared" si="0"/>
        <v>118401017634.57314</v>
      </c>
      <c r="F78">
        <f t="shared" si="1"/>
        <v>150757296303.46704</v>
      </c>
    </row>
    <row r="79" spans="1:6" x14ac:dyDescent="0.25">
      <c r="A79" t="s">
        <v>84</v>
      </c>
      <c r="B79">
        <f>B78+$B$32</f>
        <v>1.1431002920112594</v>
      </c>
      <c r="C79">
        <f>$E$8*(1-$D$8^2)/(1+$D$8*COS(B79))</f>
        <v>168488135536.55405</v>
      </c>
      <c r="D79">
        <f>C79^2/2*$B$32</f>
        <v>3.6056243268029501E+20</v>
      </c>
      <c r="E79">
        <f t="shared" si="0"/>
        <v>114884746008.26587</v>
      </c>
      <c r="F79">
        <f t="shared" si="1"/>
        <v>153311363218.59634</v>
      </c>
    </row>
    <row r="80" spans="1:6" x14ac:dyDescent="0.25">
      <c r="A80" t="s">
        <v>85</v>
      </c>
      <c r="B80">
        <f>B79+$B$32</f>
        <v>1.1685025207226207</v>
      </c>
      <c r="C80">
        <f>$E$8*(1-$D$8^2)/(1+$D$8*COS(B80))</f>
        <v>169317064828.62558</v>
      </c>
      <c r="D80">
        <f>C80^2/2*$B$32</f>
        <v>3.6411895586349161E+20</v>
      </c>
      <c r="E80">
        <f t="shared" si="0"/>
        <v>111292719075.9557</v>
      </c>
      <c r="F80">
        <f t="shared" si="1"/>
        <v>155799691397.95306</v>
      </c>
    </row>
    <row r="81" spans="1:6" x14ac:dyDescent="0.25">
      <c r="A81" t="s">
        <v>86</v>
      </c>
      <c r="B81">
        <f>B80+$B$32</f>
        <v>1.1939047494339821</v>
      </c>
      <c r="C81">
        <f>$E$8*(1-$D$8^2)/(1+$D$8*COS(B81))</f>
        <v>170163334115.38242</v>
      </c>
      <c r="D81">
        <f>C81^2/2*$B$32</f>
        <v>3.6776788231432497E+20</v>
      </c>
      <c r="E81">
        <f t="shared" si="0"/>
        <v>107625552166.67612</v>
      </c>
      <c r="F81">
        <f t="shared" si="1"/>
        <v>158220101419.13763</v>
      </c>
    </row>
    <row r="82" spans="1:6" x14ac:dyDescent="0.25">
      <c r="A82" t="s">
        <v>87</v>
      </c>
      <c r="B82">
        <f>B81+$B$32</f>
        <v>1.2193069781453434</v>
      </c>
      <c r="C82">
        <f>$E$8*(1-$D$8^2)/(1+$D$8*COS(B82))</f>
        <v>171026787476.71683</v>
      </c>
      <c r="D82">
        <f>C82^2/2*$B$32</f>
        <v>3.715096529237202E+20</v>
      </c>
      <c r="E82">
        <f t="shared" si="0"/>
        <v>103883920934.22719</v>
      </c>
      <c r="F82">
        <f t="shared" si="1"/>
        <v>160570376751.18579</v>
      </c>
    </row>
    <row r="83" spans="1:6" x14ac:dyDescent="0.25">
      <c r="A83" t="s">
        <v>88</v>
      </c>
      <c r="B83">
        <f>B82+$B$32</f>
        <v>1.2447092068567047</v>
      </c>
      <c r="C83">
        <f>$E$8*(1-$D$8^2)/(1+$D$8*COS(B83))</f>
        <v>171907254288.87689</v>
      </c>
      <c r="D83">
        <f>C83^2/2*$B$32</f>
        <v>3.7534465333473896E+20</v>
      </c>
      <c r="E83">
        <f t="shared" si="0"/>
        <v>100068564748.20023</v>
      </c>
      <c r="F83">
        <f t="shared" si="1"/>
        <v>162848264509.37039</v>
      </c>
    </row>
    <row r="84" spans="1:6" x14ac:dyDescent="0.25">
      <c r="A84" t="s">
        <v>89</v>
      </c>
      <c r="B84">
        <f>B83+$B$32</f>
        <v>1.270111435568066</v>
      </c>
      <c r="C84">
        <f>$E$8*(1-$D$8^2)/(1+$D$8*COS(B84))</f>
        <v>172804548423.42868</v>
      </c>
      <c r="D84">
        <f>C84^2/2*$B$32</f>
        <v>3.7927320807302411E+20</v>
      </c>
      <c r="E84">
        <f t="shared" si="0"/>
        <v>96180290165.142242</v>
      </c>
      <c r="F84">
        <f t="shared" si="1"/>
        <v>165051476377.63486</v>
      </c>
    </row>
    <row r="85" spans="1:6" x14ac:dyDescent="0.25">
      <c r="A85" t="s">
        <v>90</v>
      </c>
      <c r="B85">
        <f>B84+$B$32</f>
        <v>1.2955136642794274</v>
      </c>
      <c r="C85">
        <f>$E$8*(1-$D$8^2)/(1+$D$8*COS(B85))</f>
        <v>173718467428.82861</v>
      </c>
      <c r="D85">
        <f>C85^2/2*$B$32</f>
        <v>3.8329557440169627E+20</v>
      </c>
      <c r="E85">
        <f t="shared" si="0"/>
        <v>92219974475.075897</v>
      </c>
      <c r="F85">
        <f t="shared" si="1"/>
        <v>167177689708.86685</v>
      </c>
    </row>
    <row r="86" spans="1:6" x14ac:dyDescent="0.25">
      <c r="A86" t="s">
        <v>91</v>
      </c>
      <c r="B86">
        <f>B85+$B$32</f>
        <v>1.3209158929907887</v>
      </c>
      <c r="C86">
        <f>$E$8*(1-$D$8^2)/(1+$D$8*COS(B86))</f>
        <v>174648791695.89432</v>
      </c>
      <c r="D86">
        <f>C86^2/2*$B$32</f>
        <v>3.8741193589894932E+20</v>
      </c>
      <c r="E86">
        <f t="shared" si="0"/>
        <v>88188569317.79126</v>
      </c>
      <c r="F86">
        <f t="shared" si="1"/>
        <v>169224548813.4574</v>
      </c>
    </row>
    <row r="87" spans="1:6" x14ac:dyDescent="0.25">
      <c r="A87" t="s">
        <v>92</v>
      </c>
      <c r="B87">
        <f>B86+$B$32</f>
        <v>1.34631812170215</v>
      </c>
      <c r="C87">
        <f>$E$8*(1-$D$8^2)/(1+$D$8*COS(B87))</f>
        <v>175595283608.66101</v>
      </c>
      <c r="D87">
        <f>C87^2/2*$B$32</f>
        <v>3.9162239575798809E+20</v>
      </c>
      <c r="E87">
        <f t="shared" si="0"/>
        <v>84087104362.468964</v>
      </c>
      <c r="F87">
        <f t="shared" si="1"/>
        <v>171189666446.79099</v>
      </c>
    </row>
    <row r="88" spans="1:6" x14ac:dyDescent="0.25">
      <c r="A88" t="s">
        <v>93</v>
      </c>
      <c r="B88">
        <f>B87+$B$32</f>
        <v>1.3717203504135114</v>
      </c>
      <c r="C88">
        <f>$E$8*(1-$D$8^2)/(1+$D$8*COS(B88))</f>
        <v>176557686682.32025</v>
      </c>
      <c r="D88">
        <f>C88^2/2*$B$32</f>
        <v>3.9592696981050714E+20</v>
      </c>
      <c r="E88">
        <f t="shared" si="0"/>
        <v>79916691043.278946</v>
      </c>
      <c r="F88">
        <f t="shared" si="1"/>
        <v>173070625506.46939</v>
      </c>
    </row>
    <row r="89" spans="1:6" x14ac:dyDescent="0.25">
      <c r="A89" t="s">
        <v>94</v>
      </c>
      <c r="B89">
        <f>B88+$B$32</f>
        <v>1.3971225791248727</v>
      </c>
      <c r="C89">
        <f>$E$8*(1-$D$8^2)/(1+$D$8*COS(B89))</f>
        <v>177535724690.16345</v>
      </c>
      <c r="D89">
        <f>C89^2/2*$B$32</f>
        <v>4.0032557927666097E+20</v>
      </c>
      <c r="E89">
        <f t="shared" si="0"/>
        <v>75678526342.625031</v>
      </c>
      <c r="F89">
        <f t="shared" si="1"/>
        <v>174864980950.17874</v>
      </c>
    </row>
    <row r="90" spans="1:6" x14ac:dyDescent="0.25">
      <c r="A90" t="s">
        <v>95</v>
      </c>
      <c r="B90">
        <f>B89+$B$32</f>
        <v>1.422524807836234</v>
      </c>
      <c r="C90">
        <f>$E$8*(1-$D$8^2)/(1+$D$8*COS(B90))</f>
        <v>178529100781.69052</v>
      </c>
      <c r="D90">
        <f>C90^2/2*$B$32</f>
        <v>4.0481804324641879E+20</v>
      </c>
      <c r="E90">
        <f t="shared" si="0"/>
        <v>71373896612.674316</v>
      </c>
      <c r="F90">
        <f t="shared" si="1"/>
        <v>176570261945.16159</v>
      </c>
    </row>
    <row r="91" spans="1:6" x14ac:dyDescent="0.25">
      <c r="A91" t="s">
        <v>96</v>
      </c>
      <c r="B91">
        <f>B90+$B$32</f>
        <v>1.4479270365475954</v>
      </c>
      <c r="C91">
        <f>$E$8*(1-$D$8^2)/(1+$D$8*COS(B91))</f>
        <v>179537496594.29507</v>
      </c>
      <c r="D91">
        <f>C91^2/2*$B$32</f>
        <v>4.0940407089933792E+20</v>
      </c>
      <c r="E91">
        <f t="shared" si="0"/>
        <v>67004181424.721313</v>
      </c>
      <c r="F91">
        <f t="shared" si="1"/>
        <v>178183974260.24167</v>
      </c>
    </row>
    <row r="92" spans="1:6" x14ac:dyDescent="0.25">
      <c r="A92" t="s">
        <v>97</v>
      </c>
      <c r="B92">
        <f>B91+$B$32</f>
        <v>1.4733292652589567</v>
      </c>
      <c r="C92">
        <f>$E$8*(1-$D$8^2)/(1+$D$8*COS(B92))</f>
        <v>180560571361.20184</v>
      </c>
      <c r="D92">
        <f>C92^2/2*$B$32</f>
        <v>4.1408325347214813E+20</v>
      </c>
      <c r="E92">
        <f t="shared" si="0"/>
        <v>62570857434.791901</v>
      </c>
      <c r="F92">
        <f t="shared" si="1"/>
        <v>179703602911.26575</v>
      </c>
    </row>
    <row r="93" spans="1:6" x14ac:dyDescent="0.25">
      <c r="A93" t="s">
        <v>98</v>
      </c>
      <c r="B93">
        <f>B92+$B$32</f>
        <v>1.498731493970318</v>
      </c>
      <c r="C93">
        <f>$E$8*(1-$D$8^2)/(1+$D$8*COS(B93))</f>
        <v>181597961018.60883</v>
      </c>
      <c r="D93">
        <f>C93^2/2*$B$32</f>
        <v>4.1885505598611063E+20</v>
      </c>
      <c r="E93">
        <f t="shared" si="0"/>
        <v>58075502252.695137</v>
      </c>
      <c r="F93">
        <f t="shared" si="1"/>
        <v>181126615070.66248</v>
      </c>
    </row>
    <row r="94" spans="1:6" x14ac:dyDescent="0.25">
      <c r="A94" t="s">
        <v>99</v>
      </c>
      <c r="B94">
        <f>B93+$B$32</f>
        <v>1.5241337226816793</v>
      </c>
      <c r="C94">
        <f>$E$8*(1-$D$8^2)/(1+$D$8*COS(B94))</f>
        <v>182649277315.27335</v>
      </c>
      <c r="D94">
        <f>C94^2/2*$B$32</f>
        <v>4.2371880874890317E+20</v>
      </c>
      <c r="E94">
        <f t="shared" si="0"/>
        <v>53519798300.482246</v>
      </c>
      <c r="F94">
        <f t="shared" si="1"/>
        <v>182450463251.56516</v>
      </c>
    </row>
    <row r="95" spans="1:6" x14ac:dyDescent="0.25">
      <c r="A95" t="s">
        <v>100</v>
      </c>
      <c r="B95">
        <f>B94+$B$32</f>
        <v>1.5495359513930407</v>
      </c>
      <c r="C95">
        <f>$E$8*(1-$D$8^2)/(1+$D$8*COS(B95))</f>
        <v>183714106928.08176</v>
      </c>
      <c r="D95">
        <f>C95^2/2*$B$32</f>
        <v>4.2867369864880823E+20</v>
      </c>
      <c r="E95">
        <f t="shared" si="0"/>
        <v>48905536644.979034</v>
      </c>
      <c r="F95">
        <f t="shared" si="1"/>
        <v>183672588776.5983</v>
      </c>
    </row>
    <row r="96" spans="1:6" x14ac:dyDescent="0.25">
      <c r="A96" t="s">
        <v>101</v>
      </c>
      <c r="B96">
        <f>B95+$B$32</f>
        <v>1.574938180104402</v>
      </c>
      <c r="C96">
        <f>$E$8*(1-$D$8^2)/(1+$D$8*COS(B96))</f>
        <v>184792010587.44858</v>
      </c>
      <c r="D96">
        <f>C96^2/2*$B$32</f>
        <v>4.3371876026221573E+20</v>
      </c>
      <c r="E96">
        <f t="shared" si="0"/>
        <v>44234620787.722809</v>
      </c>
      <c r="F96">
        <f t="shared" si="1"/>
        <v>184790425540.97095</v>
      </c>
    </row>
    <row r="97" spans="1:6" x14ac:dyDescent="0.25">
      <c r="A97" t="s">
        <v>102</v>
      </c>
      <c r="B97">
        <f>B96+$B$32</f>
        <v>1.6003404088157633</v>
      </c>
      <c r="C97">
        <f>$E$8*(1-$D$8^2)/(1+$D$8*COS(B97))</f>
        <v>185882522216.70789</v>
      </c>
      <c r="D97">
        <f>C97^2/2*$B$32</f>
        <v>4.388528667989202E+20</v>
      </c>
      <c r="E97">
        <f t="shared" si="0"/>
        <v>39509070394.265869</v>
      </c>
      <c r="F97">
        <f t="shared" si="1"/>
        <v>185801404078.95139</v>
      </c>
    </row>
    <row r="98" spans="1:6" x14ac:dyDescent="0.25">
      <c r="A98" t="s">
        <v>103</v>
      </c>
      <c r="B98">
        <f>B97+$B$32</f>
        <v>1.6257426375271247</v>
      </c>
      <c r="C98">
        <f>$E$8*(1-$D$8^2)/(1+$D$8*COS(B98))</f>
        <v>186985148089.98215</v>
      </c>
      <c r="D98">
        <f>C98^2/2*$B$32</f>
        <v>4.4407472091337989E+20</v>
      </c>
      <c r="E98">
        <f t="shared" si="0"/>
        <v>34731024943.410736</v>
      </c>
      <c r="F98">
        <f t="shared" si="1"/>
        <v>186702955942.10529</v>
      </c>
    </row>
    <row r="99" spans="1:6" x14ac:dyDescent="0.25">
      <c r="A99" t="s">
        <v>104</v>
      </c>
      <c r="B99">
        <f>B98+$B$32</f>
        <v>1.651144866238486</v>
      </c>
      <c r="C99">
        <f>$E$8*(1-$D$8^2)/(1+$D$8*COS(B99))</f>
        <v>188099366013.33987</v>
      </c>
      <c r="D99">
        <f>C99^2/2*$B$32</f>
        <v>4.4938284541399328E+20</v>
      </c>
      <c r="E99">
        <f t="shared" ref="E99:E134" si="2">C99*COS(B99)+$E$8*$D$8</f>
        <v>29902747275.527229</v>
      </c>
      <c r="F99">
        <f t="shared" ref="F99:F134" si="3">C99*SIN(B99)</f>
        <v>187492518396.85178</v>
      </c>
    </row>
    <row r="100" spans="1:6" x14ac:dyDescent="0.25">
      <c r="A100" t="s">
        <v>105</v>
      </c>
      <c r="B100">
        <f>B99+$B$32</f>
        <v>1.6765470949498473</v>
      </c>
      <c r="C100">
        <f>$E$8*(1-$D$8^2)/(1+$D$8*COS(B100))</f>
        <v>189224624534.38208</v>
      </c>
      <c r="D100">
        <f>C100^2/2*$B$32</f>
        <v>4.5477557390654826E+20</v>
      </c>
      <c r="E100">
        <f t="shared" si="2"/>
        <v>25026627017.677643</v>
      </c>
      <c r="F100">
        <f t="shared" si="3"/>
        <v>188167539447.92633</v>
      </c>
    </row>
    <row r="101" spans="1:6" x14ac:dyDescent="0.25">
      <c r="A101" t="s">
        <v>106</v>
      </c>
      <c r="B101">
        <f>B100+$B$32</f>
        <v>1.7019493236612087</v>
      </c>
      <c r="C101">
        <f>$E$8*(1-$D$8^2)/(1+$D$8*COS(B101))</f>
        <v>190360342185.72574</v>
      </c>
      <c r="D101">
        <f>C101^2/2*$B$32</f>
        <v>4.602510414122698E+20</v>
      </c>
      <c r="E101">
        <f t="shared" si="2"/>
        <v>20105183861.855118</v>
      </c>
      <c r="F101">
        <f t="shared" si="3"/>
        <v>188725483193.22049</v>
      </c>
    </row>
    <row r="102" spans="1:6" x14ac:dyDescent="0.25">
      <c r="A102" t="s">
        <v>107</v>
      </c>
      <c r="B102">
        <f>B101+$B$32</f>
        <v>1.72735155237257</v>
      </c>
      <c r="C102">
        <f>$E$8*(1-$D$8^2)/(1+$D$8*COS(B102))</f>
        <v>191505906768.17651</v>
      </c>
      <c r="D102">
        <f>C102^2/2*$B$32</f>
        <v>4.6580717500533611E+20</v>
      </c>
      <c r="E102">
        <f t="shared" si="2"/>
        <v>15141070671.235153</v>
      </c>
      <c r="F102">
        <f t="shared" si="3"/>
        <v>189163835514.19479</v>
      </c>
    </row>
    <row r="103" spans="1:6" x14ac:dyDescent="0.25">
      <c r="A103" t="s">
        <v>108</v>
      </c>
      <c r="B103">
        <f>B102+$B$32</f>
        <v>1.7527537810839313</v>
      </c>
      <c r="C103">
        <f>$E$8*(1-$D$8^2)/(1+$D$8*COS(B103))</f>
        <v>192660674679.70044</v>
      </c>
      <c r="D103">
        <f>C103^2/2*$B$32</f>
        <v>4.7144168451929997E+20</v>
      </c>
      <c r="E103">
        <f t="shared" si="2"/>
        <v>10137076387.964714</v>
      </c>
      <c r="F103">
        <f t="shared" si="3"/>
        <v>189480110104.61957</v>
      </c>
    </row>
    <row r="104" spans="1:6" x14ac:dyDescent="0.25">
      <c r="A104" t="s">
        <v>109</v>
      </c>
      <c r="B104">
        <f>B103+$B$32</f>
        <v>1.7781560097952926</v>
      </c>
      <c r="C104">
        <f>$E$8*(1-$D$8^2)/(1+$D$8*COS(B104))</f>
        <v>193823970296.61136</v>
      </c>
      <c r="D104">
        <f>C104^2/2*$B$32</f>
        <v>4.771520533765427E+20</v>
      </c>
      <c r="E104">
        <f t="shared" si="2"/>
        <v>5096128714.6841125</v>
      </c>
      <c r="F104">
        <f t="shared" si="3"/>
        <v>189671854838.78894</v>
      </c>
    </row>
    <row r="105" spans="1:6" x14ac:dyDescent="0.25">
      <c r="A105" t="s">
        <v>110</v>
      </c>
      <c r="B105">
        <f>B104+$B$32</f>
        <v>1.803558238506654</v>
      </c>
      <c r="C105">
        <f>$E$8*(1-$D$8^2)/(1+$D$8*COS(B105))</f>
        <v>194995085413.68204</v>
      </c>
      <c r="D105">
        <f>C105^2/2*$B$32</f>
        <v>4.8293552959962304E+20</v>
      </c>
      <c r="E105">
        <f t="shared" si="2"/>
        <v>21296540.711181641</v>
      </c>
      <c r="F105">
        <f t="shared" si="3"/>
        <v>189736658478.5621</v>
      </c>
    </row>
    <row r="106" spans="1:6" x14ac:dyDescent="0.25">
      <c r="A106" t="s">
        <v>111</v>
      </c>
      <c r="B106">
        <f>B105+$B$32</f>
        <v>1.8289604672180153</v>
      </c>
      <c r="C106">
        <f>$E$8*(1-$D$8^2)/(1+$D$8*COS(B106))</f>
        <v>196173278750.16147</v>
      </c>
      <c r="D106">
        <f>C106^2/2*$B$32</f>
        <v>4.8878911706817213E+20</v>
      </c>
      <c r="E106">
        <f t="shared" si="2"/>
        <v>-5084207917.366394</v>
      </c>
      <c r="F106">
        <f t="shared" si="3"/>
        <v>189672157716.62051</v>
      </c>
    </row>
    <row r="107" spans="1:6" x14ac:dyDescent="0.25">
      <c r="A107" t="s">
        <v>112</v>
      </c>
      <c r="B107">
        <f>B106+$B$32</f>
        <v>1.8543626959293766</v>
      </c>
      <c r="C107">
        <f>$E$8*(1-$D$8^2)/(1+$D$8*COS(B107))</f>
        <v>197357775528.92889</v>
      </c>
      <c r="D107">
        <f>C107^2/2*$B$32</f>
        <v>4.9470956708972764E+20</v>
      </c>
      <c r="E107">
        <f t="shared" si="2"/>
        <v>-10217027292.025124</v>
      </c>
      <c r="F107">
        <f t="shared" si="3"/>
        <v>189476044551.17496</v>
      </c>
    </row>
    <row r="108" spans="1:6" x14ac:dyDescent="0.25">
      <c r="A108" t="s">
        <v>113</v>
      </c>
      <c r="B108">
        <f>B107+$B$32</f>
        <v>1.879764924640738</v>
      </c>
      <c r="C108">
        <f>$E$8*(1-$D$8^2)/(1+$D$8*COS(B108))</f>
        <v>198547767136.23599</v>
      </c>
      <c r="D108">
        <f>C108^2/2*$B$32</f>
        <v>5.0069337035757309E+20</v>
      </c>
      <c r="E108">
        <f t="shared" si="2"/>
        <v>-15373657590.35601</v>
      </c>
      <c r="F108">
        <f t="shared" si="3"/>
        <v>189146073985.02206</v>
      </c>
    </row>
    <row r="109" spans="1:6" x14ac:dyDescent="0.25">
      <c r="A109" t="s">
        <v>114</v>
      </c>
      <c r="B109">
        <f>B108+$B$32</f>
        <v>1.9051671533520993</v>
      </c>
      <c r="C109">
        <f>$E$8*(1-$D$8^2)/(1+$D$8*COS(B109))</f>
        <v>199742410869.67606</v>
      </c>
      <c r="D109">
        <f>C109^2/2*$B$32</f>
        <v>5.0673674937318887E+20</v>
      </c>
      <c r="E109">
        <f t="shared" si="2"/>
        <v>-20550447101.92952</v>
      </c>
      <c r="F109">
        <f t="shared" si="3"/>
        <v>188680072039.33231</v>
      </c>
    </row>
    <row r="110" spans="1:6" x14ac:dyDescent="0.25">
      <c r="A110" t="s">
        <v>115</v>
      </c>
      <c r="B110">
        <f>B109+$B$32</f>
        <v>1.9305693820634606</v>
      </c>
      <c r="C110">
        <f>$E$8*(1-$D$8^2)/(1+$D$8*COS(B110))</f>
        <v>200940829782.16333</v>
      </c>
      <c r="D110">
        <f>C110^2/2*$B$32</f>
        <v>5.1283565141522783E+20</v>
      </c>
      <c r="E110">
        <f t="shared" si="2"/>
        <v>-25743595722.707764</v>
      </c>
      <c r="F110">
        <f t="shared" si="3"/>
        <v>188075944069.85287</v>
      </c>
    </row>
    <row r="111" spans="1:6" x14ac:dyDescent="0.25">
      <c r="A111" t="s">
        <v>116</v>
      </c>
      <c r="B111">
        <f>B110+$B$32</f>
        <v>1.955971610774822</v>
      </c>
      <c r="C111">
        <f>$E$8*(1-$D$8^2)/(1+$D$8*COS(B111))</f>
        <v>202142112629.80972</v>
      </c>
      <c r="D111">
        <f>C111^2/2*$B$32</f>
        <v>5.1898574214098348E+20</v>
      </c>
      <c r="E111">
        <f t="shared" si="2"/>
        <v>-30949154729.175522</v>
      </c>
      <c r="F111">
        <f t="shared" si="3"/>
        <v>187331683370.34296</v>
      </c>
    </row>
    <row r="112" spans="1:6" x14ac:dyDescent="0.25">
      <c r="A112" t="s">
        <v>117</v>
      </c>
      <c r="B112">
        <f>B111+$B$32</f>
        <v>1.9813738394861833</v>
      </c>
      <c r="C112">
        <f>$E$8*(1-$D$8^2)/(1+$D$8*COS(B112))</f>
        <v>203345313931.63269</v>
      </c>
      <c r="D112">
        <f>C112^2/2*$B$32</f>
        <v>5.2518239990997234E+20</v>
      </c>
      <c r="E112">
        <f t="shared" si="2"/>
        <v>-36163027037.074966</v>
      </c>
      <c r="F112">
        <f t="shared" si="3"/>
        <v>186445380045.02359</v>
      </c>
    </row>
    <row r="113" spans="1:6" x14ac:dyDescent="0.25">
      <c r="A113" t="s">
        <v>118</v>
      </c>
      <c r="B113">
        <f>B112+$B$32</f>
        <v>2.0067760681975444</v>
      </c>
      <c r="C113">
        <f>$E$8*(1-$D$8^2)/(1+$D$8*COS(B113))</f>
        <v>204549454149.02158</v>
      </c>
      <c r="D113">
        <f>C113^2/2*$B$32</f>
        <v>5.3142071092248556E+20</v>
      </c>
      <c r="E113">
        <f t="shared" si="2"/>
        <v>-41380967979.093521</v>
      </c>
      <c r="F113">
        <f t="shared" si="3"/>
        <v>185415230128.64264</v>
      </c>
    </row>
    <row r="114" spans="1:6" x14ac:dyDescent="0.25">
      <c r="A114" t="s">
        <v>119</v>
      </c>
      <c r="B114">
        <f>B113+$B$32</f>
        <v>2.0321782969089055</v>
      </c>
      <c r="C114">
        <f>$E$8*(1-$D$8^2)/(1+$D$8*COS(B114))</f>
        <v>205753519992.81732</v>
      </c>
      <c r="D114">
        <f>C114^2/2*$B$32</f>
        <v>5.3769546526862901E+20</v>
      </c>
      <c r="E114">
        <f t="shared" si="2"/>
        <v>-46598586635.541672</v>
      </c>
      <c r="F114">
        <f t="shared" si="3"/>
        <v>184239544929.43646</v>
      </c>
    </row>
    <row r="115" spans="1:6" x14ac:dyDescent="0.25">
      <c r="A115" t="s">
        <v>120</v>
      </c>
      <c r="B115">
        <f>B114+$B$32</f>
        <v>2.0575805256202666</v>
      </c>
      <c r="C115">
        <f>$E$8*(1-$D$8^2)/(1+$D$8*COS(B115))</f>
        <v>206956464865.71738</v>
      </c>
      <c r="D115">
        <f>C115^2/2*$B$32</f>
        <v>5.4400115398541122E+20</v>
      </c>
      <c r="E115">
        <f t="shared" si="2"/>
        <v>-51811347751.441895</v>
      </c>
      <c r="F115">
        <f t="shared" si="3"/>
        <v>182916760566.83353</v>
      </c>
    </row>
    <row r="116" spans="1:6" x14ac:dyDescent="0.25">
      <c r="A116" t="s">
        <v>121</v>
      </c>
      <c r="B116">
        <f>B115+$B$32</f>
        <v>2.0829827543316277</v>
      </c>
      <c r="C116">
        <f>$E$8*(1-$D$8^2)/(1+$D$8*COS(B116))</f>
        <v>208157209447.50128</v>
      </c>
      <c r="D116">
        <f>C116^2/2*$B$32</f>
        <v>5.5033196722073161E+20</v>
      </c>
      <c r="E116">
        <f t="shared" si="2"/>
        <v>-57014574272.5056</v>
      </c>
      <c r="F116">
        <f t="shared" si="3"/>
        <v>181445447672.21457</v>
      </c>
    </row>
    <row r="117" spans="1:6" x14ac:dyDescent="0.25">
      <c r="A117" t="s">
        <v>122</v>
      </c>
      <c r="B117">
        <f>B116+$B$32</f>
        <v>2.1083849830429888</v>
      </c>
      <c r="C117">
        <f>$E$8*(1-$D$8^2)/(1+$D$8*COS(B117))</f>
        <v>209354642430.27188</v>
      </c>
      <c r="D117">
        <f>C117^2/2*$B$32</f>
        <v>5.5668179360358256E+20</v>
      </c>
      <c r="E117">
        <f t="shared" si="2"/>
        <v>-62203450531.178207</v>
      </c>
      <c r="F117">
        <f t="shared" si="3"/>
        <v>179824321217.44882</v>
      </c>
    </row>
    <row r="118" spans="1:6" x14ac:dyDescent="0.25">
      <c r="A118" t="s">
        <v>123</v>
      </c>
      <c r="B118">
        <f>B117+$B$32</f>
        <v>2.1337872117543499</v>
      </c>
      <c r="C118">
        <f>$E$8*(1-$D$8^2)/(1+$D$8*COS(B118))</f>
        <v>210547621410.52115</v>
      </c>
      <c r="D118">
        <f>C118^2/2*$B$32</f>
        <v>5.6304422091928987E+20</v>
      </c>
      <c r="E118">
        <f t="shared" si="2"/>
        <v>-67373026112.258377</v>
      </c>
      <c r="F118">
        <f t="shared" si="3"/>
        <v>178052250432.28699</v>
      </c>
    </row>
    <row r="119" spans="1:6" x14ac:dyDescent="0.25">
      <c r="A119" t="s">
        <v>124</v>
      </c>
      <c r="B119">
        <f>B118+$B$32</f>
        <v>2.159189440465711</v>
      </c>
      <c r="C119">
        <f>$E$8*(1-$D$8^2)/(1+$D$8*COS(B119))</f>
        <v>211734973944.35254</v>
      </c>
      <c r="D119">
        <f>C119^2/2*$B$32</f>
        <v>5.694125381871057E+20</v>
      </c>
      <c r="E119">
        <f t="shared" si="2"/>
        <v>-72518220425.527725</v>
      </c>
      <c r="F119">
        <f t="shared" si="3"/>
        <v>176128268768.05646</v>
      </c>
    </row>
    <row r="120" spans="1:6" x14ac:dyDescent="0.25">
      <c r="A120" t="s">
        <v>125</v>
      </c>
      <c r="B120">
        <f>B119+$B$32</f>
        <v>2.1845916691770721</v>
      </c>
      <c r="C120">
        <f>$E$8*(1-$D$8^2)/(1+$D$8*COS(B120))</f>
        <v>212915498771.61783</v>
      </c>
      <c r="D120">
        <f>C120^2/2*$B$32</f>
        <v>5.7577973923480614E+20</v>
      </c>
      <c r="E120">
        <f t="shared" si="2"/>
        <v>-77633828010.343842</v>
      </c>
      <c r="F120">
        <f t="shared" si="3"/>
        <v>174051583861.49835</v>
      </c>
    </row>
    <row r="121" spans="1:6" x14ac:dyDescent="0.25">
      <c r="A121" t="s">
        <v>126</v>
      </c>
      <c r="B121">
        <f>B120+$B$32</f>
        <v>2.2099938978884333</v>
      </c>
      <c r="C121">
        <f>$E$8*(1-$D$8^2)/(1+$D$8*COS(B121))</f>
        <v>214087967214.05417</v>
      </c>
      <c r="D121">
        <f>C121^2/2*$B$32</f>
        <v>5.8213852786107286E+20</v>
      </c>
      <c r="E121">
        <f t="shared" si="2"/>
        <v>-82714524594.234619</v>
      </c>
      <c r="F121">
        <f t="shared" si="3"/>
        <v>171821587449.05884</v>
      </c>
    </row>
    <row r="122" spans="1:6" x14ac:dyDescent="0.25">
      <c r="A122" t="s">
        <v>127</v>
      </c>
      <c r="B122">
        <f>B121+$B$32</f>
        <v>2.2353961265997944</v>
      </c>
      <c r="C122">
        <f>$E$8*(1-$D$8^2)/(1+$D$8*COS(B122))</f>
        <v>215251124751.73416</v>
      </c>
      <c r="D122">
        <f>C122^2/2*$B$32</f>
        <v>5.8848132467125977E+20</v>
      </c>
      <c r="E122">
        <f t="shared" si="2"/>
        <v>-87754873924.18132</v>
      </c>
      <c r="F122">
        <f t="shared" si="3"/>
        <v>169437865178.54071</v>
      </c>
    </row>
    <row r="123" spans="1:6" x14ac:dyDescent="0.25">
      <c r="A123" t="s">
        <v>128</v>
      </c>
      <c r="B123">
        <f>B122+$B$32</f>
        <v>2.2607983553111555</v>
      </c>
      <c r="C123">
        <f>$E$8*(1-$D$8^2)/(1+$D$8*COS(B123))</f>
        <v>216403692781.26462</v>
      </c>
      <c r="D123">
        <f>C123^2/2*$B$32</f>
        <v>5.9480027566558636E+20</v>
      </c>
      <c r="E123">
        <f t="shared" si="2"/>
        <v>-92749335385.480011</v>
      </c>
      <c r="F123">
        <f t="shared" si="3"/>
        <v>166900206261.78537</v>
      </c>
    </row>
    <row r="124" spans="1:6" x14ac:dyDescent="0.25">
      <c r="A124" t="s">
        <v>129</v>
      </c>
      <c r="B124">
        <f>B123+$B$32</f>
        <v>2.2862005840225166</v>
      </c>
      <c r="C124">
        <f>$E$8*(1-$D$8^2)/(1+$D$8*COS(B124))</f>
        <v>217544370558.19125</v>
      </c>
      <c r="D124">
        <f>C124^2/2*$B$32</f>
        <v>6.0108726265081286E+20</v>
      </c>
      <c r="E124">
        <f t="shared" si="2"/>
        <v>-97692272418.828735</v>
      </c>
      <c r="F124">
        <f t="shared" si="3"/>
        <v>164208612909.03836</v>
      </c>
    </row>
    <row r="125" spans="1:6" x14ac:dyDescent="0.25">
      <c r="A125" t="s">
        <v>130</v>
      </c>
      <c r="B125">
        <f>B124+$B$32</f>
        <v>2.3116028127338777</v>
      </c>
      <c r="C125">
        <f>$E$8*(1-$D$8^2)/(1+$D$8*COS(B125))</f>
        <v>218671837324.98627</v>
      </c>
      <c r="D125">
        <f>C125^2/2*$B$32</f>
        <v>6.0733391553699407E+20</v>
      </c>
      <c r="E125">
        <f t="shared" si="2"/>
        <v>-102577961741.60715</v>
      </c>
      <c r="F125">
        <f t="shared" si="3"/>
        <v>161363309482.91187</v>
      </c>
    </row>
    <row r="126" spans="1:6" x14ac:dyDescent="0.25">
      <c r="A126" t="s">
        <v>131</v>
      </c>
      <c r="B126">
        <f>B125+$B$32</f>
        <v>2.3370050414452388</v>
      </c>
      <c r="C126">
        <f>$E$8*(1-$D$8^2)/(1+$D$8*COS(B126))</f>
        <v>219784754624.81702</v>
      </c>
      <c r="D126">
        <f>C126^2/2*$B$32</f>
        <v>6.1353162656994938E+20</v>
      </c>
      <c r="E126">
        <f t="shared" si="2"/>
        <v>-107400603374.20703</v>
      </c>
      <c r="F126">
        <f t="shared" si="3"/>
        <v>158364751307.44421</v>
      </c>
    </row>
    <row r="127" spans="1:6" x14ac:dyDescent="0.25">
      <c r="A127" t="s">
        <v>132</v>
      </c>
      <c r="B127">
        <f>B126+$B$32</f>
        <v>2.3624072701565999</v>
      </c>
      <c r="C127">
        <f>$E$8*(1-$D$8^2)/(1+$D$8*COS(B127))</f>
        <v>220881768800.02008</v>
      </c>
      <c r="D127">
        <f>C127^2/2*$B$32</f>
        <v>6.1967156653762858E+20</v>
      </c>
      <c r="E127">
        <f t="shared" si="2"/>
        <v>-112154331466.75366</v>
      </c>
      <c r="F127">
        <f t="shared" si="3"/>
        <v>155213633065.73053</v>
      </c>
    </row>
    <row r="128" spans="1:6" x14ac:dyDescent="0.25">
      <c r="A128" t="s">
        <v>133</v>
      </c>
      <c r="B128">
        <f>B127+$B$32</f>
        <v>2.387809498867961</v>
      </c>
      <c r="C128">
        <f>$E$8*(1-$D$8^2)/(1+$D$8*COS(B128))</f>
        <v>221961513672.84525</v>
      </c>
      <c r="D128">
        <f>C128^2/2*$B$32</f>
        <v>6.2574470297463122E+20</v>
      </c>
      <c r="E128">
        <f t="shared" si="2"/>
        <v>-116833225915.66284</v>
      </c>
      <c r="F128">
        <f t="shared" si="3"/>
        <v>151910896718.01263</v>
      </c>
    </row>
    <row r="129" spans="1:6" x14ac:dyDescent="0.25">
      <c r="A129" t="s">
        <v>134</v>
      </c>
      <c r="B129">
        <f>B128+$B$32</f>
        <v>2.4132117275793221</v>
      </c>
      <c r="C129">
        <f>$E$8*(1-$D$8^2)/(1+$D$8*COS(B129))</f>
        <v>223022613404.59186</v>
      </c>
      <c r="D129">
        <f>C129^2/2*$B$32</f>
        <v>6.317418203737728E+20</v>
      </c>
      <c r="E129">
        <f t="shared" si="2"/>
        <v>-121431324753.23135</v>
      </c>
      <c r="F129">
        <f t="shared" si="3"/>
        <v>148457738871.02847</v>
      </c>
    </row>
    <row r="130" spans="1:6" x14ac:dyDescent="0.25">
      <c r="A130" t="s">
        <v>135</v>
      </c>
      <c r="B130">
        <f>B129+$B$32</f>
        <v>2.4386139562906832</v>
      </c>
      <c r="C130">
        <f>$E$8*(1-$D$8^2)/(1+$D$8*COS(B130))</f>
        <v>224063685527.74838</v>
      </c>
      <c r="D130">
        <f>C130^2/2*$B$32</f>
        <v>6.3765354239689071E+20</v>
      </c>
      <c r="E130">
        <f t="shared" si="2"/>
        <v>-125942637286.90961</v>
      </c>
      <c r="F130">
        <f t="shared" si="3"/>
        <v>144855617528.88211</v>
      </c>
    </row>
    <row r="131" spans="1:6" x14ac:dyDescent="0.25">
      <c r="A131" t="s">
        <v>136</v>
      </c>
      <c r="B131">
        <f>B130+$B$32</f>
        <v>2.4640161850020443</v>
      </c>
      <c r="C131">
        <f>$E$8*(1-$D$8^2)/(1+$D$8*COS(B131))</f>
        <v>225083344144.17752</v>
      </c>
      <c r="D131">
        <f>C131^2/2*$B$32</f>
        <v>6.434703560591362E+20</v>
      </c>
      <c r="E131">
        <f t="shared" si="2"/>
        <v>-130361157958.1026</v>
      </c>
      <c r="F131">
        <f t="shared" si="3"/>
        <v>141106258155.75879</v>
      </c>
    </row>
    <row r="132" spans="1:6" x14ac:dyDescent="0.25">
      <c r="A132" t="s">
        <v>137</v>
      </c>
      <c r="B132">
        <f>B131+$B$32</f>
        <v>2.4894184137134054</v>
      </c>
      <c r="C132">
        <f>$E$8*(1-$D$8^2)/(1+$D$8*COS(B132))</f>
        <v>226080203280.77194</v>
      </c>
      <c r="D132">
        <f>C132^2/2*$B$32</f>
        <v>6.4918263784193943E+20</v>
      </c>
      <c r="E132">
        <f t="shared" si="2"/>
        <v>-134680880883.34503</v>
      </c>
      <c r="F132">
        <f t="shared" si="3"/>
        <v>137211658981.51782</v>
      </c>
    </row>
    <row r="133" spans="1:6" x14ac:dyDescent="0.25">
      <c r="A133" t="s">
        <v>138</v>
      </c>
      <c r="B133">
        <f>B132+$B$32</f>
        <v>2.5148206424247666</v>
      </c>
      <c r="C133">
        <f>$E$8*(1-$D$8^2)/(1+$D$8*COS(B133))</f>
        <v>227052880392.36206</v>
      </c>
      <c r="D133">
        <f>C133^2/2*$B$32</f>
        <v>6.5478068166984624E+20</v>
      </c>
      <c r="E133">
        <f t="shared" si="2"/>
        <v>-138895815033.56897</v>
      </c>
      <c r="F133">
        <f t="shared" si="3"/>
        <v>133174095482.59624</v>
      </c>
    </row>
    <row r="134" spans="1:6" x14ac:dyDescent="0.25">
      <c r="A134" t="s">
        <v>139</v>
      </c>
      <c r="B134">
        <f>B133+$B$32</f>
        <v>2.5402228711361277</v>
      </c>
      <c r="C134">
        <f>$E$8*(1-$D$8^2)/(1+$D$8*COS(B134))</f>
        <v>227999999999.99988</v>
      </c>
      <c r="D134">
        <f>C134^2/2*$B$32</f>
        <v>6.6025472866570233E+20</v>
      </c>
      <c r="E134">
        <f t="shared" si="2"/>
        <v>-142999999999.99951</v>
      </c>
      <c r="F134">
        <f t="shared" si="3"/>
        <v>128996123972.77731</v>
      </c>
    </row>
  </sheetData>
  <mergeCells count="1">
    <mergeCell ref="A31:D31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" sqref="A2"/>
    </sheetView>
  </sheetViews>
  <sheetFormatPr defaultRowHeight="14" x14ac:dyDescent="0.25"/>
  <cols>
    <col min="3" max="3" width="11.08984375" customWidth="1"/>
    <col min="4" max="4" width="27.81640625" customWidth="1"/>
    <col min="6" max="6" width="14.1796875" customWidth="1"/>
    <col min="7" max="7" width="16.54296875" customWidth="1"/>
    <col min="8" max="8" width="15.7265625" customWidth="1"/>
    <col min="9" max="9" width="14.1796875" customWidth="1"/>
    <col min="10" max="10" width="16.7265625" customWidth="1"/>
  </cols>
  <sheetData>
    <row r="1" spans="1:9" ht="22.5" customHeight="1" x14ac:dyDescent="0.25"/>
    <row r="2" spans="1:9" x14ac:dyDescent="0.25">
      <c r="A2" s="4" t="s">
        <v>219</v>
      </c>
      <c r="B2" s="2" t="s">
        <v>20</v>
      </c>
      <c r="C2" t="s">
        <v>21</v>
      </c>
      <c r="D2" t="s">
        <v>24</v>
      </c>
      <c r="E2" t="s">
        <v>22</v>
      </c>
      <c r="F2" s="1" t="s">
        <v>190</v>
      </c>
      <c r="G2" s="1" t="s">
        <v>23</v>
      </c>
      <c r="H2" s="1" t="s">
        <v>25</v>
      </c>
      <c r="I2" s="1" t="s">
        <v>218</v>
      </c>
    </row>
    <row r="3" spans="1:9" x14ac:dyDescent="0.25">
      <c r="B3" s="7">
        <f>5.965*10^24*6.67*10^(-11)</f>
        <v>397865499999999.94</v>
      </c>
      <c r="C3">
        <f>SQRT(常数!C5/(15*10^10))</f>
        <v>29776.948578836393</v>
      </c>
      <c r="D3">
        <v>10000</v>
      </c>
      <c r="E3">
        <v>6771000</v>
      </c>
      <c r="F3">
        <f>SQRT(2*B3/E3+D3^2)</f>
        <v>14748.574672866209</v>
      </c>
      <c r="G3">
        <f>1+E3*D3^2/B3</f>
        <v>2.7018313977964921</v>
      </c>
      <c r="H3">
        <f>2*ASIN(1/G3)</f>
        <v>0.75827491777971356</v>
      </c>
      <c r="I3">
        <f>H3*180/PI()</f>
        <v>43.445952499407092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常数</vt:lpstr>
      <vt:lpstr>已知周期和e算ap</vt:lpstr>
      <vt:lpstr>霍曼转移计算（地球轨道）</vt:lpstr>
      <vt:lpstr>霍曼转移计算（行星际）</vt:lpstr>
      <vt:lpstr>快速转移轨道计算（行星际）</vt:lpstr>
      <vt:lpstr>引力弹弓计算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2020-04-16T14:50:00Z</dcterms:modified>
</cp:coreProperties>
</file>