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150" windowWidth="19200" windowHeight="11580"/>
  </bookViews>
  <sheets>
    <sheet name="在建项目保险理赔情况统计季报" sheetId="1" r:id="rId1"/>
    <sheet name="工程汇总草稿1" sheetId="8" state="hidden" r:id="rId2"/>
    <sheet name="人身汇总草稿2" sheetId="9" state="hidden" r:id="rId3"/>
    <sheet name="草稿留底" sheetId="7" state="hidden" r:id="rId4"/>
    <sheet name="Sheet3" sheetId="3" r:id="rId5"/>
  </sheets>
  <externalReferences>
    <externalReference r:id="rId6"/>
  </externalReferences>
  <definedNames>
    <definedName name="_xlnm._FilterDatabase" localSheetId="1" hidden="1">工程汇总草稿1!$A$4:$AA$886</definedName>
    <definedName name="_xlnm._FilterDatabase" localSheetId="2" hidden="1">人身汇总草稿2!$A$4:$AA$886</definedName>
    <definedName name="_xlnm._FilterDatabase" localSheetId="0" hidden="1">在建项目保险理赔情况统计季报!$A$4:$Y$10</definedName>
  </definedNames>
  <calcPr calcId="125725"/>
</workbook>
</file>

<file path=xl/calcChain.xml><?xml version="1.0" encoding="utf-8"?>
<calcChain xmlns="http://schemas.openxmlformats.org/spreadsheetml/2006/main">
  <c r="AG33" i="8"/>
  <c r="AG32"/>
  <c r="AG31"/>
  <c r="AG30"/>
  <c r="AG29"/>
  <c r="AG28"/>
  <c r="AG27"/>
  <c r="AG26"/>
  <c r="AG25"/>
  <c r="AG24"/>
  <c r="AG10"/>
  <c r="AG20" i="9"/>
  <c r="AG19"/>
  <c r="AG18"/>
  <c r="AG17"/>
  <c r="AG16"/>
  <c r="AG15"/>
  <c r="AG14"/>
  <c r="AG13"/>
  <c r="AG12"/>
  <c r="AG11"/>
  <c r="AG8"/>
  <c r="AE32" i="8"/>
  <c r="AC13" i="9"/>
  <c r="AE20"/>
  <c r="AD20"/>
  <c r="AC20"/>
  <c r="AE19"/>
  <c r="AD19"/>
  <c r="AC19"/>
  <c r="AE18"/>
  <c r="AD18"/>
  <c r="AC18"/>
  <c r="AD17"/>
  <c r="AE17"/>
  <c r="AC17"/>
  <c r="AE16"/>
  <c r="AD16"/>
  <c r="AC16"/>
  <c r="AE15"/>
  <c r="AD15"/>
  <c r="AC15"/>
  <c r="AE14"/>
  <c r="AC14"/>
  <c r="AD14"/>
  <c r="AE13"/>
  <c r="AD13"/>
  <c r="AE12"/>
  <c r="AD12"/>
  <c r="AC12"/>
  <c r="AE11"/>
  <c r="AD11"/>
  <c r="AC11"/>
  <c r="AE8"/>
  <c r="AD8"/>
  <c r="AC8"/>
  <c r="AE33" i="8"/>
  <c r="AD33"/>
  <c r="AC33"/>
  <c r="AD32"/>
  <c r="AC32"/>
  <c r="AE31"/>
  <c r="AD31"/>
  <c r="AC31"/>
  <c r="AE30"/>
  <c r="AD30"/>
  <c r="AC30"/>
  <c r="AE29"/>
  <c r="AD29"/>
  <c r="AC29"/>
  <c r="AE28"/>
  <c r="AD28"/>
  <c r="AC28"/>
  <c r="AE27"/>
  <c r="AD27"/>
  <c r="AC27"/>
  <c r="AE26"/>
  <c r="AD26"/>
  <c r="AC26"/>
  <c r="AE25"/>
  <c r="AD25"/>
  <c r="AC25"/>
  <c r="AE24"/>
  <c r="AD24"/>
  <c r="AC24"/>
  <c r="AE10"/>
  <c r="AD10"/>
  <c r="AC10"/>
  <c r="W877" i="9"/>
  <c r="Y877" s="1"/>
  <c r="V877"/>
  <c r="M877"/>
  <c r="J877"/>
  <c r="W876"/>
  <c r="Y876" s="1"/>
  <c r="V876"/>
  <c r="X876" s="1"/>
  <c r="U876"/>
  <c r="M876"/>
  <c r="W874"/>
  <c r="Y874" s="1"/>
  <c r="V874"/>
  <c r="U868"/>
  <c r="W864"/>
  <c r="Y864" s="1"/>
  <c r="V864"/>
  <c r="U864"/>
  <c r="M864"/>
  <c r="H863"/>
  <c r="G863"/>
  <c r="U862"/>
  <c r="W861"/>
  <c r="Y861" s="1"/>
  <c r="V861"/>
  <c r="X861" s="1"/>
  <c r="U861"/>
  <c r="U858"/>
  <c r="U857"/>
  <c r="U856"/>
  <c r="U855"/>
  <c r="U854"/>
  <c r="U853"/>
  <c r="W852"/>
  <c r="Y852" s="1"/>
  <c r="V852"/>
  <c r="M852"/>
  <c r="U851"/>
  <c r="U850"/>
  <c r="U849"/>
  <c r="W848"/>
  <c r="Y848" s="1"/>
  <c r="V848"/>
  <c r="X848" s="1"/>
  <c r="U848"/>
  <c r="M848"/>
  <c r="W847"/>
  <c r="Y847" s="1"/>
  <c r="V847"/>
  <c r="U847"/>
  <c r="M847"/>
  <c r="U846"/>
  <c r="W845"/>
  <c r="Y845" s="1"/>
  <c r="V845"/>
  <c r="U845"/>
  <c r="M845"/>
  <c r="U844"/>
  <c r="W843"/>
  <c r="Y843" s="1"/>
  <c r="V843"/>
  <c r="U843"/>
  <c r="M843"/>
  <c r="U841"/>
  <c r="U840"/>
  <c r="U839"/>
  <c r="U838"/>
  <c r="U837"/>
  <c r="U836"/>
  <c r="U835"/>
  <c r="U834"/>
  <c r="U833"/>
  <c r="U832"/>
  <c r="U831"/>
  <c r="U830"/>
  <c r="T829"/>
  <c r="W829" s="1"/>
  <c r="R829"/>
  <c r="Q829"/>
  <c r="V829" s="1"/>
  <c r="J829"/>
  <c r="G829"/>
  <c r="M829" s="1"/>
  <c r="M828"/>
  <c r="M827"/>
  <c r="W815"/>
  <c r="Y815" s="1"/>
  <c r="V815"/>
  <c r="X815" s="1"/>
  <c r="W814"/>
  <c r="V814"/>
  <c r="U814"/>
  <c r="M814"/>
  <c r="W811"/>
  <c r="Y811" s="1"/>
  <c r="V811"/>
  <c r="X811" s="1"/>
  <c r="M811"/>
  <c r="M807"/>
  <c r="W806"/>
  <c r="X806" s="1"/>
  <c r="V806"/>
  <c r="U806"/>
  <c r="M806"/>
  <c r="T805"/>
  <c r="U805" s="1"/>
  <c r="R805"/>
  <c r="M805"/>
  <c r="V804"/>
  <c r="T804"/>
  <c r="W804" s="1"/>
  <c r="R804"/>
  <c r="M804"/>
  <c r="U803"/>
  <c r="M803"/>
  <c r="U802"/>
  <c r="M802"/>
  <c r="U801"/>
  <c r="M801"/>
  <c r="U800"/>
  <c r="M800"/>
  <c r="W799"/>
  <c r="X799" s="1"/>
  <c r="V799"/>
  <c r="U799"/>
  <c r="M799"/>
  <c r="U798"/>
  <c r="W797"/>
  <c r="Y797" s="1"/>
  <c r="V797"/>
  <c r="X797" s="1"/>
  <c r="U797"/>
  <c r="M797"/>
  <c r="G796"/>
  <c r="B796"/>
  <c r="B797" s="1"/>
  <c r="B799" s="1"/>
  <c r="B804" s="1"/>
  <c r="B806" s="1"/>
  <c r="B807" s="1"/>
  <c r="B808" s="1"/>
  <c r="B809" s="1"/>
  <c r="B810" s="1"/>
  <c r="B811" s="1"/>
  <c r="B814" s="1"/>
  <c r="B815" s="1"/>
  <c r="B826" s="1"/>
  <c r="B827" s="1"/>
  <c r="B828" s="1"/>
  <c r="B829" s="1"/>
  <c r="B843" s="1"/>
  <c r="B845" s="1"/>
  <c r="B847" s="1"/>
  <c r="B848" s="1"/>
  <c r="B852" s="1"/>
  <c r="B860" s="1"/>
  <c r="B861" s="1"/>
  <c r="B863" s="1"/>
  <c r="B864" s="1"/>
  <c r="B872" s="1"/>
  <c r="B873" s="1"/>
  <c r="B874" s="1"/>
  <c r="B876" s="1"/>
  <c r="B877" s="1"/>
  <c r="U795"/>
  <c r="U794"/>
  <c r="U793"/>
  <c r="U792"/>
  <c r="U791"/>
  <c r="U790"/>
  <c r="U789"/>
  <c r="U788"/>
  <c r="U787"/>
  <c r="U786"/>
  <c r="U785"/>
  <c r="U784"/>
  <c r="U783"/>
  <c r="U782"/>
  <c r="U781"/>
  <c r="U780"/>
  <c r="U779"/>
  <c r="U778"/>
  <c r="U777"/>
  <c r="U776"/>
  <c r="U775"/>
  <c r="W774"/>
  <c r="Y774" s="1"/>
  <c r="V774"/>
  <c r="X774" s="1"/>
  <c r="U774"/>
  <c r="M774"/>
  <c r="M773"/>
  <c r="M772"/>
  <c r="W771"/>
  <c r="V771"/>
  <c r="U762"/>
  <c r="U761"/>
  <c r="U760"/>
  <c r="W759"/>
  <c r="Y759" s="1"/>
  <c r="V759"/>
  <c r="U759"/>
  <c r="M759"/>
  <c r="M758"/>
  <c r="M757"/>
  <c r="M756"/>
  <c r="W752"/>
  <c r="X752" s="1"/>
  <c r="V752"/>
  <c r="M752"/>
  <c r="M751"/>
  <c r="W750"/>
  <c r="Y750" s="1"/>
  <c r="V750"/>
  <c r="X750" s="1"/>
  <c r="U750"/>
  <c r="M750"/>
  <c r="W737"/>
  <c r="Y737" s="1"/>
  <c r="V737"/>
  <c r="X737" s="1"/>
  <c r="M737"/>
  <c r="W733"/>
  <c r="Y733" s="1"/>
  <c r="V733"/>
  <c r="U733"/>
  <c r="M733"/>
  <c r="U729"/>
  <c r="T729"/>
  <c r="D717"/>
  <c r="W714"/>
  <c r="X714" s="1"/>
  <c r="V714"/>
  <c r="J714"/>
  <c r="G714"/>
  <c r="M714" s="1"/>
  <c r="U701"/>
  <c r="W698"/>
  <c r="X698" s="1"/>
  <c r="V698"/>
  <c r="J698"/>
  <c r="G698"/>
  <c r="M698" s="1"/>
  <c r="D698"/>
  <c r="U695"/>
  <c r="U694"/>
  <c r="U692"/>
  <c r="U688"/>
  <c r="U684"/>
  <c r="U683"/>
  <c r="W682"/>
  <c r="V682"/>
  <c r="U682"/>
  <c r="J682"/>
  <c r="G682"/>
  <c r="M682" s="1"/>
  <c r="M677"/>
  <c r="M676"/>
  <c r="V675"/>
  <c r="M675"/>
  <c r="J674"/>
  <c r="G674"/>
  <c r="M674" s="1"/>
  <c r="M673"/>
  <c r="M672"/>
  <c r="M671"/>
  <c r="M670"/>
  <c r="M669"/>
  <c r="U668"/>
  <c r="U667"/>
  <c r="U666"/>
  <c r="W665"/>
  <c r="X665" s="1"/>
  <c r="V665"/>
  <c r="U665"/>
  <c r="M665"/>
  <c r="R664"/>
  <c r="R663"/>
  <c r="W661"/>
  <c r="V661"/>
  <c r="G661"/>
  <c r="M661" s="1"/>
  <c r="W655"/>
  <c r="X655" s="1"/>
  <c r="V655"/>
  <c r="U655"/>
  <c r="M655"/>
  <c r="M654"/>
  <c r="J653"/>
  <c r="G653"/>
  <c r="M653" s="1"/>
  <c r="J652"/>
  <c r="H652"/>
  <c r="M652" s="1"/>
  <c r="G652"/>
  <c r="U651"/>
  <c r="W650"/>
  <c r="Y650" s="1"/>
  <c r="V650"/>
  <c r="X650" s="1"/>
  <c r="U650"/>
  <c r="M650"/>
  <c r="U642"/>
  <c r="U641"/>
  <c r="W639"/>
  <c r="V639"/>
  <c r="X639" s="1"/>
  <c r="J639"/>
  <c r="G639"/>
  <c r="M639" s="1"/>
  <c r="R629"/>
  <c r="R627"/>
  <c r="Q627"/>
  <c r="R626"/>
  <c r="R625"/>
  <c r="R624"/>
  <c r="Q624"/>
  <c r="U624" s="1"/>
  <c r="R623"/>
  <c r="Q623"/>
  <c r="U623" s="1"/>
  <c r="R622"/>
  <c r="Q622"/>
  <c r="U622" s="1"/>
  <c r="R621"/>
  <c r="Q621"/>
  <c r="U621" s="1"/>
  <c r="W620"/>
  <c r="R620"/>
  <c r="Q620"/>
  <c r="U620" s="1"/>
  <c r="J620"/>
  <c r="G620"/>
  <c r="M620" s="1"/>
  <c r="U619"/>
  <c r="W618"/>
  <c r="X618" s="1"/>
  <c r="V618"/>
  <c r="U618"/>
  <c r="M618"/>
  <c r="U617"/>
  <c r="U616"/>
  <c r="U615"/>
  <c r="U614"/>
  <c r="U613"/>
  <c r="U612"/>
  <c r="U611"/>
  <c r="U610"/>
  <c r="U609"/>
  <c r="U608"/>
  <c r="U607"/>
  <c r="U606"/>
  <c r="U605"/>
  <c r="U604"/>
  <c r="U603"/>
  <c r="U602"/>
  <c r="U601"/>
  <c r="U600"/>
  <c r="U599"/>
  <c r="U598"/>
  <c r="U597"/>
  <c r="U596"/>
  <c r="W595"/>
  <c r="X595" s="1"/>
  <c r="V595"/>
  <c r="U595"/>
  <c r="M595"/>
  <c r="U594"/>
  <c r="W593"/>
  <c r="V593"/>
  <c r="U593"/>
  <c r="G593"/>
  <c r="M593" s="1"/>
  <c r="W586"/>
  <c r="V586"/>
  <c r="G586"/>
  <c r="W585"/>
  <c r="Y585" s="1"/>
  <c r="V585"/>
  <c r="U585"/>
  <c r="M585"/>
  <c r="U584"/>
  <c r="U583"/>
  <c r="W582"/>
  <c r="Y582" s="1"/>
  <c r="V582"/>
  <c r="X582" s="1"/>
  <c r="U582"/>
  <c r="M582"/>
  <c r="U581"/>
  <c r="U580"/>
  <c r="U579"/>
  <c r="W578"/>
  <c r="X578" s="1"/>
  <c r="V578"/>
  <c r="U578"/>
  <c r="M578"/>
  <c r="W577"/>
  <c r="V577"/>
  <c r="U577"/>
  <c r="J577"/>
  <c r="M577" s="1"/>
  <c r="W576"/>
  <c r="Y576" s="1"/>
  <c r="V576"/>
  <c r="U576"/>
  <c r="M576"/>
  <c r="W573"/>
  <c r="V573"/>
  <c r="M573"/>
  <c r="W572"/>
  <c r="V572"/>
  <c r="M572"/>
  <c r="U570"/>
  <c r="W569"/>
  <c r="V569"/>
  <c r="U569"/>
  <c r="M569"/>
  <c r="M568"/>
  <c r="M567"/>
  <c r="M565"/>
  <c r="M564"/>
  <c r="M563"/>
  <c r="M562"/>
  <c r="M561"/>
  <c r="M560"/>
  <c r="M559"/>
  <c r="M558"/>
  <c r="L557"/>
  <c r="M557" s="1"/>
  <c r="L556"/>
  <c r="J556"/>
  <c r="M556" s="1"/>
  <c r="M555"/>
  <c r="M552"/>
  <c r="M551"/>
  <c r="R550"/>
  <c r="Q550"/>
  <c r="V550" s="1"/>
  <c r="M550"/>
  <c r="D550"/>
  <c r="M549"/>
  <c r="M548"/>
  <c r="M542"/>
  <c r="M541"/>
  <c r="U539"/>
  <c r="U538"/>
  <c r="W537"/>
  <c r="Y537" s="1"/>
  <c r="V537"/>
  <c r="U537"/>
  <c r="M537"/>
  <c r="M536"/>
  <c r="M535"/>
  <c r="M534"/>
  <c r="M533"/>
  <c r="M532"/>
  <c r="M531"/>
  <c r="W529"/>
  <c r="Y529" s="1"/>
  <c r="V529"/>
  <c r="U529"/>
  <c r="M529"/>
  <c r="U528"/>
  <c r="W527"/>
  <c r="X527" s="1"/>
  <c r="V527"/>
  <c r="U527"/>
  <c r="M527"/>
  <c r="M526"/>
  <c r="U525"/>
  <c r="M525"/>
  <c r="U524"/>
  <c r="M524"/>
  <c r="U523"/>
  <c r="M523"/>
  <c r="U522"/>
  <c r="M522"/>
  <c r="U521"/>
  <c r="M521"/>
  <c r="W520"/>
  <c r="Y520" s="1"/>
  <c r="Q520"/>
  <c r="U520" s="1"/>
  <c r="M520"/>
  <c r="W519"/>
  <c r="U519"/>
  <c r="Q519"/>
  <c r="V519" s="1"/>
  <c r="M519"/>
  <c r="M518"/>
  <c r="U517"/>
  <c r="U516"/>
  <c r="U515"/>
  <c r="W514"/>
  <c r="V514"/>
  <c r="X514" s="1"/>
  <c r="U514"/>
  <c r="H514"/>
  <c r="G514"/>
  <c r="M514" s="1"/>
  <c r="M513"/>
  <c r="W508"/>
  <c r="X508" s="1"/>
  <c r="V508"/>
  <c r="U508"/>
  <c r="M508"/>
  <c r="T507"/>
  <c r="U507" s="1"/>
  <c r="R507"/>
  <c r="Q507"/>
  <c r="T506"/>
  <c r="W506" s="1"/>
  <c r="R506"/>
  <c r="Q506"/>
  <c r="V506" s="1"/>
  <c r="U505"/>
  <c r="U504"/>
  <c r="U503"/>
  <c r="U502"/>
  <c r="T501"/>
  <c r="U501" s="1"/>
  <c r="V500"/>
  <c r="T500"/>
  <c r="W500" s="1"/>
  <c r="M500"/>
  <c r="W498"/>
  <c r="V498"/>
  <c r="M498"/>
  <c r="M497"/>
  <c r="M496"/>
  <c r="U495"/>
  <c r="W493"/>
  <c r="Y493" s="1"/>
  <c r="V493"/>
  <c r="U493"/>
  <c r="M493"/>
  <c r="W492"/>
  <c r="V492"/>
  <c r="U492"/>
  <c r="M492"/>
  <c r="Q491"/>
  <c r="Q490"/>
  <c r="Q489"/>
  <c r="W488"/>
  <c r="Q488"/>
  <c r="U488" s="1"/>
  <c r="J488"/>
  <c r="M488" s="1"/>
  <c r="G488"/>
  <c r="U487"/>
  <c r="U486"/>
  <c r="U485"/>
  <c r="U484"/>
  <c r="W483"/>
  <c r="X483" s="1"/>
  <c r="V483"/>
  <c r="U483"/>
  <c r="M483"/>
  <c r="M482"/>
  <c r="M481"/>
  <c r="M480"/>
  <c r="M479"/>
  <c r="M478"/>
  <c r="M477"/>
  <c r="M476"/>
  <c r="M475"/>
  <c r="M474"/>
  <c r="M473"/>
  <c r="M472"/>
  <c r="M471"/>
  <c r="M470"/>
  <c r="W469"/>
  <c r="V469"/>
  <c r="M469"/>
  <c r="U468"/>
  <c r="W467"/>
  <c r="Y467" s="1"/>
  <c r="V467"/>
  <c r="X467" s="1"/>
  <c r="U467"/>
  <c r="M467"/>
  <c r="U466"/>
  <c r="U465"/>
  <c r="U464"/>
  <c r="U463"/>
  <c r="U462"/>
  <c r="U461"/>
  <c r="U460"/>
  <c r="U459"/>
  <c r="U458"/>
  <c r="U457"/>
  <c r="U456"/>
  <c r="U455"/>
  <c r="U454"/>
  <c r="U453"/>
  <c r="T453"/>
  <c r="R453"/>
  <c r="U452"/>
  <c r="U451"/>
  <c r="U450"/>
  <c r="U449"/>
  <c r="T449"/>
  <c r="R449"/>
  <c r="T448"/>
  <c r="U448" s="1"/>
  <c r="R448"/>
  <c r="U447"/>
  <c r="T447"/>
  <c r="R447"/>
  <c r="J447"/>
  <c r="W446"/>
  <c r="X446" s="1"/>
  <c r="V446"/>
  <c r="U446"/>
  <c r="T446"/>
  <c r="R446"/>
  <c r="J446"/>
  <c r="H446"/>
  <c r="G446"/>
  <c r="M446" s="1"/>
  <c r="M445"/>
  <c r="U444"/>
  <c r="U442"/>
  <c r="U441"/>
  <c r="U440"/>
  <c r="U439"/>
  <c r="U438"/>
  <c r="U437"/>
  <c r="U436"/>
  <c r="U435"/>
  <c r="U434"/>
  <c r="W433"/>
  <c r="X433" s="1"/>
  <c r="V433"/>
  <c r="U433"/>
  <c r="M433"/>
  <c r="U422"/>
  <c r="U421"/>
  <c r="W420"/>
  <c r="X420" s="1"/>
  <c r="V420"/>
  <c r="U420"/>
  <c r="M420"/>
  <c r="U419"/>
  <c r="U418"/>
  <c r="U417"/>
  <c r="U416"/>
  <c r="W415"/>
  <c r="X415" s="1"/>
  <c r="V415"/>
  <c r="U415"/>
  <c r="M415"/>
  <c r="M413"/>
  <c r="D413"/>
  <c r="M412"/>
  <c r="M411"/>
  <c r="J410"/>
  <c r="H410"/>
  <c r="M410" s="1"/>
  <c r="G410"/>
  <c r="M409"/>
  <c r="M408"/>
  <c r="M407"/>
  <c r="M406"/>
  <c r="M405"/>
  <c r="M404"/>
  <c r="M403"/>
  <c r="M402"/>
  <c r="M401"/>
  <c r="M400"/>
  <c r="M399"/>
  <c r="M398"/>
  <c r="M397"/>
  <c r="T396"/>
  <c r="U396" s="1"/>
  <c r="Q396"/>
  <c r="R396" s="1"/>
  <c r="T395"/>
  <c r="U395" s="1"/>
  <c r="Q395"/>
  <c r="R395" s="1"/>
  <c r="T394"/>
  <c r="W394" s="1"/>
  <c r="Q394"/>
  <c r="R394" s="1"/>
  <c r="J394"/>
  <c r="H394"/>
  <c r="G394"/>
  <c r="M394" s="1"/>
  <c r="W384"/>
  <c r="V384"/>
  <c r="U384"/>
  <c r="M384"/>
  <c r="J383"/>
  <c r="H383"/>
  <c r="G383"/>
  <c r="M383" s="1"/>
  <c r="U382"/>
  <c r="U381"/>
  <c r="W380"/>
  <c r="Y380" s="1"/>
  <c r="V380"/>
  <c r="X380" s="1"/>
  <c r="U380"/>
  <c r="M380"/>
  <c r="U379"/>
  <c r="W378"/>
  <c r="X378" s="1"/>
  <c r="V378"/>
  <c r="U378"/>
  <c r="M378"/>
  <c r="U377"/>
  <c r="U376"/>
  <c r="U375"/>
  <c r="U374"/>
  <c r="U373"/>
  <c r="U372"/>
  <c r="U371"/>
  <c r="U370"/>
  <c r="U369"/>
  <c r="U368"/>
  <c r="U367"/>
  <c r="U366"/>
  <c r="W365"/>
  <c r="X365" s="1"/>
  <c r="V365"/>
  <c r="U365"/>
  <c r="M365"/>
  <c r="W364"/>
  <c r="U364"/>
  <c r="T364"/>
  <c r="R364"/>
  <c r="Q364"/>
  <c r="V364" s="1"/>
  <c r="M364"/>
  <c r="M363"/>
  <c r="U362"/>
  <c r="U361"/>
  <c r="U360"/>
  <c r="W359"/>
  <c r="Y359" s="1"/>
  <c r="V359"/>
  <c r="X359" s="1"/>
  <c r="U359"/>
  <c r="M359"/>
  <c r="J359"/>
  <c r="U358"/>
  <c r="U357"/>
  <c r="U356"/>
  <c r="U355"/>
  <c r="U354"/>
  <c r="U353"/>
  <c r="U352"/>
  <c r="U351"/>
  <c r="U350"/>
  <c r="W349"/>
  <c r="Y349" s="1"/>
  <c r="V349"/>
  <c r="X349" s="1"/>
  <c r="U349"/>
  <c r="M349"/>
  <c r="U348"/>
  <c r="U347"/>
  <c r="U346"/>
  <c r="W345"/>
  <c r="X345" s="1"/>
  <c r="V345"/>
  <c r="U345"/>
  <c r="G345"/>
  <c r="M345" s="1"/>
  <c r="M335"/>
  <c r="M334"/>
  <c r="M333"/>
  <c r="M332"/>
  <c r="W331"/>
  <c r="Y331" s="1"/>
  <c r="V331"/>
  <c r="X331" s="1"/>
  <c r="U331"/>
  <c r="M331"/>
  <c r="M329"/>
  <c r="U328"/>
  <c r="T328"/>
  <c r="R328"/>
  <c r="Q328"/>
  <c r="M328"/>
  <c r="M327"/>
  <c r="M326"/>
  <c r="M325"/>
  <c r="M324"/>
  <c r="R323"/>
  <c r="Q323"/>
  <c r="M323"/>
  <c r="R322"/>
  <c r="Q322"/>
  <c r="U321"/>
  <c r="T321"/>
  <c r="R321"/>
  <c r="Q321"/>
  <c r="U320"/>
  <c r="T320"/>
  <c r="R320"/>
  <c r="Q320"/>
  <c r="T319"/>
  <c r="Q319"/>
  <c r="U319" s="1"/>
  <c r="M319"/>
  <c r="M318"/>
  <c r="W317"/>
  <c r="Y317" s="1"/>
  <c r="V317"/>
  <c r="X317" s="1"/>
  <c r="U317"/>
  <c r="M317"/>
  <c r="J317"/>
  <c r="W316"/>
  <c r="X316" s="1"/>
  <c r="V316"/>
  <c r="U316"/>
  <c r="M316"/>
  <c r="M315"/>
  <c r="M314"/>
  <c r="U313"/>
  <c r="W312"/>
  <c r="Y312" s="1"/>
  <c r="V312"/>
  <c r="X312" s="1"/>
  <c r="U312"/>
  <c r="M312"/>
  <c r="J311"/>
  <c r="H311"/>
  <c r="G311"/>
  <c r="M311" s="1"/>
  <c r="T310"/>
  <c r="U310" s="1"/>
  <c r="R310"/>
  <c r="Q310"/>
  <c r="T309"/>
  <c r="U309" s="1"/>
  <c r="R309"/>
  <c r="Q309"/>
  <c r="M309"/>
  <c r="M308"/>
  <c r="M307"/>
  <c r="R306"/>
  <c r="Q306"/>
  <c r="R305"/>
  <c r="Q305"/>
  <c r="U304"/>
  <c r="T304"/>
  <c r="R304"/>
  <c r="Q304"/>
  <c r="M304"/>
  <c r="T303"/>
  <c r="U303" s="1"/>
  <c r="R303"/>
  <c r="Q303"/>
  <c r="T302"/>
  <c r="U302" s="1"/>
  <c r="R302"/>
  <c r="Q302"/>
  <c r="M302"/>
  <c r="W301"/>
  <c r="X301" s="1"/>
  <c r="V301"/>
  <c r="U301"/>
  <c r="M301"/>
  <c r="U300"/>
  <c r="T300"/>
  <c r="R300"/>
  <c r="Q300"/>
  <c r="U299"/>
  <c r="T299"/>
  <c r="R299"/>
  <c r="Q299"/>
  <c r="M299"/>
  <c r="M298"/>
  <c r="M297"/>
  <c r="M296"/>
  <c r="M295"/>
  <c r="M294"/>
  <c r="U293"/>
  <c r="U292"/>
  <c r="U291"/>
  <c r="U290"/>
  <c r="U289"/>
  <c r="W288"/>
  <c r="Y288" s="1"/>
  <c r="V288"/>
  <c r="X288" s="1"/>
  <c r="U288"/>
  <c r="M288"/>
  <c r="U287"/>
  <c r="M287"/>
  <c r="U286"/>
  <c r="R286"/>
  <c r="U285"/>
  <c r="R285"/>
  <c r="U284"/>
  <c r="R284"/>
  <c r="U283"/>
  <c r="R283"/>
  <c r="U282"/>
  <c r="R282"/>
  <c r="U281"/>
  <c r="R281"/>
  <c r="U280"/>
  <c r="R280"/>
  <c r="U279"/>
  <c r="R279"/>
  <c r="U278"/>
  <c r="R278"/>
  <c r="U277"/>
  <c r="R277"/>
  <c r="U276"/>
  <c r="R276"/>
  <c r="U275"/>
  <c r="R275"/>
  <c r="U274"/>
  <c r="R274"/>
  <c r="U273"/>
  <c r="R273"/>
  <c r="U272"/>
  <c r="U271"/>
  <c r="R271"/>
  <c r="W270"/>
  <c r="X270" s="1"/>
  <c r="V270"/>
  <c r="U270"/>
  <c r="R270"/>
  <c r="M270"/>
  <c r="U269"/>
  <c r="U268"/>
  <c r="U267"/>
  <c r="W266"/>
  <c r="X266" s="1"/>
  <c r="V266"/>
  <c r="U266"/>
  <c r="M266"/>
  <c r="U265"/>
  <c r="U264"/>
  <c r="U263"/>
  <c r="U262"/>
  <c r="U261"/>
  <c r="W260"/>
  <c r="Y260" s="1"/>
  <c r="V260"/>
  <c r="U260"/>
  <c r="M260"/>
  <c r="U259"/>
  <c r="M259"/>
  <c r="U258"/>
  <c r="M258"/>
  <c r="U257"/>
  <c r="M257"/>
  <c r="W256"/>
  <c r="Y256" s="1"/>
  <c r="V256"/>
  <c r="U256"/>
  <c r="M256"/>
  <c r="U255"/>
  <c r="M255"/>
  <c r="U254"/>
  <c r="M254"/>
  <c r="U253"/>
  <c r="U252"/>
  <c r="U251"/>
  <c r="W250"/>
  <c r="X250" s="1"/>
  <c r="V250"/>
  <c r="U250"/>
  <c r="M250"/>
  <c r="U249"/>
  <c r="U248"/>
  <c r="U247"/>
  <c r="U246"/>
  <c r="U245"/>
  <c r="U244"/>
  <c r="W243"/>
  <c r="X243" s="1"/>
  <c r="V243"/>
  <c r="U243"/>
  <c r="M243"/>
  <c r="U242"/>
  <c r="U241"/>
  <c r="U240"/>
  <c r="U239"/>
  <c r="U238"/>
  <c r="U237"/>
  <c r="U236"/>
  <c r="U235"/>
  <c r="U234"/>
  <c r="U233"/>
  <c r="U232"/>
  <c r="W231"/>
  <c r="Y231" s="1"/>
  <c r="V231"/>
  <c r="U231"/>
  <c r="M231"/>
  <c r="U230"/>
  <c r="W229"/>
  <c r="X229" s="1"/>
  <c r="V229"/>
  <c r="U229"/>
  <c r="M229"/>
  <c r="U228"/>
  <c r="U227"/>
  <c r="T226"/>
  <c r="U226" s="1"/>
  <c r="U225"/>
  <c r="U224"/>
  <c r="U223"/>
  <c r="U222"/>
  <c r="U221"/>
  <c r="U220"/>
  <c r="U219"/>
  <c r="U218"/>
  <c r="U217"/>
  <c r="U216"/>
  <c r="U215"/>
  <c r="W214"/>
  <c r="X214" s="1"/>
  <c r="Y214" s="1"/>
  <c r="V214"/>
  <c r="U214"/>
  <c r="M214"/>
  <c r="U213"/>
  <c r="U212"/>
  <c r="M212"/>
  <c r="U211"/>
  <c r="M211"/>
  <c r="U210"/>
  <c r="M210"/>
  <c r="U209"/>
  <c r="M209"/>
  <c r="U208"/>
  <c r="M208"/>
  <c r="W207"/>
  <c r="X207" s="1"/>
  <c r="V207"/>
  <c r="U207"/>
  <c r="M207"/>
  <c r="M205"/>
  <c r="M203"/>
  <c r="M201"/>
  <c r="D201"/>
  <c r="M200"/>
  <c r="U198"/>
  <c r="W197"/>
  <c r="X197" s="1"/>
  <c r="V197"/>
  <c r="U197"/>
  <c r="M197"/>
  <c r="M196"/>
  <c r="M195"/>
  <c r="W194"/>
  <c r="X194" s="1"/>
  <c r="V194"/>
  <c r="U194"/>
  <c r="M194"/>
  <c r="M193"/>
  <c r="W192"/>
  <c r="Y192" s="1"/>
  <c r="V192"/>
  <c r="U192"/>
  <c r="M192"/>
  <c r="U191"/>
  <c r="U190"/>
  <c r="U189"/>
  <c r="W188"/>
  <c r="X188" s="1"/>
  <c r="V188"/>
  <c r="U188"/>
  <c r="J188"/>
  <c r="H188"/>
  <c r="G188"/>
  <c r="M188" s="1"/>
  <c r="U187"/>
  <c r="U186"/>
  <c r="W185"/>
  <c r="Y185" s="1"/>
  <c r="V185"/>
  <c r="U185"/>
  <c r="M185"/>
  <c r="U184"/>
  <c r="U183"/>
  <c r="W182"/>
  <c r="Y182" s="1"/>
  <c r="V182"/>
  <c r="X182" s="1"/>
  <c r="M182"/>
  <c r="T181"/>
  <c r="W181" s="1"/>
  <c r="R181"/>
  <c r="Q181"/>
  <c r="V181" s="1"/>
  <c r="M181"/>
  <c r="W180"/>
  <c r="Y180" s="1"/>
  <c r="V180"/>
  <c r="X180" s="1"/>
  <c r="U180"/>
  <c r="M180"/>
  <c r="M179"/>
  <c r="W178"/>
  <c r="X178" s="1"/>
  <c r="V178"/>
  <c r="U178"/>
  <c r="M178"/>
  <c r="U177"/>
  <c r="W176"/>
  <c r="Y176" s="1"/>
  <c r="V176"/>
  <c r="U176"/>
  <c r="M176"/>
  <c r="T175"/>
  <c r="U175" s="1"/>
  <c r="R175"/>
  <c r="Q175"/>
  <c r="U174"/>
  <c r="T174"/>
  <c r="R174"/>
  <c r="Q174"/>
  <c r="U173"/>
  <c r="T173"/>
  <c r="R173"/>
  <c r="Q173"/>
  <c r="U172"/>
  <c r="T172"/>
  <c r="R172"/>
  <c r="Q172"/>
  <c r="U171"/>
  <c r="T171"/>
  <c r="R171"/>
  <c r="Q171"/>
  <c r="W170"/>
  <c r="Y170" s="1"/>
  <c r="U170"/>
  <c r="T170"/>
  <c r="R170"/>
  <c r="Q170"/>
  <c r="V170" s="1"/>
  <c r="W166"/>
  <c r="Y166" s="1"/>
  <c r="V166"/>
  <c r="U166"/>
  <c r="M166"/>
  <c r="U165"/>
  <c r="U164"/>
  <c r="U163"/>
  <c r="U162"/>
  <c r="U161"/>
  <c r="U160"/>
  <c r="U159"/>
  <c r="U158"/>
  <c r="U157"/>
  <c r="U156"/>
  <c r="U155"/>
  <c r="U154"/>
  <c r="U153"/>
  <c r="U152"/>
  <c r="U151"/>
  <c r="U150"/>
  <c r="W149"/>
  <c r="Y149" s="1"/>
  <c r="R149"/>
  <c r="Q149"/>
  <c r="U149" s="1"/>
  <c r="W142"/>
  <c r="X142" s="1"/>
  <c r="V142"/>
  <c r="U142"/>
  <c r="M142"/>
  <c r="D142"/>
  <c r="W141"/>
  <c r="Y141" s="1"/>
  <c r="V141"/>
  <c r="U141"/>
  <c r="M141"/>
  <c r="U140"/>
  <c r="U139"/>
  <c r="U138"/>
  <c r="U137"/>
  <c r="U136"/>
  <c r="W135"/>
  <c r="X135" s="1"/>
  <c r="V135"/>
  <c r="U135"/>
  <c r="M135"/>
  <c r="U134"/>
  <c r="U133"/>
  <c r="U131"/>
  <c r="U128"/>
  <c r="U127"/>
  <c r="U126"/>
  <c r="U125"/>
  <c r="U124"/>
  <c r="U122"/>
  <c r="U121"/>
  <c r="W120"/>
  <c r="X120" s="1"/>
  <c r="V120"/>
  <c r="U120"/>
  <c r="M120"/>
  <c r="U119"/>
  <c r="U118"/>
  <c r="W117"/>
  <c r="Y117" s="1"/>
  <c r="V117"/>
  <c r="X117" s="1"/>
  <c r="U117"/>
  <c r="M117"/>
  <c r="W113"/>
  <c r="Y113" s="1"/>
  <c r="V113"/>
  <c r="X113" s="1"/>
  <c r="U113"/>
  <c r="M113"/>
  <c r="U109"/>
  <c r="U108"/>
  <c r="U107"/>
  <c r="U106"/>
  <c r="U105"/>
  <c r="U104"/>
  <c r="W103"/>
  <c r="Y103" s="1"/>
  <c r="V103"/>
  <c r="X103" s="1"/>
  <c r="U103"/>
  <c r="M103"/>
  <c r="W102"/>
  <c r="Y102" s="1"/>
  <c r="V102"/>
  <c r="X102" s="1"/>
  <c r="U102"/>
  <c r="M102"/>
  <c r="W101"/>
  <c r="Y101" s="1"/>
  <c r="V101"/>
  <c r="X101" s="1"/>
  <c r="U101"/>
  <c r="M101"/>
  <c r="W100"/>
  <c r="Y100" s="1"/>
  <c r="V100"/>
  <c r="X100" s="1"/>
  <c r="U100"/>
  <c r="M100"/>
  <c r="Q99"/>
  <c r="U99" s="1"/>
  <c r="Q98"/>
  <c r="U98" s="1"/>
  <c r="W96"/>
  <c r="Q96"/>
  <c r="J96"/>
  <c r="G96"/>
  <c r="M96" s="1"/>
  <c r="M94"/>
  <c r="M93"/>
  <c r="U92"/>
  <c r="U91"/>
  <c r="U90"/>
  <c r="W89"/>
  <c r="Y89" s="1"/>
  <c r="V89"/>
  <c r="U89"/>
  <c r="M89"/>
  <c r="U88"/>
  <c r="U87"/>
  <c r="U86"/>
  <c r="U85"/>
  <c r="U84"/>
  <c r="U83"/>
  <c r="U82"/>
  <c r="U81"/>
  <c r="U80"/>
  <c r="U79"/>
  <c r="U78"/>
  <c r="U77"/>
  <c r="U76"/>
  <c r="U75"/>
  <c r="U74"/>
  <c r="W73"/>
  <c r="X73" s="1"/>
  <c r="V73"/>
  <c r="U73"/>
  <c r="J73"/>
  <c r="G73"/>
  <c r="M73" s="1"/>
  <c r="W71"/>
  <c r="Y71" s="1"/>
  <c r="V71"/>
  <c r="X71" s="1"/>
  <c r="U71"/>
  <c r="M71"/>
  <c r="U69"/>
  <c r="W68"/>
  <c r="Y68" s="1"/>
  <c r="V68"/>
  <c r="U68"/>
  <c r="M68"/>
  <c r="U67"/>
  <c r="U66"/>
  <c r="U65"/>
  <c r="U64"/>
  <c r="U63"/>
  <c r="U62"/>
  <c r="U61"/>
  <c r="U60"/>
  <c r="U59"/>
  <c r="U58"/>
  <c r="U57"/>
  <c r="U56"/>
  <c r="U55"/>
  <c r="U54"/>
  <c r="U53"/>
  <c r="U52"/>
  <c r="U51"/>
  <c r="U50"/>
  <c r="U49"/>
  <c r="U48"/>
  <c r="U47"/>
  <c r="U46"/>
  <c r="U45"/>
  <c r="U44"/>
  <c r="U43"/>
  <c r="U42"/>
  <c r="U41"/>
  <c r="U40"/>
  <c r="U39"/>
  <c r="U38"/>
  <c r="U37"/>
  <c r="U36"/>
  <c r="U35"/>
  <c r="U34"/>
  <c r="U33"/>
  <c r="U32"/>
  <c r="U31"/>
  <c r="U30"/>
  <c r="U29"/>
  <c r="U28"/>
  <c r="U27"/>
  <c r="U26"/>
  <c r="W25"/>
  <c r="Y25" s="1"/>
  <c r="V25"/>
  <c r="U25"/>
  <c r="M25"/>
  <c r="U24"/>
  <c r="U23"/>
  <c r="U22"/>
  <c r="U21"/>
  <c r="U20"/>
  <c r="U19"/>
  <c r="U18"/>
  <c r="U17"/>
  <c r="U16"/>
  <c r="U15"/>
  <c r="U14"/>
  <c r="U13"/>
  <c r="U12"/>
  <c r="W11"/>
  <c r="X11" s="1"/>
  <c r="V11"/>
  <c r="U11"/>
  <c r="J11"/>
  <c r="G11"/>
  <c r="M11" s="1"/>
  <c r="W10"/>
  <c r="V10"/>
  <c r="U10"/>
  <c r="M10"/>
  <c r="W8"/>
  <c r="X8" s="1"/>
  <c r="V8"/>
  <c r="U8"/>
  <c r="M8"/>
  <c r="M7"/>
  <c r="W877" i="8"/>
  <c r="V877"/>
  <c r="M877"/>
  <c r="J877"/>
  <c r="W876"/>
  <c r="Y876" s="1"/>
  <c r="V876"/>
  <c r="U876"/>
  <c r="M876"/>
  <c r="W874"/>
  <c r="Y874" s="1"/>
  <c r="V874"/>
  <c r="U868"/>
  <c r="W864"/>
  <c r="V864"/>
  <c r="U864"/>
  <c r="M864"/>
  <c r="H863"/>
  <c r="G863"/>
  <c r="U862"/>
  <c r="W861"/>
  <c r="Y861" s="1"/>
  <c r="V861"/>
  <c r="U861"/>
  <c r="U858"/>
  <c r="U857"/>
  <c r="U856"/>
  <c r="U855"/>
  <c r="U854"/>
  <c r="U853"/>
  <c r="W852"/>
  <c r="V852"/>
  <c r="M852"/>
  <c r="U851"/>
  <c r="U850"/>
  <c r="U849"/>
  <c r="W848"/>
  <c r="V848"/>
  <c r="X848" s="1"/>
  <c r="U848"/>
  <c r="M848"/>
  <c r="W847"/>
  <c r="V847"/>
  <c r="U847"/>
  <c r="M847"/>
  <c r="U846"/>
  <c r="W845"/>
  <c r="V845"/>
  <c r="U845"/>
  <c r="M845"/>
  <c r="U844"/>
  <c r="W843"/>
  <c r="V843"/>
  <c r="U843"/>
  <c r="M843"/>
  <c r="U841"/>
  <c r="U840"/>
  <c r="U839"/>
  <c r="U838"/>
  <c r="U837"/>
  <c r="U836"/>
  <c r="U835"/>
  <c r="U834"/>
  <c r="U833"/>
  <c r="U832"/>
  <c r="U831"/>
  <c r="U830"/>
  <c r="T829"/>
  <c r="W829" s="1"/>
  <c r="R829"/>
  <c r="Q829"/>
  <c r="V829" s="1"/>
  <c r="J829"/>
  <c r="G829"/>
  <c r="M828"/>
  <c r="M827"/>
  <c r="W815"/>
  <c r="Y815" s="1"/>
  <c r="V815"/>
  <c r="W814"/>
  <c r="V814"/>
  <c r="U814"/>
  <c r="M814"/>
  <c r="W811"/>
  <c r="V811"/>
  <c r="M811"/>
  <c r="M807"/>
  <c r="W806"/>
  <c r="V806"/>
  <c r="U806"/>
  <c r="M806"/>
  <c r="U805"/>
  <c r="T805"/>
  <c r="R805"/>
  <c r="M805"/>
  <c r="W804"/>
  <c r="V804"/>
  <c r="U804"/>
  <c r="T804"/>
  <c r="R804"/>
  <c r="M804"/>
  <c r="U803"/>
  <c r="M803"/>
  <c r="U802"/>
  <c r="M802"/>
  <c r="U801"/>
  <c r="M801"/>
  <c r="U800"/>
  <c r="M800"/>
  <c r="W799"/>
  <c r="V799"/>
  <c r="U799"/>
  <c r="M799"/>
  <c r="U798"/>
  <c r="W797"/>
  <c r="V797"/>
  <c r="U797"/>
  <c r="M797"/>
  <c r="G796"/>
  <c r="B796"/>
  <c r="B797" s="1"/>
  <c r="B799" s="1"/>
  <c r="B804" s="1"/>
  <c r="B806" s="1"/>
  <c r="B807" s="1"/>
  <c r="B808" s="1"/>
  <c r="B809" s="1"/>
  <c r="B810" s="1"/>
  <c r="B811" s="1"/>
  <c r="B814" s="1"/>
  <c r="B815" s="1"/>
  <c r="B826" s="1"/>
  <c r="B827" s="1"/>
  <c r="B828" s="1"/>
  <c r="B829" s="1"/>
  <c r="B843" s="1"/>
  <c r="B845" s="1"/>
  <c r="B847" s="1"/>
  <c r="B848" s="1"/>
  <c r="B852" s="1"/>
  <c r="B860" s="1"/>
  <c r="B861" s="1"/>
  <c r="B863" s="1"/>
  <c r="B864" s="1"/>
  <c r="B872" s="1"/>
  <c r="B873" s="1"/>
  <c r="B874" s="1"/>
  <c r="B876" s="1"/>
  <c r="B877" s="1"/>
  <c r="U795"/>
  <c r="U794"/>
  <c r="U793"/>
  <c r="U792"/>
  <c r="U791"/>
  <c r="U790"/>
  <c r="U789"/>
  <c r="U788"/>
  <c r="U787"/>
  <c r="U786"/>
  <c r="U785"/>
  <c r="U784"/>
  <c r="U783"/>
  <c r="U782"/>
  <c r="U781"/>
  <c r="U780"/>
  <c r="U779"/>
  <c r="U778"/>
  <c r="U777"/>
  <c r="U776"/>
  <c r="U775"/>
  <c r="W774"/>
  <c r="Y774" s="1"/>
  <c r="V774"/>
  <c r="U774"/>
  <c r="M774"/>
  <c r="M773"/>
  <c r="M772"/>
  <c r="W771"/>
  <c r="V771"/>
  <c r="U762"/>
  <c r="U761"/>
  <c r="U760"/>
  <c r="W759"/>
  <c r="V759"/>
  <c r="U759"/>
  <c r="M759"/>
  <c r="M758"/>
  <c r="M757"/>
  <c r="M756"/>
  <c r="W752"/>
  <c r="V752"/>
  <c r="M752"/>
  <c r="M751"/>
  <c r="W750"/>
  <c r="V750"/>
  <c r="U750"/>
  <c r="M750"/>
  <c r="W737"/>
  <c r="V737"/>
  <c r="M737"/>
  <c r="W733"/>
  <c r="V733"/>
  <c r="U733"/>
  <c r="M733"/>
  <c r="T729"/>
  <c r="U729" s="1"/>
  <c r="D717"/>
  <c r="W714"/>
  <c r="V714"/>
  <c r="J714"/>
  <c r="G714"/>
  <c r="U701"/>
  <c r="W698"/>
  <c r="V698"/>
  <c r="J698"/>
  <c r="G698"/>
  <c r="M698" s="1"/>
  <c r="D698"/>
  <c r="U695"/>
  <c r="U694"/>
  <c r="U692"/>
  <c r="U688"/>
  <c r="U684"/>
  <c r="U683"/>
  <c r="W682"/>
  <c r="V682"/>
  <c r="U682"/>
  <c r="J682"/>
  <c r="G682"/>
  <c r="M682" s="1"/>
  <c r="M677"/>
  <c r="M676"/>
  <c r="V675"/>
  <c r="M675"/>
  <c r="J674"/>
  <c r="G674"/>
  <c r="M674" s="1"/>
  <c r="M673"/>
  <c r="M672"/>
  <c r="M671"/>
  <c r="M670"/>
  <c r="M669"/>
  <c r="U668"/>
  <c r="U667"/>
  <c r="U666"/>
  <c r="W665"/>
  <c r="V665"/>
  <c r="U665"/>
  <c r="M665"/>
  <c r="R664"/>
  <c r="R663"/>
  <c r="W661"/>
  <c r="V661"/>
  <c r="G661"/>
  <c r="M661" s="1"/>
  <c r="W655"/>
  <c r="V655"/>
  <c r="U655"/>
  <c r="M655"/>
  <c r="M654"/>
  <c r="J653"/>
  <c r="G653"/>
  <c r="M653" s="1"/>
  <c r="J652"/>
  <c r="H652"/>
  <c r="G652"/>
  <c r="U651"/>
  <c r="W650"/>
  <c r="V650"/>
  <c r="U650"/>
  <c r="M650"/>
  <c r="U642"/>
  <c r="U641"/>
  <c r="W639"/>
  <c r="V639"/>
  <c r="J639"/>
  <c r="G639"/>
  <c r="M639" s="1"/>
  <c r="R629"/>
  <c r="R627"/>
  <c r="Q627"/>
  <c r="R626"/>
  <c r="R625"/>
  <c r="R624"/>
  <c r="Q624"/>
  <c r="U624" s="1"/>
  <c r="R623"/>
  <c r="Q623"/>
  <c r="U623" s="1"/>
  <c r="R622"/>
  <c r="Q622"/>
  <c r="U622" s="1"/>
  <c r="R621"/>
  <c r="Q621"/>
  <c r="U621" s="1"/>
  <c r="W620"/>
  <c r="R620"/>
  <c r="Q620"/>
  <c r="U620" s="1"/>
  <c r="J620"/>
  <c r="G620"/>
  <c r="M620" s="1"/>
  <c r="U619"/>
  <c r="W618"/>
  <c r="V618"/>
  <c r="U618"/>
  <c r="M618"/>
  <c r="U617"/>
  <c r="U616"/>
  <c r="U615"/>
  <c r="U614"/>
  <c r="U613"/>
  <c r="U612"/>
  <c r="U611"/>
  <c r="U610"/>
  <c r="U609"/>
  <c r="U608"/>
  <c r="U607"/>
  <c r="U606"/>
  <c r="U605"/>
  <c r="U604"/>
  <c r="U603"/>
  <c r="U602"/>
  <c r="U601"/>
  <c r="U600"/>
  <c r="U599"/>
  <c r="U598"/>
  <c r="U597"/>
  <c r="U596"/>
  <c r="W595"/>
  <c r="V595"/>
  <c r="U595"/>
  <c r="M595"/>
  <c r="U594"/>
  <c r="W593"/>
  <c r="V593"/>
  <c r="U593"/>
  <c r="G593"/>
  <c r="M593" s="1"/>
  <c r="W586"/>
  <c r="V586"/>
  <c r="G586"/>
  <c r="W585"/>
  <c r="V585"/>
  <c r="U585"/>
  <c r="M585"/>
  <c r="U584"/>
  <c r="U583"/>
  <c r="W582"/>
  <c r="V582"/>
  <c r="U582"/>
  <c r="M582"/>
  <c r="U581"/>
  <c r="U580"/>
  <c r="U579"/>
  <c r="W578"/>
  <c r="V578"/>
  <c r="U578"/>
  <c r="M578"/>
  <c r="W577"/>
  <c r="V577"/>
  <c r="U577"/>
  <c r="M577"/>
  <c r="J577"/>
  <c r="W576"/>
  <c r="V576"/>
  <c r="U576"/>
  <c r="M576"/>
  <c r="W573"/>
  <c r="V573"/>
  <c r="M573"/>
  <c r="W572"/>
  <c r="V572"/>
  <c r="M572"/>
  <c r="U570"/>
  <c r="W569"/>
  <c r="V569"/>
  <c r="U569"/>
  <c r="M569"/>
  <c r="M568"/>
  <c r="M567"/>
  <c r="M565"/>
  <c r="M564"/>
  <c r="M563"/>
  <c r="M562"/>
  <c r="M561"/>
  <c r="M560"/>
  <c r="M559"/>
  <c r="M558"/>
  <c r="L557"/>
  <c r="M557" s="1"/>
  <c r="L556"/>
  <c r="J556"/>
  <c r="M555"/>
  <c r="M552"/>
  <c r="M551"/>
  <c r="R550"/>
  <c r="Q550"/>
  <c r="V550" s="1"/>
  <c r="M550"/>
  <c r="D550"/>
  <c r="M549"/>
  <c r="M548"/>
  <c r="M542"/>
  <c r="M541"/>
  <c r="U539"/>
  <c r="U538"/>
  <c r="W537"/>
  <c r="V537"/>
  <c r="U537"/>
  <c r="M537"/>
  <c r="M536"/>
  <c r="M535"/>
  <c r="M534"/>
  <c r="M533"/>
  <c r="M532"/>
  <c r="M531"/>
  <c r="W529"/>
  <c r="V529"/>
  <c r="U529"/>
  <c r="M529"/>
  <c r="U528"/>
  <c r="W527"/>
  <c r="V527"/>
  <c r="U527"/>
  <c r="M527"/>
  <c r="M526"/>
  <c r="U525"/>
  <c r="M525"/>
  <c r="U524"/>
  <c r="M524"/>
  <c r="U523"/>
  <c r="M523"/>
  <c r="U522"/>
  <c r="M522"/>
  <c r="U521"/>
  <c r="M521"/>
  <c r="W520"/>
  <c r="U520"/>
  <c r="Q520"/>
  <c r="V520" s="1"/>
  <c r="M520"/>
  <c r="W519"/>
  <c r="Q519"/>
  <c r="V519" s="1"/>
  <c r="X519" s="1"/>
  <c r="M519"/>
  <c r="M518"/>
  <c r="U517"/>
  <c r="U516"/>
  <c r="U515"/>
  <c r="W514"/>
  <c r="V514"/>
  <c r="U514"/>
  <c r="H514"/>
  <c r="G514"/>
  <c r="M514" s="1"/>
  <c r="M513"/>
  <c r="W508"/>
  <c r="V508"/>
  <c r="U508"/>
  <c r="M508"/>
  <c r="T507"/>
  <c r="U507" s="1"/>
  <c r="R507"/>
  <c r="Q507"/>
  <c r="T506"/>
  <c r="R506"/>
  <c r="Q506"/>
  <c r="V506" s="1"/>
  <c r="U505"/>
  <c r="U504"/>
  <c r="U503"/>
  <c r="U502"/>
  <c r="T501"/>
  <c r="U501" s="1"/>
  <c r="V500"/>
  <c r="T500"/>
  <c r="M500"/>
  <c r="W498"/>
  <c r="V498"/>
  <c r="M498"/>
  <c r="M497"/>
  <c r="M496"/>
  <c r="U495"/>
  <c r="W493"/>
  <c r="V493"/>
  <c r="U493"/>
  <c r="M493"/>
  <c r="W492"/>
  <c r="V492"/>
  <c r="U492"/>
  <c r="M492"/>
  <c r="Q491"/>
  <c r="Q490"/>
  <c r="Q489"/>
  <c r="W488"/>
  <c r="Q488"/>
  <c r="J488"/>
  <c r="M488" s="1"/>
  <c r="G488"/>
  <c r="U487"/>
  <c r="U486"/>
  <c r="U485"/>
  <c r="U484"/>
  <c r="W483"/>
  <c r="V483"/>
  <c r="U483"/>
  <c r="M483"/>
  <c r="M482"/>
  <c r="M481"/>
  <c r="M480"/>
  <c r="M479"/>
  <c r="M478"/>
  <c r="M477"/>
  <c r="M476"/>
  <c r="M475"/>
  <c r="M474"/>
  <c r="M473"/>
  <c r="M472"/>
  <c r="M471"/>
  <c r="M470"/>
  <c r="W469"/>
  <c r="V469"/>
  <c r="M469"/>
  <c r="U468"/>
  <c r="W467"/>
  <c r="V467"/>
  <c r="U467"/>
  <c r="M467"/>
  <c r="U466"/>
  <c r="U465"/>
  <c r="U464"/>
  <c r="U463"/>
  <c r="U462"/>
  <c r="U461"/>
  <c r="U460"/>
  <c r="U459"/>
  <c r="U458"/>
  <c r="U457"/>
  <c r="U456"/>
  <c r="U455"/>
  <c r="U454"/>
  <c r="U453"/>
  <c r="T453"/>
  <c r="R453"/>
  <c r="U452"/>
  <c r="U451"/>
  <c r="U450"/>
  <c r="U449"/>
  <c r="T449"/>
  <c r="R449"/>
  <c r="T448"/>
  <c r="U448" s="1"/>
  <c r="R448"/>
  <c r="T447"/>
  <c r="U447" s="1"/>
  <c r="R447"/>
  <c r="J447"/>
  <c r="V446"/>
  <c r="T446"/>
  <c r="W446" s="1"/>
  <c r="R446"/>
  <c r="J446"/>
  <c r="H446"/>
  <c r="G446"/>
  <c r="M446" s="1"/>
  <c r="M445"/>
  <c r="U444"/>
  <c r="U442"/>
  <c r="U441"/>
  <c r="U440"/>
  <c r="U439"/>
  <c r="U438"/>
  <c r="U437"/>
  <c r="U436"/>
  <c r="U435"/>
  <c r="U434"/>
  <c r="W433"/>
  <c r="V433"/>
  <c r="U433"/>
  <c r="M433"/>
  <c r="U422"/>
  <c r="U421"/>
  <c r="W420"/>
  <c r="V420"/>
  <c r="U420"/>
  <c r="M420"/>
  <c r="U419"/>
  <c r="U418"/>
  <c r="U417"/>
  <c r="U416"/>
  <c r="W415"/>
  <c r="V415"/>
  <c r="U415"/>
  <c r="M415"/>
  <c r="M413"/>
  <c r="D413"/>
  <c r="M412"/>
  <c r="M411"/>
  <c r="J410"/>
  <c r="H410"/>
  <c r="G410"/>
  <c r="M409"/>
  <c r="M408"/>
  <c r="M407"/>
  <c r="M406"/>
  <c r="M405"/>
  <c r="M404"/>
  <c r="M403"/>
  <c r="M402"/>
  <c r="M401"/>
  <c r="M400"/>
  <c r="M399"/>
  <c r="M398"/>
  <c r="M397"/>
  <c r="T396"/>
  <c r="U396" s="1"/>
  <c r="Q396"/>
  <c r="R396" s="1"/>
  <c r="T395"/>
  <c r="U395" s="1"/>
  <c r="Q395"/>
  <c r="R395" s="1"/>
  <c r="T394"/>
  <c r="W394" s="1"/>
  <c r="Q394"/>
  <c r="V394" s="1"/>
  <c r="J394"/>
  <c r="H394"/>
  <c r="G394"/>
  <c r="M394" s="1"/>
  <c r="W384"/>
  <c r="V384"/>
  <c r="U384"/>
  <c r="M384"/>
  <c r="J383"/>
  <c r="H383"/>
  <c r="G383"/>
  <c r="U382"/>
  <c r="U381"/>
  <c r="W380"/>
  <c r="V380"/>
  <c r="U380"/>
  <c r="M380"/>
  <c r="U379"/>
  <c r="W378"/>
  <c r="V378"/>
  <c r="U378"/>
  <c r="M378"/>
  <c r="U377"/>
  <c r="U376"/>
  <c r="U375"/>
  <c r="U374"/>
  <c r="U373"/>
  <c r="U372"/>
  <c r="U371"/>
  <c r="U370"/>
  <c r="U369"/>
  <c r="U368"/>
  <c r="U367"/>
  <c r="U366"/>
  <c r="W365"/>
  <c r="V365"/>
  <c r="U365"/>
  <c r="M365"/>
  <c r="U364"/>
  <c r="T364"/>
  <c r="W364" s="1"/>
  <c r="R364"/>
  <c r="Q364"/>
  <c r="V364" s="1"/>
  <c r="M364"/>
  <c r="M363"/>
  <c r="U362"/>
  <c r="U361"/>
  <c r="U360"/>
  <c r="W359"/>
  <c r="V359"/>
  <c r="U359"/>
  <c r="M359"/>
  <c r="J359"/>
  <c r="U358"/>
  <c r="U357"/>
  <c r="U356"/>
  <c r="U355"/>
  <c r="U354"/>
  <c r="U353"/>
  <c r="U352"/>
  <c r="U351"/>
  <c r="U350"/>
  <c r="W349"/>
  <c r="V349"/>
  <c r="U349"/>
  <c r="M349"/>
  <c r="U348"/>
  <c r="U347"/>
  <c r="U346"/>
  <c r="W345"/>
  <c r="V345"/>
  <c r="U345"/>
  <c r="G345"/>
  <c r="M345" s="1"/>
  <c r="M335"/>
  <c r="M334"/>
  <c r="M333"/>
  <c r="M332"/>
  <c r="W331"/>
  <c r="V331"/>
  <c r="U331"/>
  <c r="M331"/>
  <c r="M329"/>
  <c r="T328"/>
  <c r="R328"/>
  <c r="Q328"/>
  <c r="M328"/>
  <c r="M327"/>
  <c r="M326"/>
  <c r="M325"/>
  <c r="M324"/>
  <c r="R323"/>
  <c r="Q323"/>
  <c r="M323"/>
  <c r="R322"/>
  <c r="Q322"/>
  <c r="T321"/>
  <c r="R321"/>
  <c r="Q321"/>
  <c r="T320"/>
  <c r="R320"/>
  <c r="Q320"/>
  <c r="T319"/>
  <c r="Q319"/>
  <c r="U319" s="1"/>
  <c r="M319"/>
  <c r="M318"/>
  <c r="W317"/>
  <c r="V317"/>
  <c r="U317"/>
  <c r="M317"/>
  <c r="J317"/>
  <c r="W316"/>
  <c r="V316"/>
  <c r="U316"/>
  <c r="M316"/>
  <c r="M315"/>
  <c r="M314"/>
  <c r="U313"/>
  <c r="W312"/>
  <c r="V312"/>
  <c r="U312"/>
  <c r="M312"/>
  <c r="J311"/>
  <c r="H311"/>
  <c r="G311"/>
  <c r="T310"/>
  <c r="R310"/>
  <c r="Q310"/>
  <c r="T309"/>
  <c r="R309"/>
  <c r="Q309"/>
  <c r="M309"/>
  <c r="M308"/>
  <c r="M307"/>
  <c r="R306"/>
  <c r="Q306"/>
  <c r="R305"/>
  <c r="Q305"/>
  <c r="T304"/>
  <c r="R304"/>
  <c r="Q304"/>
  <c r="M304"/>
  <c r="T303"/>
  <c r="R303"/>
  <c r="Q303"/>
  <c r="T302"/>
  <c r="R302"/>
  <c r="Q302"/>
  <c r="M302"/>
  <c r="W301"/>
  <c r="V301"/>
  <c r="U301"/>
  <c r="M301"/>
  <c r="T300"/>
  <c r="R300"/>
  <c r="Q300"/>
  <c r="T299"/>
  <c r="R299"/>
  <c r="Q299"/>
  <c r="M299"/>
  <c r="M298"/>
  <c r="M297"/>
  <c r="M296"/>
  <c r="M295"/>
  <c r="M294"/>
  <c r="U293"/>
  <c r="U292"/>
  <c r="U291"/>
  <c r="U290"/>
  <c r="U289"/>
  <c r="W288"/>
  <c r="V288"/>
  <c r="U288"/>
  <c r="M288"/>
  <c r="U287"/>
  <c r="M287"/>
  <c r="U286"/>
  <c r="R286"/>
  <c r="U285"/>
  <c r="R285"/>
  <c r="U284"/>
  <c r="R284"/>
  <c r="U283"/>
  <c r="R283"/>
  <c r="U282"/>
  <c r="R282"/>
  <c r="U281"/>
  <c r="R281"/>
  <c r="U280"/>
  <c r="R280"/>
  <c r="U279"/>
  <c r="R279"/>
  <c r="U278"/>
  <c r="R278"/>
  <c r="U277"/>
  <c r="R277"/>
  <c r="U276"/>
  <c r="R276"/>
  <c r="U275"/>
  <c r="R275"/>
  <c r="U274"/>
  <c r="R274"/>
  <c r="U273"/>
  <c r="R273"/>
  <c r="U272"/>
  <c r="U271"/>
  <c r="R271"/>
  <c r="W270"/>
  <c r="V270"/>
  <c r="U270"/>
  <c r="R270"/>
  <c r="M270"/>
  <c r="U269"/>
  <c r="U268"/>
  <c r="U267"/>
  <c r="W266"/>
  <c r="V266"/>
  <c r="U266"/>
  <c r="M266"/>
  <c r="U265"/>
  <c r="U264"/>
  <c r="U263"/>
  <c r="U262"/>
  <c r="U261"/>
  <c r="W260"/>
  <c r="V260"/>
  <c r="U260"/>
  <c r="M260"/>
  <c r="U259"/>
  <c r="M259"/>
  <c r="U258"/>
  <c r="M258"/>
  <c r="U257"/>
  <c r="M257"/>
  <c r="W256"/>
  <c r="V256"/>
  <c r="U256"/>
  <c r="M256"/>
  <c r="U255"/>
  <c r="M255"/>
  <c r="U254"/>
  <c r="M254"/>
  <c r="U253"/>
  <c r="U252"/>
  <c r="U251"/>
  <c r="W250"/>
  <c r="V250"/>
  <c r="U250"/>
  <c r="M250"/>
  <c r="U249"/>
  <c r="U248"/>
  <c r="U247"/>
  <c r="U246"/>
  <c r="U245"/>
  <c r="U244"/>
  <c r="W243"/>
  <c r="V243"/>
  <c r="U243"/>
  <c r="M243"/>
  <c r="U242"/>
  <c r="U241"/>
  <c r="U240"/>
  <c r="U239"/>
  <c r="U238"/>
  <c r="U237"/>
  <c r="U236"/>
  <c r="U235"/>
  <c r="U234"/>
  <c r="U233"/>
  <c r="U232"/>
  <c r="W231"/>
  <c r="V231"/>
  <c r="U231"/>
  <c r="M231"/>
  <c r="U230"/>
  <c r="W229"/>
  <c r="V229"/>
  <c r="U229"/>
  <c r="M229"/>
  <c r="U228"/>
  <c r="U227"/>
  <c r="T226"/>
  <c r="U226" s="1"/>
  <c r="U225"/>
  <c r="U224"/>
  <c r="U223"/>
  <c r="U222"/>
  <c r="U221"/>
  <c r="U220"/>
  <c r="U219"/>
  <c r="U218"/>
  <c r="U217"/>
  <c r="U216"/>
  <c r="U215"/>
  <c r="W214"/>
  <c r="V214"/>
  <c r="U214"/>
  <c r="M214"/>
  <c r="U213"/>
  <c r="U212"/>
  <c r="M212"/>
  <c r="U211"/>
  <c r="M211"/>
  <c r="U210"/>
  <c r="M210"/>
  <c r="U209"/>
  <c r="M209"/>
  <c r="U208"/>
  <c r="M208"/>
  <c r="W207"/>
  <c r="V207"/>
  <c r="U207"/>
  <c r="M207"/>
  <c r="M205"/>
  <c r="M203"/>
  <c r="M201"/>
  <c r="D201"/>
  <c r="M200"/>
  <c r="U198"/>
  <c r="W197"/>
  <c r="V197"/>
  <c r="U197"/>
  <c r="M197"/>
  <c r="M196"/>
  <c r="M195"/>
  <c r="W194"/>
  <c r="V194"/>
  <c r="U194"/>
  <c r="M194"/>
  <c r="M193"/>
  <c r="W192"/>
  <c r="V192"/>
  <c r="U192"/>
  <c r="M192"/>
  <c r="U191"/>
  <c r="U190"/>
  <c r="U189"/>
  <c r="W188"/>
  <c r="V188"/>
  <c r="U188"/>
  <c r="J188"/>
  <c r="H188"/>
  <c r="G188"/>
  <c r="U187"/>
  <c r="U186"/>
  <c r="W185"/>
  <c r="V185"/>
  <c r="U185"/>
  <c r="M185"/>
  <c r="U184"/>
  <c r="U183"/>
  <c r="W182"/>
  <c r="V182"/>
  <c r="M182"/>
  <c r="T181"/>
  <c r="W181" s="1"/>
  <c r="R181"/>
  <c r="Q181"/>
  <c r="V181" s="1"/>
  <c r="M181"/>
  <c r="W180"/>
  <c r="V180"/>
  <c r="U180"/>
  <c r="M180"/>
  <c r="M179"/>
  <c r="W178"/>
  <c r="V178"/>
  <c r="U178"/>
  <c r="M178"/>
  <c r="U177"/>
  <c r="W176"/>
  <c r="V176"/>
  <c r="U176"/>
  <c r="M176"/>
  <c r="T175"/>
  <c r="Q175"/>
  <c r="R175" s="1"/>
  <c r="T174"/>
  <c r="U174" s="1"/>
  <c r="Q174"/>
  <c r="R174" s="1"/>
  <c r="T173"/>
  <c r="U173" s="1"/>
  <c r="R173"/>
  <c r="Q173"/>
  <c r="U172"/>
  <c r="T172"/>
  <c r="R172"/>
  <c r="Q172"/>
  <c r="T171"/>
  <c r="Q171"/>
  <c r="U171" s="1"/>
  <c r="T170"/>
  <c r="W170" s="1"/>
  <c r="Q170"/>
  <c r="V170" s="1"/>
  <c r="W166"/>
  <c r="V166"/>
  <c r="U166"/>
  <c r="M166"/>
  <c r="U165"/>
  <c r="U164"/>
  <c r="U163"/>
  <c r="U162"/>
  <c r="U161"/>
  <c r="U160"/>
  <c r="U159"/>
  <c r="U158"/>
  <c r="U157"/>
  <c r="U156"/>
  <c r="U155"/>
  <c r="U154"/>
  <c r="U153"/>
  <c r="U152"/>
  <c r="U151"/>
  <c r="U150"/>
  <c r="W149"/>
  <c r="R149"/>
  <c r="Q149"/>
  <c r="V149" s="1"/>
  <c r="W142"/>
  <c r="V142"/>
  <c r="U142"/>
  <c r="M142"/>
  <c r="D142"/>
  <c r="W141"/>
  <c r="V141"/>
  <c r="U141"/>
  <c r="M141"/>
  <c r="U140"/>
  <c r="U139"/>
  <c r="U138"/>
  <c r="U137"/>
  <c r="U136"/>
  <c r="W135"/>
  <c r="V135"/>
  <c r="U135"/>
  <c r="M135"/>
  <c r="U134"/>
  <c r="U133"/>
  <c r="U131"/>
  <c r="U128"/>
  <c r="U127"/>
  <c r="U126"/>
  <c r="U125"/>
  <c r="U124"/>
  <c r="U122"/>
  <c r="U121"/>
  <c r="W120"/>
  <c r="V120"/>
  <c r="U120"/>
  <c r="M120"/>
  <c r="U119"/>
  <c r="U118"/>
  <c r="W117"/>
  <c r="V117"/>
  <c r="U117"/>
  <c r="M117"/>
  <c r="W113"/>
  <c r="V113"/>
  <c r="X113" s="1"/>
  <c r="U113"/>
  <c r="M113"/>
  <c r="U109"/>
  <c r="U108"/>
  <c r="U107"/>
  <c r="U106"/>
  <c r="U105"/>
  <c r="U104"/>
  <c r="W103"/>
  <c r="V103"/>
  <c r="U103"/>
  <c r="M103"/>
  <c r="W102"/>
  <c r="V102"/>
  <c r="X102" s="1"/>
  <c r="U102"/>
  <c r="M102"/>
  <c r="W101"/>
  <c r="V101"/>
  <c r="X101" s="1"/>
  <c r="U101"/>
  <c r="M101"/>
  <c r="W100"/>
  <c r="V100"/>
  <c r="U100"/>
  <c r="M100"/>
  <c r="Q99"/>
  <c r="U99" s="1"/>
  <c r="Q98"/>
  <c r="U98" s="1"/>
  <c r="W96"/>
  <c r="Q96"/>
  <c r="U96" s="1"/>
  <c r="J96"/>
  <c r="G96"/>
  <c r="M96" s="1"/>
  <c r="M94"/>
  <c r="M93"/>
  <c r="U92"/>
  <c r="U91"/>
  <c r="U90"/>
  <c r="W89"/>
  <c r="V89"/>
  <c r="U89"/>
  <c r="M89"/>
  <c r="U88"/>
  <c r="U87"/>
  <c r="U86"/>
  <c r="U85"/>
  <c r="U84"/>
  <c r="U83"/>
  <c r="U82"/>
  <c r="U81"/>
  <c r="U80"/>
  <c r="U79"/>
  <c r="U78"/>
  <c r="U77"/>
  <c r="U76"/>
  <c r="U75"/>
  <c r="U74"/>
  <c r="W73"/>
  <c r="V73"/>
  <c r="U73"/>
  <c r="J73"/>
  <c r="G73"/>
  <c r="W71"/>
  <c r="V71"/>
  <c r="U71"/>
  <c r="M71"/>
  <c r="U69"/>
  <c r="W68"/>
  <c r="V68"/>
  <c r="U68"/>
  <c r="M68"/>
  <c r="U67"/>
  <c r="U66"/>
  <c r="U65"/>
  <c r="U64"/>
  <c r="U63"/>
  <c r="U62"/>
  <c r="U61"/>
  <c r="U60"/>
  <c r="U59"/>
  <c r="U58"/>
  <c r="U57"/>
  <c r="U56"/>
  <c r="U55"/>
  <c r="U54"/>
  <c r="U53"/>
  <c r="U52"/>
  <c r="U51"/>
  <c r="U50"/>
  <c r="U49"/>
  <c r="U48"/>
  <c r="U47"/>
  <c r="U46"/>
  <c r="U45"/>
  <c r="U44"/>
  <c r="U43"/>
  <c r="U42"/>
  <c r="U41"/>
  <c r="U40"/>
  <c r="U39"/>
  <c r="U38"/>
  <c r="U37"/>
  <c r="U36"/>
  <c r="U35"/>
  <c r="U34"/>
  <c r="U33"/>
  <c r="U32"/>
  <c r="U31"/>
  <c r="U30"/>
  <c r="U29"/>
  <c r="U28"/>
  <c r="U27"/>
  <c r="U26"/>
  <c r="W25"/>
  <c r="V25"/>
  <c r="U25"/>
  <c r="M25"/>
  <c r="U24"/>
  <c r="U23"/>
  <c r="U22"/>
  <c r="U21"/>
  <c r="U20"/>
  <c r="U19"/>
  <c r="U18"/>
  <c r="U17"/>
  <c r="U16"/>
  <c r="U15"/>
  <c r="U14"/>
  <c r="U13"/>
  <c r="U12"/>
  <c r="W11"/>
  <c r="X11" s="1"/>
  <c r="V11"/>
  <c r="U11"/>
  <c r="J11"/>
  <c r="G11"/>
  <c r="M11" s="1"/>
  <c r="W10"/>
  <c r="V10"/>
  <c r="U10"/>
  <c r="M10"/>
  <c r="W8"/>
  <c r="V8"/>
  <c r="U8"/>
  <c r="M8"/>
  <c r="M7"/>
  <c r="U300" l="1"/>
  <c r="U320"/>
  <c r="U328"/>
  <c r="U299"/>
  <c r="U304"/>
  <c r="U321"/>
  <c r="R170"/>
  <c r="U175"/>
  <c r="M188"/>
  <c r="X214"/>
  <c r="X256"/>
  <c r="X288"/>
  <c r="U302"/>
  <c r="U309"/>
  <c r="M311"/>
  <c r="M383"/>
  <c r="M410"/>
  <c r="U446"/>
  <c r="V488"/>
  <c r="X488" s="1"/>
  <c r="M556"/>
  <c r="X595"/>
  <c r="M652"/>
  <c r="X655"/>
  <c r="M714"/>
  <c r="M829"/>
  <c r="M73"/>
  <c r="R171"/>
  <c r="Y197"/>
  <c r="U303"/>
  <c r="U310"/>
  <c r="X331"/>
  <c r="X527"/>
  <c r="Y845"/>
  <c r="X100"/>
  <c r="X103"/>
  <c r="X117"/>
  <c r="X141"/>
  <c r="X180"/>
  <c r="X185"/>
  <c r="Y266"/>
  <c r="X312"/>
  <c r="Y345"/>
  <c r="X349"/>
  <c r="X359"/>
  <c r="X380"/>
  <c r="X467"/>
  <c r="X665"/>
  <c r="Y714"/>
  <c r="Y750"/>
  <c r="Y797"/>
  <c r="X799"/>
  <c r="X8"/>
  <c r="Y25"/>
  <c r="Y68"/>
  <c r="X73"/>
  <c r="X89"/>
  <c r="Y100"/>
  <c r="Y101"/>
  <c r="Y102"/>
  <c r="Y103"/>
  <c r="Y113"/>
  <c r="Y117"/>
  <c r="Y120"/>
  <c r="Y135"/>
  <c r="Y142"/>
  <c r="X176"/>
  <c r="Y180"/>
  <c r="X192"/>
  <c r="Y214"/>
  <c r="Y229"/>
  <c r="Y243"/>
  <c r="Y250"/>
  <c r="Y270"/>
  <c r="Y301"/>
  <c r="Y312"/>
  <c r="Y317"/>
  <c r="Y349"/>
  <c r="Y359"/>
  <c r="Y364"/>
  <c r="Y365"/>
  <c r="Y378"/>
  <c r="Y467"/>
  <c r="X493"/>
  <c r="X508"/>
  <c r="Y519"/>
  <c r="Y520"/>
  <c r="Y529"/>
  <c r="Y537"/>
  <c r="Y578"/>
  <c r="X618"/>
  <c r="Y650"/>
  <c r="Y665"/>
  <c r="X698"/>
  <c r="X714"/>
  <c r="Y733"/>
  <c r="X737"/>
  <c r="X750"/>
  <c r="X752"/>
  <c r="Y759"/>
  <c r="X774"/>
  <c r="X806"/>
  <c r="Y843"/>
  <c r="Y847"/>
  <c r="Y848"/>
  <c r="Y852"/>
  <c r="X861"/>
  <c r="Y864"/>
  <c r="X876"/>
  <c r="X71"/>
  <c r="Y89"/>
  <c r="X166"/>
  <c r="Y178"/>
  <c r="X182"/>
  <c r="Y188"/>
  <c r="Y194"/>
  <c r="Y207"/>
  <c r="X231"/>
  <c r="Y256"/>
  <c r="X260"/>
  <c r="Y288"/>
  <c r="Y316"/>
  <c r="X317"/>
  <c r="Y331"/>
  <c r="Y380"/>
  <c r="Y415"/>
  <c r="Y420"/>
  <c r="Y433"/>
  <c r="Y483"/>
  <c r="Y508"/>
  <c r="Y527"/>
  <c r="Y576"/>
  <c r="X578"/>
  <c r="Y582"/>
  <c r="Y585"/>
  <c r="Y595"/>
  <c r="Y618"/>
  <c r="Y655"/>
  <c r="Y737"/>
  <c r="Y752"/>
  <c r="X797"/>
  <c r="Y799"/>
  <c r="Y804"/>
  <c r="Y806"/>
  <c r="Y811"/>
  <c r="Y877"/>
  <c r="Y8" i="9"/>
  <c r="Y11"/>
  <c r="X25"/>
  <c r="X68"/>
  <c r="Y73"/>
  <c r="X89"/>
  <c r="Y96"/>
  <c r="Y394"/>
  <c r="V96"/>
  <c r="X96" s="1"/>
  <c r="U96"/>
  <c r="X181"/>
  <c r="Y181"/>
  <c r="X364"/>
  <c r="Y120"/>
  <c r="Y135"/>
  <c r="X141"/>
  <c r="Y142"/>
  <c r="V149"/>
  <c r="X149"/>
  <c r="X166"/>
  <c r="X170"/>
  <c r="X176"/>
  <c r="Y178"/>
  <c r="U181"/>
  <c r="X185"/>
  <c r="Y188"/>
  <c r="X192"/>
  <c r="Y194"/>
  <c r="Y197"/>
  <c r="Y207"/>
  <c r="Y229"/>
  <c r="X231"/>
  <c r="Y243"/>
  <c r="Y250"/>
  <c r="X256"/>
  <c r="X260"/>
  <c r="Y266"/>
  <c r="Y270"/>
  <c r="Y301"/>
  <c r="Y316"/>
  <c r="Y345"/>
  <c r="Y364"/>
  <c r="Y365"/>
  <c r="Y378"/>
  <c r="V394"/>
  <c r="X394" s="1"/>
  <c r="Y415"/>
  <c r="Y420"/>
  <c r="Y433"/>
  <c r="Y446"/>
  <c r="Y483"/>
  <c r="V488"/>
  <c r="X488" s="1"/>
  <c r="X506"/>
  <c r="Y506"/>
  <c r="Y620"/>
  <c r="Y682"/>
  <c r="X829"/>
  <c r="Y829"/>
  <c r="U394"/>
  <c r="Y488"/>
  <c r="X500"/>
  <c r="Y500"/>
  <c r="Y514"/>
  <c r="X519"/>
  <c r="Y593"/>
  <c r="Y639"/>
  <c r="Y804"/>
  <c r="X804"/>
  <c r="X493"/>
  <c r="U500"/>
  <c r="U506"/>
  <c r="Y508"/>
  <c r="Y519"/>
  <c r="V520"/>
  <c r="X520" s="1"/>
  <c r="Y527"/>
  <c r="X529"/>
  <c r="X537"/>
  <c r="X576"/>
  <c r="Y578"/>
  <c r="X585"/>
  <c r="X593"/>
  <c r="Y595"/>
  <c r="Y618"/>
  <c r="V620"/>
  <c r="X620"/>
  <c r="Y655"/>
  <c r="Y665"/>
  <c r="X682"/>
  <c r="Y714"/>
  <c r="X733"/>
  <c r="Y752"/>
  <c r="X759"/>
  <c r="Y799"/>
  <c r="Y806"/>
  <c r="U829"/>
  <c r="X843"/>
  <c r="X845"/>
  <c r="X847"/>
  <c r="X852"/>
  <c r="X864"/>
  <c r="X874"/>
  <c r="X877"/>
  <c r="U804"/>
  <c r="Y96" i="8"/>
  <c r="X170"/>
  <c r="Y170"/>
  <c r="Y181"/>
  <c r="X181"/>
  <c r="Y446"/>
  <c r="X149"/>
  <c r="X394"/>
  <c r="Y394"/>
  <c r="Y488"/>
  <c r="Y8"/>
  <c r="Y11"/>
  <c r="X25"/>
  <c r="X68"/>
  <c r="Y71"/>
  <c r="Y73"/>
  <c r="V96"/>
  <c r="X96" s="1"/>
  <c r="X120"/>
  <c r="X135"/>
  <c r="Y141"/>
  <c r="X142"/>
  <c r="U149"/>
  <c r="Y149"/>
  <c r="Y166"/>
  <c r="U170"/>
  <c r="Y176"/>
  <c r="X178"/>
  <c r="Y182"/>
  <c r="Y185"/>
  <c r="X188"/>
  <c r="Y192"/>
  <c r="X194"/>
  <c r="X197"/>
  <c r="X207"/>
  <c r="X229"/>
  <c r="Y231"/>
  <c r="X243"/>
  <c r="X250"/>
  <c r="Y260"/>
  <c r="X266"/>
  <c r="X270"/>
  <c r="X301"/>
  <c r="X316"/>
  <c r="X345"/>
  <c r="X364"/>
  <c r="X365"/>
  <c r="X378"/>
  <c r="R394"/>
  <c r="U394"/>
  <c r="X415"/>
  <c r="X420"/>
  <c r="X433"/>
  <c r="X446"/>
  <c r="X483"/>
  <c r="U488"/>
  <c r="Y493"/>
  <c r="W500"/>
  <c r="U500"/>
  <c r="W506"/>
  <c r="U506"/>
  <c r="Y593"/>
  <c r="Y639"/>
  <c r="X829"/>
  <c r="Y829"/>
  <c r="U181"/>
  <c r="Y514"/>
  <c r="Y620"/>
  <c r="Y682"/>
  <c r="X514"/>
  <c r="U519"/>
  <c r="X520"/>
  <c r="X529"/>
  <c r="X537"/>
  <c r="X576"/>
  <c r="X582"/>
  <c r="X585"/>
  <c r="X593"/>
  <c r="V620"/>
  <c r="X620"/>
  <c r="X639"/>
  <c r="X650"/>
  <c r="X682"/>
  <c r="X733"/>
  <c r="X759"/>
  <c r="X804"/>
  <c r="X811"/>
  <c r="X815"/>
  <c r="U829"/>
  <c r="X843"/>
  <c r="X845"/>
  <c r="X847"/>
  <c r="X852"/>
  <c r="X864"/>
  <c r="X874"/>
  <c r="X877"/>
  <c r="Y506" l="1"/>
  <c r="X506"/>
  <c r="Y500"/>
  <c r="X500"/>
  <c r="H85" i="7" l="1"/>
  <c r="G85"/>
  <c r="H84"/>
  <c r="G84"/>
  <c r="H83"/>
  <c r="G83"/>
  <c r="H82"/>
  <c r="G82"/>
  <c r="H81"/>
  <c r="G81"/>
  <c r="H80"/>
  <c r="G80"/>
  <c r="H79"/>
  <c r="G79"/>
  <c r="H78"/>
  <c r="G78"/>
  <c r="H77"/>
  <c r="G77"/>
  <c r="H76"/>
  <c r="G76"/>
  <c r="H75"/>
  <c r="G75"/>
  <c r="H74"/>
  <c r="G74"/>
  <c r="H73"/>
  <c r="G73"/>
  <c r="H72"/>
  <c r="G72"/>
  <c r="H71"/>
  <c r="G71"/>
  <c r="H70"/>
  <c r="G70"/>
  <c r="H69"/>
  <c r="G69"/>
  <c r="H68"/>
  <c r="G68"/>
  <c r="H67"/>
  <c r="G67"/>
  <c r="H66"/>
  <c r="G66"/>
  <c r="H65"/>
  <c r="G65"/>
  <c r="H64"/>
  <c r="G64"/>
  <c r="H63"/>
  <c r="G63"/>
  <c r="H62"/>
  <c r="G62"/>
  <c r="H61"/>
  <c r="G61"/>
  <c r="H60"/>
  <c r="G60"/>
  <c r="H59"/>
  <c r="G59"/>
  <c r="H58"/>
  <c r="G58"/>
  <c r="H57"/>
  <c r="G57"/>
  <c r="H56"/>
  <c r="G56"/>
  <c r="H55"/>
  <c r="G55"/>
  <c r="H54"/>
  <c r="G54"/>
  <c r="H53"/>
  <c r="G53"/>
  <c r="H52"/>
  <c r="G52"/>
  <c r="H51"/>
  <c r="G51"/>
  <c r="H50"/>
  <c r="G50"/>
  <c r="H49"/>
  <c r="G49"/>
  <c r="H48"/>
  <c r="G48"/>
  <c r="H47"/>
  <c r="G47"/>
  <c r="H46"/>
  <c r="G46"/>
  <c r="H45"/>
  <c r="G45"/>
  <c r="H44"/>
  <c r="G44"/>
  <c r="H43"/>
  <c r="G43"/>
  <c r="H42"/>
  <c r="G42"/>
  <c r="H41"/>
  <c r="G41"/>
  <c r="H40"/>
  <c r="G40"/>
  <c r="H39"/>
  <c r="G39"/>
  <c r="H38"/>
  <c r="G38"/>
  <c r="H37"/>
  <c r="G37"/>
  <c r="H36"/>
  <c r="G36"/>
  <c r="H35"/>
  <c r="G35"/>
  <c r="H34"/>
  <c r="G34"/>
  <c r="H33"/>
  <c r="G33"/>
  <c r="H32"/>
  <c r="G32"/>
  <c r="H31"/>
  <c r="G31"/>
  <c r="H30"/>
  <c r="G30"/>
  <c r="H29"/>
  <c r="G29"/>
  <c r="G28"/>
  <c r="H28" s="1"/>
  <c r="H27"/>
  <c r="G27"/>
  <c r="H26"/>
  <c r="G26"/>
  <c r="H25"/>
  <c r="G25"/>
  <c r="H24"/>
  <c r="G24"/>
  <c r="H23"/>
  <c r="G23"/>
  <c r="H22"/>
  <c r="G22"/>
  <c r="H21"/>
  <c r="G21"/>
  <c r="H20"/>
  <c r="G20"/>
  <c r="H19"/>
  <c r="G19"/>
  <c r="H18"/>
  <c r="G18"/>
  <c r="H17"/>
  <c r="G17"/>
  <c r="H16"/>
  <c r="G16"/>
  <c r="H15"/>
  <c r="G15"/>
  <c r="H14"/>
  <c r="G14"/>
  <c r="H13"/>
  <c r="G13"/>
  <c r="H12"/>
  <c r="G12"/>
  <c r="H11"/>
  <c r="G11"/>
  <c r="H10"/>
  <c r="G10"/>
  <c r="H9"/>
  <c r="G9"/>
  <c r="H8"/>
  <c r="G8"/>
  <c r="H7"/>
  <c r="G7"/>
  <c r="H6"/>
  <c r="G6"/>
</calcChain>
</file>

<file path=xl/comments1.xml><?xml version="1.0" encoding="utf-8"?>
<comments xmlns="http://schemas.openxmlformats.org/spreadsheetml/2006/main">
  <authors>
    <author>作者</author>
  </authors>
  <commentList>
    <comment ref="M10" authorId="0">
      <text>
        <r>
          <rPr>
            <sz val="9"/>
            <color indexed="81"/>
            <rFont val="宋体"/>
            <family val="3"/>
            <charset val="134"/>
          </rPr>
          <t>建筑工程一切险及第三者责任保险费用由总承包部统一购买</t>
        </r>
      </text>
    </comment>
    <comment ref="G73" authorId="0">
      <text>
        <r>
          <rPr>
            <b/>
            <sz val="9"/>
            <color indexed="81"/>
            <rFont val="宋体"/>
            <family val="3"/>
            <charset val="134"/>
          </rPr>
          <t>作者:</t>
        </r>
        <r>
          <rPr>
            <sz val="9"/>
            <color indexed="81"/>
            <rFont val="宋体"/>
            <family val="3"/>
            <charset val="134"/>
          </rPr>
          <t xml:space="preserve">
总部统一投保，全线合计额度。含第三者责任险。</t>
        </r>
      </text>
    </comment>
    <comment ref="J73" authorId="0">
      <text>
        <r>
          <rPr>
            <b/>
            <sz val="9"/>
            <color indexed="81"/>
            <rFont val="宋体"/>
            <family val="3"/>
            <charset val="134"/>
          </rPr>
          <t>作者:</t>
        </r>
        <r>
          <rPr>
            <sz val="9"/>
            <color indexed="81"/>
            <rFont val="宋体"/>
            <family val="3"/>
            <charset val="134"/>
          </rPr>
          <t xml:space="preserve">
总部统一投保，全线合计额度。</t>
        </r>
      </text>
    </comment>
    <comment ref="G96" authorId="0">
      <text>
        <r>
          <rPr>
            <b/>
            <sz val="9"/>
            <color indexed="81"/>
            <rFont val="宋体"/>
            <family val="3"/>
            <charset val="134"/>
          </rPr>
          <t>作者:</t>
        </r>
        <r>
          <rPr>
            <sz val="9"/>
            <color indexed="81"/>
            <rFont val="宋体"/>
            <family val="3"/>
            <charset val="134"/>
          </rPr>
          <t xml:space="preserve">
局指签合同，分部未分劈</t>
        </r>
      </text>
    </comment>
    <comment ref="H96" authorId="0">
      <text>
        <r>
          <rPr>
            <b/>
            <sz val="9"/>
            <color indexed="81"/>
            <rFont val="宋体"/>
            <family val="3"/>
            <charset val="134"/>
          </rPr>
          <t>作者:</t>
        </r>
        <r>
          <rPr>
            <sz val="9"/>
            <color indexed="81"/>
            <rFont val="宋体"/>
            <family val="3"/>
            <charset val="134"/>
          </rPr>
          <t xml:space="preserve">
局指签合同</t>
        </r>
      </text>
    </comment>
    <comment ref="J96" authorId="0">
      <text>
        <r>
          <rPr>
            <b/>
            <sz val="9"/>
            <color indexed="81"/>
            <rFont val="宋体"/>
            <family val="3"/>
            <charset val="134"/>
          </rPr>
          <t>作者:</t>
        </r>
        <r>
          <rPr>
            <sz val="9"/>
            <color indexed="81"/>
            <rFont val="宋体"/>
            <family val="3"/>
            <charset val="134"/>
          </rPr>
          <t xml:space="preserve">
局指签合同</t>
        </r>
      </text>
    </comment>
    <comment ref="G120" authorId="0">
      <text>
        <r>
          <rPr>
            <b/>
            <sz val="9"/>
            <color indexed="81"/>
            <rFont val="宋体"/>
            <family val="3"/>
            <charset val="134"/>
          </rPr>
          <t>作者:</t>
        </r>
        <r>
          <rPr>
            <sz val="9"/>
            <color indexed="81"/>
            <rFont val="宋体"/>
            <family val="3"/>
            <charset val="134"/>
          </rPr>
          <t xml:space="preserve">
总部统一投保金额，未划分至各分部</t>
        </r>
      </text>
    </comment>
    <comment ref="J120" authorId="0">
      <text>
        <r>
          <rPr>
            <b/>
            <sz val="9"/>
            <color indexed="81"/>
            <rFont val="宋体"/>
            <family val="3"/>
            <charset val="134"/>
          </rPr>
          <t>作者:</t>
        </r>
        <r>
          <rPr>
            <sz val="9"/>
            <color indexed="81"/>
            <rFont val="宋体"/>
            <family val="3"/>
            <charset val="134"/>
          </rPr>
          <t xml:space="preserve">
总部统一投保金额，未划分至各分部</t>
        </r>
      </text>
    </comment>
    <comment ref="G142" authorId="0">
      <text>
        <r>
          <rPr>
            <b/>
            <sz val="9"/>
            <color indexed="81"/>
            <rFont val="宋体"/>
            <family val="3"/>
            <charset val="134"/>
          </rPr>
          <t>作者:</t>
        </r>
        <r>
          <rPr>
            <sz val="9"/>
            <color indexed="81"/>
            <rFont val="宋体"/>
            <family val="3"/>
            <charset val="134"/>
          </rPr>
          <t xml:space="preserve">
不分一切险和三者险，共计金额</t>
        </r>
      </text>
    </comment>
    <comment ref="G166" authorId="0">
      <text>
        <r>
          <rPr>
            <b/>
            <sz val="9"/>
            <color indexed="81"/>
            <rFont val="宋体"/>
            <family val="3"/>
            <charset val="134"/>
          </rPr>
          <t>作者:</t>
        </r>
        <r>
          <rPr>
            <sz val="9"/>
            <color indexed="81"/>
            <rFont val="宋体"/>
            <family val="3"/>
            <charset val="134"/>
          </rPr>
          <t xml:space="preserve">
不分一切险和三者险，共计金额</t>
        </r>
      </text>
    </comment>
    <comment ref="N178" authorId="0">
      <text>
        <r>
          <rPr>
            <b/>
            <sz val="9"/>
            <color indexed="81"/>
            <rFont val="宋体"/>
            <family val="3"/>
            <charset val="134"/>
          </rPr>
          <t>作者:</t>
        </r>
        <r>
          <rPr>
            <sz val="9"/>
            <color indexed="81"/>
            <rFont val="宋体"/>
            <family val="3"/>
            <charset val="134"/>
          </rPr>
          <t xml:space="preserve">
二分部</t>
        </r>
      </text>
    </comment>
    <comment ref="G179" authorId="0">
      <text>
        <r>
          <rPr>
            <b/>
            <sz val="9"/>
            <color indexed="81"/>
            <rFont val="宋体"/>
            <family val="3"/>
            <charset val="134"/>
          </rPr>
          <t>作者:</t>
        </r>
        <r>
          <rPr>
            <sz val="9"/>
            <color indexed="81"/>
            <rFont val="宋体"/>
            <family val="3"/>
            <charset val="134"/>
          </rPr>
          <t xml:space="preserve">
二航局上交 代扣我分部 含一切险 第三者责任及人身意外伤害
具体金额无法分开</t>
        </r>
      </text>
    </comment>
    <comment ref="Z179" authorId="0">
      <text>
        <r>
          <rPr>
            <b/>
            <sz val="9"/>
            <color indexed="81"/>
            <rFont val="宋体"/>
            <family val="3"/>
            <charset val="134"/>
          </rPr>
          <t>作者:</t>
        </r>
        <r>
          <rPr>
            <sz val="9"/>
            <color indexed="81"/>
            <rFont val="宋体"/>
            <family val="3"/>
            <charset val="134"/>
          </rPr>
          <t xml:space="preserve">
项目目前没有理赔</t>
        </r>
      </text>
    </comment>
    <comment ref="Z188" authorId="0">
      <text>
        <r>
          <rPr>
            <b/>
            <sz val="9"/>
            <color indexed="81"/>
            <rFont val="宋体"/>
            <family val="3"/>
            <charset val="134"/>
          </rPr>
          <t>作者:</t>
        </r>
        <r>
          <rPr>
            <sz val="9"/>
            <color indexed="81"/>
            <rFont val="宋体"/>
            <family val="3"/>
            <charset val="134"/>
          </rPr>
          <t xml:space="preserve">
保险公司赔付金额含免赔额</t>
        </r>
      </text>
    </comment>
    <comment ref="Z189" authorId="0">
      <text>
        <r>
          <rPr>
            <b/>
            <sz val="9"/>
            <color indexed="81"/>
            <rFont val="宋体"/>
            <family val="3"/>
            <charset val="134"/>
          </rPr>
          <t>作者:</t>
        </r>
        <r>
          <rPr>
            <sz val="9"/>
            <color indexed="81"/>
            <rFont val="宋体"/>
            <family val="3"/>
            <charset val="134"/>
          </rPr>
          <t xml:space="preserve">
保险公司赔付金额含免赔额</t>
        </r>
      </text>
    </comment>
    <comment ref="Z190" authorId="0">
      <text>
        <r>
          <rPr>
            <b/>
            <sz val="9"/>
            <color indexed="81"/>
            <rFont val="宋体"/>
            <family val="3"/>
            <charset val="134"/>
          </rPr>
          <t>作者:</t>
        </r>
        <r>
          <rPr>
            <sz val="9"/>
            <color indexed="81"/>
            <rFont val="宋体"/>
            <family val="3"/>
            <charset val="134"/>
          </rPr>
          <t xml:space="preserve">
保险公司赔付金额含免赔额</t>
        </r>
      </text>
    </comment>
    <comment ref="Z191" authorId="0">
      <text>
        <r>
          <rPr>
            <b/>
            <sz val="9"/>
            <color indexed="81"/>
            <rFont val="宋体"/>
            <family val="3"/>
            <charset val="134"/>
          </rPr>
          <t>作者:</t>
        </r>
        <r>
          <rPr>
            <sz val="9"/>
            <color indexed="81"/>
            <rFont val="宋体"/>
            <family val="3"/>
            <charset val="134"/>
          </rPr>
          <t xml:space="preserve">
保险公司赔付金额含免赔额</t>
        </r>
      </text>
    </comment>
    <comment ref="Z193" authorId="0">
      <text>
        <r>
          <rPr>
            <b/>
            <sz val="9"/>
            <color indexed="81"/>
            <rFont val="宋体"/>
            <family val="3"/>
            <charset val="134"/>
          </rPr>
          <t>作者:</t>
        </r>
        <r>
          <rPr>
            <sz val="9"/>
            <color indexed="81"/>
            <rFont val="宋体"/>
            <family val="3"/>
            <charset val="134"/>
          </rPr>
          <t xml:space="preserve">
项目目前没有理赔</t>
        </r>
      </text>
    </comment>
    <comment ref="H195" authorId="0">
      <text>
        <r>
          <rPr>
            <b/>
            <sz val="9"/>
            <color indexed="81"/>
            <rFont val="宋体"/>
            <family val="3"/>
            <charset val="134"/>
          </rPr>
          <t>作者:</t>
        </r>
        <r>
          <rPr>
            <sz val="9"/>
            <color indexed="81"/>
            <rFont val="宋体"/>
            <family val="3"/>
            <charset val="134"/>
          </rPr>
          <t xml:space="preserve">
因工程变更，合同尚未重新签订，故仅购买工程一切险</t>
        </r>
      </text>
    </comment>
    <comment ref="Z195" authorId="0">
      <text>
        <r>
          <rPr>
            <b/>
            <sz val="9"/>
            <color indexed="81"/>
            <rFont val="宋体"/>
            <family val="3"/>
            <charset val="134"/>
          </rPr>
          <t>作者:</t>
        </r>
        <r>
          <rPr>
            <sz val="9"/>
            <color indexed="81"/>
            <rFont val="宋体"/>
            <family val="3"/>
            <charset val="134"/>
          </rPr>
          <t xml:space="preserve">
项目目前没有理赔</t>
        </r>
      </text>
    </comment>
    <comment ref="C196" authorId="0">
      <text>
        <r>
          <rPr>
            <b/>
            <sz val="9"/>
            <color indexed="81"/>
            <rFont val="宋体"/>
            <family val="3"/>
            <charset val="134"/>
          </rPr>
          <t>作者:</t>
        </r>
        <r>
          <rPr>
            <sz val="9"/>
            <color indexed="81"/>
            <rFont val="宋体"/>
            <family val="3"/>
            <charset val="134"/>
          </rPr>
          <t xml:space="preserve">
驸马桥总部统一投保</t>
        </r>
        <r>
          <rPr>
            <sz val="9"/>
            <color indexed="81"/>
            <rFont val="Tahoma"/>
            <family val="2"/>
          </rPr>
          <t>2346.9</t>
        </r>
        <r>
          <rPr>
            <sz val="9"/>
            <color indexed="81"/>
            <rFont val="宋体"/>
            <family val="3"/>
            <charset val="134"/>
          </rPr>
          <t>万，每个分部不再分别投保。</t>
        </r>
      </text>
    </comment>
    <comment ref="Z196" authorId="0">
      <text>
        <r>
          <rPr>
            <b/>
            <sz val="9"/>
            <color indexed="81"/>
            <rFont val="宋体"/>
            <family val="3"/>
            <charset val="134"/>
          </rPr>
          <t>作者:</t>
        </r>
        <r>
          <rPr>
            <sz val="9"/>
            <color indexed="81"/>
            <rFont val="宋体"/>
            <family val="3"/>
            <charset val="134"/>
          </rPr>
          <t xml:space="preserve">
项目目前没有理赔</t>
        </r>
      </text>
    </comment>
    <comment ref="C199" authorId="0">
      <text>
        <r>
          <rPr>
            <b/>
            <sz val="9"/>
            <color indexed="81"/>
            <rFont val="宋体"/>
            <family val="3"/>
            <charset val="134"/>
          </rPr>
          <t>作者:</t>
        </r>
        <r>
          <rPr>
            <sz val="9"/>
            <color indexed="81"/>
            <rFont val="宋体"/>
            <family val="3"/>
            <charset val="134"/>
          </rPr>
          <t xml:space="preserve">
停工项目，没有买过保险</t>
        </r>
      </text>
    </comment>
    <comment ref="Z200" authorId="0">
      <text>
        <r>
          <rPr>
            <b/>
            <sz val="9"/>
            <color indexed="81"/>
            <rFont val="宋体"/>
            <family val="3"/>
            <charset val="134"/>
          </rPr>
          <t>作者:</t>
        </r>
        <r>
          <rPr>
            <sz val="9"/>
            <color indexed="81"/>
            <rFont val="宋体"/>
            <family val="3"/>
            <charset val="134"/>
          </rPr>
          <t xml:space="preserve">
项目目前没有理赔</t>
        </r>
      </text>
    </comment>
    <comment ref="Z201" authorId="0">
      <text>
        <r>
          <rPr>
            <b/>
            <sz val="9"/>
            <color indexed="81"/>
            <rFont val="宋体"/>
            <family val="3"/>
            <charset val="134"/>
          </rPr>
          <t>作者:</t>
        </r>
        <r>
          <rPr>
            <sz val="9"/>
            <color indexed="81"/>
            <rFont val="宋体"/>
            <family val="3"/>
            <charset val="134"/>
          </rPr>
          <t xml:space="preserve">
项目目前没有理赔</t>
        </r>
      </text>
    </comment>
    <comment ref="C202" authorId="0">
      <text>
        <r>
          <rPr>
            <b/>
            <sz val="9"/>
            <color indexed="81"/>
            <rFont val="Tahoma"/>
            <family val="2"/>
          </rPr>
          <t>yaoyj:</t>
        </r>
        <r>
          <rPr>
            <b/>
            <sz val="9"/>
            <color indexed="81"/>
            <rFont val="宋体"/>
            <family val="3"/>
            <charset val="134"/>
          </rPr>
          <t>保险正在办理中，办理完成后开始上报。</t>
        </r>
      </text>
    </comment>
    <comment ref="K203" authorId="0">
      <text>
        <r>
          <rPr>
            <b/>
            <sz val="9"/>
            <color indexed="81"/>
            <rFont val="宋体"/>
            <family val="3"/>
            <charset val="134"/>
          </rPr>
          <t>作者:</t>
        </r>
        <r>
          <rPr>
            <sz val="9"/>
            <color indexed="81"/>
            <rFont val="宋体"/>
            <family val="3"/>
            <charset val="134"/>
          </rPr>
          <t xml:space="preserve">
建设工程施工人员团体意外伤害保险</t>
        </r>
        <r>
          <rPr>
            <sz val="9"/>
            <color indexed="81"/>
            <rFont val="Tahoma"/>
            <family val="2"/>
          </rPr>
          <t xml:space="preserve">.
</t>
        </r>
        <r>
          <rPr>
            <sz val="9"/>
            <color indexed="81"/>
            <rFont val="宋体"/>
            <family val="3"/>
            <charset val="134"/>
          </rPr>
          <t>险种：雇主责任险</t>
        </r>
      </text>
    </comment>
    <comment ref="Z203" authorId="0">
      <text>
        <r>
          <rPr>
            <b/>
            <sz val="9"/>
            <color indexed="81"/>
            <rFont val="宋体"/>
            <family val="3"/>
            <charset val="134"/>
          </rPr>
          <t>作者:</t>
        </r>
        <r>
          <rPr>
            <sz val="9"/>
            <color indexed="81"/>
            <rFont val="宋体"/>
            <family val="3"/>
            <charset val="134"/>
          </rPr>
          <t xml:space="preserve">
项目目前没有理赔</t>
        </r>
      </text>
    </comment>
    <comment ref="C204" authorId="0">
      <text>
        <r>
          <rPr>
            <b/>
            <sz val="9"/>
            <color indexed="81"/>
            <rFont val="Tahoma"/>
            <family val="2"/>
          </rPr>
          <t>yyj</t>
        </r>
        <r>
          <rPr>
            <b/>
            <sz val="9"/>
            <color indexed="81"/>
            <rFont val="宋体"/>
            <family val="3"/>
            <charset val="134"/>
          </rPr>
          <t>：资金不到位，暂未投保</t>
        </r>
      </text>
    </comment>
    <comment ref="G205" authorId="0">
      <text>
        <r>
          <rPr>
            <b/>
            <sz val="9"/>
            <color indexed="81"/>
            <rFont val="宋体"/>
            <family val="3"/>
            <charset val="134"/>
          </rPr>
          <t>姚羽珈：
项目买，业主出钱</t>
        </r>
      </text>
    </comment>
    <comment ref="C206" authorId="0">
      <text>
        <r>
          <rPr>
            <b/>
            <sz val="9"/>
            <color indexed="81"/>
            <rFont val="Tahoma"/>
            <family val="2"/>
          </rPr>
          <t xml:space="preserve">yyj:
</t>
        </r>
        <r>
          <rPr>
            <b/>
            <sz val="9"/>
            <color indexed="81"/>
            <rFont val="宋体"/>
            <family val="3"/>
            <charset val="134"/>
          </rPr>
          <t>新开项目暂未投保</t>
        </r>
      </text>
    </comment>
    <comment ref="U214" authorId="0">
      <text>
        <r>
          <rPr>
            <b/>
            <sz val="9"/>
            <color indexed="81"/>
            <rFont val="宋体"/>
            <family val="3"/>
            <charset val="134"/>
          </rPr>
          <t>作者:</t>
        </r>
        <r>
          <rPr>
            <sz val="9"/>
            <color indexed="81"/>
            <rFont val="宋体"/>
            <family val="3"/>
            <charset val="134"/>
          </rPr>
          <t xml:space="preserve">
意外伤害限额</t>
        </r>
        <r>
          <rPr>
            <sz val="9"/>
            <color indexed="81"/>
            <rFont val="Tahoma"/>
            <family val="2"/>
          </rPr>
          <t>4</t>
        </r>
        <r>
          <rPr>
            <sz val="9"/>
            <color indexed="81"/>
            <rFont val="宋体"/>
            <family val="3"/>
            <charset val="134"/>
          </rPr>
          <t>万</t>
        </r>
      </text>
    </comment>
    <comment ref="U215" authorId="0">
      <text>
        <r>
          <rPr>
            <b/>
            <sz val="9"/>
            <color indexed="81"/>
            <rFont val="宋体"/>
            <family val="3"/>
            <charset val="134"/>
          </rPr>
          <t>作者:</t>
        </r>
        <r>
          <rPr>
            <sz val="9"/>
            <color indexed="81"/>
            <rFont val="宋体"/>
            <family val="3"/>
            <charset val="134"/>
          </rPr>
          <t xml:space="preserve">
根据发票金额套用湖南省药价的</t>
        </r>
        <r>
          <rPr>
            <sz val="9"/>
            <color indexed="81"/>
            <rFont val="Tahoma"/>
            <family val="2"/>
          </rPr>
          <t>80%-100</t>
        </r>
        <r>
          <rPr>
            <sz val="9"/>
            <color indexed="81"/>
            <rFont val="宋体"/>
            <family val="3"/>
            <charset val="134"/>
          </rPr>
          <t>元免赔</t>
        </r>
      </text>
    </comment>
    <comment ref="U225" authorId="0">
      <text>
        <r>
          <rPr>
            <b/>
            <sz val="9"/>
            <color indexed="81"/>
            <rFont val="宋体"/>
            <family val="3"/>
            <charset val="134"/>
          </rPr>
          <t>作者:</t>
        </r>
        <r>
          <rPr>
            <sz val="9"/>
            <color indexed="81"/>
            <rFont val="宋体"/>
            <family val="3"/>
            <charset val="134"/>
          </rPr>
          <t xml:space="preserve">
免赔额</t>
        </r>
        <r>
          <rPr>
            <sz val="9"/>
            <color indexed="81"/>
            <rFont val="Tahoma"/>
            <family val="2"/>
          </rPr>
          <t>22</t>
        </r>
        <r>
          <rPr>
            <sz val="9"/>
            <color indexed="81"/>
            <rFont val="宋体"/>
            <family val="3"/>
            <charset val="134"/>
          </rPr>
          <t>万</t>
        </r>
      </text>
    </comment>
    <comment ref="U226" authorId="0">
      <text>
        <r>
          <rPr>
            <b/>
            <sz val="9"/>
            <color indexed="81"/>
            <rFont val="宋体"/>
            <family val="3"/>
            <charset val="134"/>
          </rPr>
          <t>作者:</t>
        </r>
        <r>
          <rPr>
            <sz val="9"/>
            <color indexed="81"/>
            <rFont val="宋体"/>
            <family val="3"/>
            <charset val="134"/>
          </rPr>
          <t xml:space="preserve">
免赔额</t>
        </r>
        <r>
          <rPr>
            <sz val="9"/>
            <color indexed="81"/>
            <rFont val="Tahoma"/>
            <family val="2"/>
          </rPr>
          <t>22</t>
        </r>
        <r>
          <rPr>
            <sz val="9"/>
            <color indexed="81"/>
            <rFont val="宋体"/>
            <family val="3"/>
            <charset val="134"/>
          </rPr>
          <t>万</t>
        </r>
      </text>
    </comment>
    <comment ref="U227" authorId="0">
      <text>
        <r>
          <rPr>
            <b/>
            <sz val="9"/>
            <color indexed="81"/>
            <rFont val="宋体"/>
            <family val="3"/>
            <charset val="134"/>
          </rPr>
          <t>作者:</t>
        </r>
        <r>
          <rPr>
            <sz val="9"/>
            <color indexed="81"/>
            <rFont val="宋体"/>
            <family val="3"/>
            <charset val="134"/>
          </rPr>
          <t xml:space="preserve">
免赔额</t>
        </r>
        <r>
          <rPr>
            <sz val="9"/>
            <color indexed="81"/>
            <rFont val="Tahoma"/>
            <family val="2"/>
          </rPr>
          <t>22</t>
        </r>
        <r>
          <rPr>
            <sz val="9"/>
            <color indexed="81"/>
            <rFont val="宋体"/>
            <family val="3"/>
            <charset val="134"/>
          </rPr>
          <t>万</t>
        </r>
      </text>
    </comment>
    <comment ref="U228" authorId="0">
      <text>
        <r>
          <rPr>
            <b/>
            <sz val="9"/>
            <color indexed="81"/>
            <rFont val="宋体"/>
            <family val="3"/>
            <charset val="134"/>
          </rPr>
          <t>作者:</t>
        </r>
        <r>
          <rPr>
            <sz val="9"/>
            <color indexed="81"/>
            <rFont val="宋体"/>
            <family val="3"/>
            <charset val="134"/>
          </rPr>
          <t xml:space="preserve">
免赔额</t>
        </r>
        <r>
          <rPr>
            <sz val="9"/>
            <color indexed="81"/>
            <rFont val="Tahoma"/>
            <family val="2"/>
          </rPr>
          <t>22</t>
        </r>
        <r>
          <rPr>
            <sz val="9"/>
            <color indexed="81"/>
            <rFont val="宋体"/>
            <family val="3"/>
            <charset val="134"/>
          </rPr>
          <t>万</t>
        </r>
      </text>
    </comment>
    <comment ref="G254" authorId="0">
      <text>
        <r>
          <rPr>
            <sz val="9"/>
            <color indexed="81"/>
            <rFont val="宋体"/>
            <family val="3"/>
            <charset val="134"/>
          </rPr>
          <t>业主办理保险</t>
        </r>
      </text>
    </comment>
    <comment ref="S299" authorId="0">
      <text>
        <r>
          <rPr>
            <sz val="9"/>
            <rFont val="宋体"/>
            <family val="3"/>
            <charset val="134"/>
          </rPr>
          <t>保险免赔金额200万元。
评估公司给评估的价格公为60多万元，保险公司不予赔偿。</t>
        </r>
      </text>
    </comment>
    <comment ref="C302" authorId="0">
      <text>
        <r>
          <rPr>
            <sz val="9"/>
            <rFont val="宋体"/>
            <family val="3"/>
            <charset val="134"/>
          </rPr>
          <t>仙桃一分部和三分部一起购买的保险</t>
        </r>
      </text>
    </comment>
    <comment ref="C303" authorId="0">
      <text>
        <r>
          <rPr>
            <sz val="9"/>
            <rFont val="宋体"/>
            <family val="3"/>
            <charset val="134"/>
          </rPr>
          <t xml:space="preserve">仙桃一分部和仙桃三分部一起购买的保险
</t>
        </r>
      </text>
    </comment>
    <comment ref="Q317" authorId="0">
      <text>
        <r>
          <rPr>
            <b/>
            <sz val="9"/>
            <rFont val="宋体"/>
            <family val="3"/>
            <charset val="134"/>
          </rPr>
          <t>作者:</t>
        </r>
        <r>
          <rPr>
            <sz val="9"/>
            <rFont val="宋体"/>
            <family val="3"/>
            <charset val="134"/>
          </rPr>
          <t xml:space="preserve">
使用挖机修补，WY200型挖机，20个台班修补完毕，实际损失32495元</t>
        </r>
      </text>
    </comment>
    <comment ref="G319" authorId="0">
      <text>
        <r>
          <rPr>
            <sz val="9"/>
            <rFont val="宋体"/>
            <family val="3"/>
            <charset val="134"/>
          </rPr>
          <t xml:space="preserve">王博：为全线7个标段总的投保金额，合同约定总保险费，未分配各自所占比例。
</t>
        </r>
      </text>
    </comment>
    <comment ref="R319" authorId="0">
      <text>
        <r>
          <rPr>
            <sz val="9"/>
            <rFont val="宋体"/>
            <family val="3"/>
            <charset val="134"/>
          </rPr>
          <t>王博：合同约定扣除5000的免赔偿金额。</t>
        </r>
      </text>
    </comment>
    <comment ref="F323" authorId="0">
      <text>
        <r>
          <rPr>
            <b/>
            <sz val="9"/>
            <rFont val="宋体"/>
            <family val="3"/>
            <charset val="134"/>
          </rPr>
          <t>作者:</t>
        </r>
        <r>
          <rPr>
            <sz val="9"/>
            <rFont val="宋体"/>
            <family val="3"/>
            <charset val="134"/>
          </rPr>
          <t xml:space="preserve">
地铁公司统一全线投保</t>
        </r>
      </text>
    </comment>
    <comment ref="H349" authorId="0">
      <text>
        <r>
          <rPr>
            <b/>
            <sz val="9"/>
            <color indexed="81"/>
            <rFont val="宋体"/>
            <family val="3"/>
            <charset val="134"/>
          </rPr>
          <t>作者:</t>
        </r>
        <r>
          <rPr>
            <sz val="9"/>
            <color indexed="81"/>
            <rFont val="宋体"/>
            <family val="3"/>
            <charset val="134"/>
          </rPr>
          <t xml:space="preserve">
第三者责任为业主购买</t>
        </r>
      </text>
    </comment>
    <comment ref="F364" authorId="0">
      <text>
        <r>
          <rPr>
            <sz val="9"/>
            <color indexed="81"/>
            <rFont val="宋体"/>
            <family val="3"/>
            <charset val="134"/>
          </rPr>
          <t>由8家公司共保，中华联合财产保险占的比重最大</t>
        </r>
      </text>
    </comment>
    <comment ref="G364" authorId="0">
      <text>
        <r>
          <rPr>
            <sz val="9"/>
            <color indexed="81"/>
            <rFont val="宋体"/>
            <family val="3"/>
            <charset val="134"/>
          </rPr>
          <t>太平洋保险</t>
        </r>
      </text>
    </comment>
    <comment ref="H364" authorId="0">
      <text>
        <r>
          <rPr>
            <sz val="9"/>
            <color indexed="81"/>
            <rFont val="宋体"/>
            <family val="3"/>
            <charset val="134"/>
          </rPr>
          <t>中华联保</t>
        </r>
      </text>
    </comment>
    <comment ref="G378" authorId="0">
      <text>
        <r>
          <rPr>
            <b/>
            <sz val="9"/>
            <color indexed="81"/>
            <rFont val="宋体"/>
            <family val="3"/>
            <charset val="134"/>
          </rPr>
          <t>作者:</t>
        </r>
        <r>
          <rPr>
            <sz val="9"/>
            <color indexed="81"/>
            <rFont val="宋体"/>
            <family val="3"/>
            <charset val="134"/>
          </rPr>
          <t xml:space="preserve">
业主代办，包括一切险和第三方责任险</t>
        </r>
      </text>
    </comment>
    <comment ref="F401" authorId="0">
      <text>
        <r>
          <rPr>
            <sz val="9"/>
            <color indexed="81"/>
            <rFont val="宋体"/>
            <family val="3"/>
            <charset val="134"/>
          </rPr>
          <t>由8家公司共保，中华联合财产保险占的比重最大</t>
        </r>
      </text>
    </comment>
    <comment ref="G401" authorId="0">
      <text>
        <r>
          <rPr>
            <sz val="9"/>
            <color indexed="81"/>
            <rFont val="宋体"/>
            <family val="3"/>
            <charset val="134"/>
          </rPr>
          <t xml:space="preserve">中国平安财产保险股份有限公司湖南分公司
</t>
        </r>
      </text>
    </comment>
    <comment ref="H401" authorId="0">
      <text>
        <r>
          <rPr>
            <sz val="9"/>
            <color indexed="81"/>
            <rFont val="宋体"/>
            <family val="3"/>
            <charset val="134"/>
          </rPr>
          <t xml:space="preserve">中华联保
</t>
        </r>
      </text>
    </comment>
    <comment ref="H415" authorId="0">
      <text>
        <r>
          <rPr>
            <sz val="9"/>
            <rFont val="宋体"/>
            <family val="3"/>
            <charset val="134"/>
          </rPr>
          <t>作者:
包含于一切险中</t>
        </r>
      </text>
    </comment>
    <comment ref="O455" authorId="0">
      <text>
        <r>
          <rPr>
            <sz val="9"/>
            <rFont val="宋体"/>
            <family val="3"/>
            <charset val="134"/>
          </rPr>
          <t xml:space="preserve">作者:
河南省商水县巴村镇西崔庄村一组
</t>
        </r>
      </text>
    </comment>
    <comment ref="G498" authorId="0">
      <text>
        <r>
          <rPr>
            <sz val="9"/>
            <rFont val="宋体"/>
            <family val="3"/>
            <charset val="134"/>
          </rPr>
          <t>作者:
含第三者险</t>
        </r>
      </text>
    </comment>
    <comment ref="T500" authorId="0">
      <text>
        <r>
          <rPr>
            <sz val="9"/>
            <rFont val="宋体"/>
            <family val="3"/>
            <charset val="134"/>
          </rPr>
          <t>王波华:预计赔偿金额，因保险公司赔偿额度少，故未达成最终赔偿协议。</t>
        </r>
      </text>
    </comment>
    <comment ref="T501" authorId="0">
      <text>
        <r>
          <rPr>
            <sz val="9"/>
            <rFont val="宋体"/>
            <family val="3"/>
            <charset val="134"/>
          </rPr>
          <t>作者:
预计赔偿金额，因保险公司赔偿额度少，故未达成最终赔偿协议。</t>
        </r>
      </text>
    </comment>
    <comment ref="G520" authorId="0">
      <text>
        <r>
          <rPr>
            <sz val="9"/>
            <rFont val="宋体"/>
            <family val="3"/>
            <charset val="134"/>
          </rPr>
          <t xml:space="preserve">含第三者责任险
</t>
        </r>
      </text>
    </comment>
    <comment ref="E526" authorId="0">
      <text>
        <r>
          <rPr>
            <b/>
            <sz val="9"/>
            <color indexed="81"/>
            <rFont val="宋体"/>
            <family val="3"/>
            <charset val="134"/>
          </rPr>
          <t>作者:</t>
        </r>
        <r>
          <rPr>
            <sz val="9"/>
            <color indexed="81"/>
            <rFont val="宋体"/>
            <family val="3"/>
            <charset val="134"/>
          </rPr>
          <t xml:space="preserve">
业主已确定工期延后，但正式文件尚未下发，预计延期至</t>
        </r>
        <r>
          <rPr>
            <sz val="9"/>
            <color indexed="81"/>
            <rFont val="Tahoma"/>
            <family val="2"/>
          </rPr>
          <t>9</t>
        </r>
        <r>
          <rPr>
            <sz val="9"/>
            <color indexed="81"/>
            <rFont val="宋体"/>
            <family val="3"/>
            <charset val="134"/>
          </rPr>
          <t>月</t>
        </r>
        <r>
          <rPr>
            <sz val="9"/>
            <color indexed="81"/>
            <rFont val="Tahoma"/>
            <family val="2"/>
          </rPr>
          <t>30</t>
        </r>
        <r>
          <rPr>
            <sz val="9"/>
            <color indexed="81"/>
            <rFont val="宋体"/>
            <family val="3"/>
            <charset val="134"/>
          </rPr>
          <t>号</t>
        </r>
      </text>
    </comment>
    <comment ref="D527" authorId="0">
      <text>
        <r>
          <rPr>
            <sz val="9"/>
            <color indexed="81"/>
            <rFont val="宋体"/>
            <family val="3"/>
            <charset val="134"/>
          </rPr>
          <t xml:space="preserve">含暂定金、暂列金额4515.48万元
</t>
        </r>
      </text>
    </comment>
    <comment ref="E527" authorId="0">
      <text>
        <r>
          <rPr>
            <sz val="9"/>
            <color indexed="81"/>
            <rFont val="宋体"/>
            <family val="3"/>
            <charset val="134"/>
          </rPr>
          <t>开工令时间为2014年05月30日，合同工期12个月。
工期延长至2015.8.30</t>
        </r>
      </text>
    </comment>
    <comment ref="S540" authorId="0">
      <text>
        <r>
          <rPr>
            <sz val="9"/>
            <rFont val="宋体"/>
            <family val="3"/>
            <charset val="134"/>
          </rPr>
          <t>保险公司审核后没达到赔付条件，不给予赔付</t>
        </r>
      </text>
    </comment>
    <comment ref="D541" authorId="0">
      <text>
        <r>
          <rPr>
            <sz val="9"/>
            <rFont val="宋体"/>
            <family val="3"/>
            <charset val="134"/>
          </rPr>
          <t>作者:
不含暂定金28630497元</t>
        </r>
      </text>
    </comment>
    <comment ref="S571" authorId="0">
      <text>
        <r>
          <rPr>
            <b/>
            <sz val="9"/>
            <color indexed="81"/>
            <rFont val="宋体"/>
            <family val="3"/>
            <charset val="134"/>
          </rPr>
          <t>作者:</t>
        </r>
        <r>
          <rPr>
            <sz val="9"/>
            <color indexed="81"/>
            <rFont val="宋体"/>
            <family val="3"/>
            <charset val="134"/>
          </rPr>
          <t xml:space="preserve">
还未赔付，已申请上报</t>
        </r>
      </text>
    </comment>
    <comment ref="Q572" authorId="0">
      <text>
        <r>
          <rPr>
            <b/>
            <sz val="9"/>
            <rFont val="宋体"/>
            <family val="3"/>
            <charset val="134"/>
          </rPr>
          <t>作者:</t>
        </r>
        <r>
          <rPr>
            <sz val="9"/>
            <rFont val="宋体"/>
            <family val="3"/>
            <charset val="134"/>
          </rPr>
          <t xml:space="preserve">
料棚搭建时有质量保证条款，乙方无条件重新搭建。</t>
        </r>
      </text>
    </comment>
    <comment ref="G595" authorId="0">
      <text>
        <r>
          <rPr>
            <b/>
            <sz val="9"/>
            <color indexed="81"/>
            <rFont val="宋体"/>
            <family val="3"/>
            <charset val="134"/>
          </rPr>
          <t>局指统一购买后劈分金额</t>
        </r>
        <r>
          <rPr>
            <sz val="9"/>
            <color indexed="81"/>
            <rFont val="Tahoma"/>
            <family val="2"/>
          </rPr>
          <t xml:space="preserve">
</t>
        </r>
        <r>
          <rPr>
            <sz val="9"/>
            <color indexed="81"/>
            <rFont val="宋体"/>
            <family val="3"/>
            <charset val="134"/>
          </rPr>
          <t>（LYS-12标总计购买保险费1238.2188万元，含第三方责任险）</t>
        </r>
      </text>
    </comment>
    <comment ref="J595" authorId="0">
      <text>
        <r>
          <rPr>
            <sz val="9"/>
            <color indexed="81"/>
            <rFont val="宋体"/>
            <family val="3"/>
            <charset val="134"/>
          </rPr>
          <t>局指统一购买后劈分金额
（LYS-12标总计购买保险费296.974262万元）</t>
        </r>
        <r>
          <rPr>
            <sz val="9"/>
            <color indexed="81"/>
            <rFont val="Tahoma"/>
            <family val="2"/>
          </rPr>
          <t xml:space="preserve">
</t>
        </r>
      </text>
    </comment>
    <comment ref="G618" authorId="0">
      <text>
        <r>
          <rPr>
            <b/>
            <sz val="9"/>
            <color indexed="81"/>
            <rFont val="宋体"/>
            <family val="3"/>
            <charset val="134"/>
          </rPr>
          <t>作者:
局指统一购买后劈分金额</t>
        </r>
        <r>
          <rPr>
            <sz val="9"/>
            <color indexed="81"/>
            <rFont val="宋体"/>
            <family val="3"/>
            <charset val="134"/>
          </rPr>
          <t xml:space="preserve">
（</t>
        </r>
        <r>
          <rPr>
            <sz val="9"/>
            <color indexed="81"/>
            <rFont val="Tahoma"/>
            <family val="2"/>
          </rPr>
          <t>TJ-4</t>
        </r>
        <r>
          <rPr>
            <sz val="9"/>
            <color indexed="81"/>
            <rFont val="宋体"/>
            <family val="3"/>
            <charset val="134"/>
          </rPr>
          <t>标总计购买保险费</t>
        </r>
        <r>
          <rPr>
            <sz val="9"/>
            <color indexed="81"/>
            <rFont val="Tahoma"/>
            <family val="2"/>
          </rPr>
          <t>929.3712</t>
        </r>
        <r>
          <rPr>
            <sz val="9"/>
            <color indexed="81"/>
            <rFont val="宋体"/>
            <family val="3"/>
            <charset val="134"/>
          </rPr>
          <t>万元，含第三方责任险）</t>
        </r>
      </text>
    </comment>
    <comment ref="G620" authorId="0">
      <text>
        <r>
          <rPr>
            <b/>
            <sz val="9"/>
            <color indexed="81"/>
            <rFont val="宋体"/>
            <family val="3"/>
            <charset val="134"/>
          </rPr>
          <t>作者:</t>
        </r>
        <r>
          <rPr>
            <sz val="9"/>
            <color indexed="81"/>
            <rFont val="宋体"/>
            <family val="3"/>
            <charset val="134"/>
          </rPr>
          <t xml:space="preserve">
各分部及总部总保费，暂未分劈。</t>
        </r>
      </text>
    </comment>
    <comment ref="H620" authorId="0">
      <text>
        <r>
          <rPr>
            <b/>
            <sz val="9"/>
            <color indexed="81"/>
            <rFont val="宋体"/>
            <family val="3"/>
            <charset val="134"/>
          </rPr>
          <t>作者:</t>
        </r>
        <r>
          <rPr>
            <sz val="9"/>
            <color indexed="81"/>
            <rFont val="宋体"/>
            <family val="3"/>
            <charset val="134"/>
          </rPr>
          <t xml:space="preserve">
各分部及总部总保费，暂未分劈。</t>
        </r>
      </text>
    </comment>
    <comment ref="J620" authorId="0">
      <text>
        <r>
          <rPr>
            <b/>
            <sz val="9"/>
            <color indexed="81"/>
            <rFont val="宋体"/>
            <family val="3"/>
            <charset val="134"/>
          </rPr>
          <t>作者:</t>
        </r>
        <r>
          <rPr>
            <sz val="9"/>
            <color indexed="81"/>
            <rFont val="宋体"/>
            <family val="3"/>
            <charset val="134"/>
          </rPr>
          <t xml:space="preserve">
各分部及总部总保费，暂未分劈。</t>
        </r>
      </text>
    </comment>
    <comment ref="M620" authorId="0">
      <text>
        <r>
          <rPr>
            <b/>
            <sz val="9"/>
            <color indexed="81"/>
            <rFont val="宋体"/>
            <family val="3"/>
            <charset val="134"/>
          </rPr>
          <t>作者:</t>
        </r>
        <r>
          <rPr>
            <sz val="9"/>
            <color indexed="81"/>
            <rFont val="宋体"/>
            <family val="3"/>
            <charset val="134"/>
          </rPr>
          <t xml:space="preserve">
各分部及总部总保费，暂未分劈。</t>
        </r>
      </text>
    </comment>
    <comment ref="S621" authorId="0">
      <text>
        <r>
          <rPr>
            <b/>
            <sz val="9"/>
            <color indexed="81"/>
            <rFont val="宋体"/>
            <family val="3"/>
            <charset val="134"/>
          </rPr>
          <t>作者:</t>
        </r>
        <r>
          <rPr>
            <sz val="9"/>
            <color indexed="81"/>
            <rFont val="宋体"/>
            <family val="3"/>
            <charset val="134"/>
          </rPr>
          <t xml:space="preserve">
钱直接打入总部账户，暂未公布。金额数据从保险公司得知。</t>
        </r>
      </text>
    </comment>
    <comment ref="T621" authorId="0">
      <text>
        <r>
          <rPr>
            <b/>
            <sz val="9"/>
            <color indexed="81"/>
            <rFont val="宋体"/>
            <family val="3"/>
            <charset val="134"/>
          </rPr>
          <t>作者:</t>
        </r>
        <r>
          <rPr>
            <sz val="9"/>
            <color indexed="81"/>
            <rFont val="宋体"/>
            <family val="3"/>
            <charset val="134"/>
          </rPr>
          <t xml:space="preserve">
进行评残，需重新开案。</t>
        </r>
      </text>
    </comment>
    <comment ref="G639" authorId="0">
      <text>
        <r>
          <rPr>
            <sz val="9"/>
            <color indexed="81"/>
            <rFont val="宋体"/>
            <family val="3"/>
            <charset val="134"/>
          </rPr>
          <t>各分部及总部总保费，暂未分劈。</t>
        </r>
      </text>
    </comment>
    <comment ref="J639" authorId="0">
      <text>
        <r>
          <rPr>
            <sz val="9"/>
            <color indexed="81"/>
            <rFont val="宋体"/>
            <family val="3"/>
            <charset val="134"/>
          </rPr>
          <t>各分部及总部总保费，暂未分劈。</t>
        </r>
      </text>
    </comment>
    <comment ref="G661" authorId="0">
      <text>
        <r>
          <rPr>
            <b/>
            <sz val="9"/>
            <color indexed="81"/>
            <rFont val="宋体"/>
            <family val="3"/>
            <charset val="134"/>
          </rPr>
          <t>作者:</t>
        </r>
        <r>
          <rPr>
            <sz val="9"/>
            <color indexed="81"/>
            <rFont val="宋体"/>
            <family val="3"/>
            <charset val="134"/>
          </rPr>
          <t xml:space="preserve">
各分部及总部总保费，暂未分劈。</t>
        </r>
      </text>
    </comment>
    <comment ref="H661" authorId="0">
      <text>
        <r>
          <rPr>
            <b/>
            <sz val="9"/>
            <color indexed="81"/>
            <rFont val="宋体"/>
            <family val="3"/>
            <charset val="134"/>
          </rPr>
          <t>作者:</t>
        </r>
        <r>
          <rPr>
            <sz val="9"/>
            <color indexed="81"/>
            <rFont val="宋体"/>
            <family val="3"/>
            <charset val="134"/>
          </rPr>
          <t xml:space="preserve">
各分部及总部总保费，暂未分劈。</t>
        </r>
      </text>
    </comment>
    <comment ref="G674" authorId="0">
      <text>
        <r>
          <rPr>
            <b/>
            <sz val="9"/>
            <color indexed="81"/>
            <rFont val="宋体"/>
            <family val="3"/>
            <charset val="134"/>
          </rPr>
          <t>各分部及总部总保费，暂未分劈。</t>
        </r>
      </text>
    </comment>
    <comment ref="J674" authorId="0">
      <text>
        <r>
          <rPr>
            <sz val="9"/>
            <color indexed="81"/>
            <rFont val="宋体"/>
            <family val="3"/>
            <charset val="134"/>
          </rPr>
          <t>各分部及总部总保费，暂未分劈。</t>
        </r>
        <r>
          <rPr>
            <sz val="9"/>
            <color indexed="81"/>
            <rFont val="Tahoma"/>
            <family val="2"/>
          </rPr>
          <t xml:space="preserve">
</t>
        </r>
      </text>
    </comment>
    <comment ref="D698" authorId="0">
      <text>
        <r>
          <rPr>
            <b/>
            <sz val="9"/>
            <color indexed="81"/>
            <rFont val="宋体"/>
            <family val="3"/>
            <charset val="134"/>
          </rPr>
          <t xml:space="preserve">减去冯家梁子隧道划分给1-2的部分
</t>
        </r>
      </text>
    </comment>
    <comment ref="M698" authorId="0">
      <text>
        <r>
          <rPr>
            <sz val="9"/>
            <color indexed="81"/>
            <rFont val="宋体"/>
            <family val="3"/>
            <charset val="134"/>
          </rPr>
          <t>总部统一投保</t>
        </r>
        <r>
          <rPr>
            <sz val="9"/>
            <color indexed="81"/>
            <rFont val="Tahoma"/>
            <family val="2"/>
          </rPr>
          <t xml:space="preserve"> </t>
        </r>
        <r>
          <rPr>
            <sz val="9"/>
            <color indexed="81"/>
            <rFont val="Tahoma"/>
            <family val="2"/>
          </rPr>
          <t xml:space="preserve">
</t>
        </r>
      </text>
    </comment>
    <comment ref="M714" authorId="0">
      <text>
        <r>
          <rPr>
            <sz val="9"/>
            <color indexed="81"/>
            <rFont val="宋体"/>
            <family val="3"/>
            <charset val="134"/>
          </rPr>
          <t xml:space="preserve">总部统一投保
</t>
        </r>
        <r>
          <rPr>
            <sz val="9"/>
            <color indexed="81"/>
            <rFont val="Tahoma"/>
            <family val="2"/>
          </rPr>
          <t xml:space="preserve">
</t>
        </r>
      </text>
    </comment>
    <comment ref="Q720" authorId="0">
      <text>
        <r>
          <rPr>
            <b/>
            <sz val="9"/>
            <color indexed="81"/>
            <rFont val="宋体"/>
            <family val="3"/>
            <charset val="134"/>
          </rPr>
          <t xml:space="preserve">相关资料正在收集中
</t>
        </r>
        <r>
          <rPr>
            <sz val="9"/>
            <color indexed="81"/>
            <rFont val="Tahoma"/>
            <family val="2"/>
          </rPr>
          <t xml:space="preserve">
</t>
        </r>
      </text>
    </comment>
    <comment ref="Q721" authorId="0">
      <text>
        <r>
          <rPr>
            <b/>
            <sz val="9"/>
            <color indexed="81"/>
            <rFont val="宋体"/>
            <family val="3"/>
            <charset val="134"/>
          </rPr>
          <t xml:space="preserve">相关资料正在收集中
</t>
        </r>
        <r>
          <rPr>
            <sz val="9"/>
            <color indexed="81"/>
            <rFont val="Tahoma"/>
            <family val="2"/>
          </rPr>
          <t xml:space="preserve">
</t>
        </r>
      </text>
    </comment>
    <comment ref="Q722" authorId="0">
      <text>
        <r>
          <rPr>
            <b/>
            <sz val="9"/>
            <color indexed="81"/>
            <rFont val="宋体"/>
            <family val="3"/>
            <charset val="134"/>
          </rPr>
          <t xml:space="preserve">相关资料正在收集中
</t>
        </r>
      </text>
    </comment>
    <comment ref="Q723" authorId="0">
      <text>
        <r>
          <rPr>
            <sz val="9"/>
            <color indexed="81"/>
            <rFont val="宋体"/>
            <family val="3"/>
            <charset val="134"/>
          </rPr>
          <t xml:space="preserve">相关资料正在收集中
</t>
        </r>
        <r>
          <rPr>
            <sz val="9"/>
            <color indexed="81"/>
            <rFont val="Tahoma"/>
            <family val="2"/>
          </rPr>
          <t xml:space="preserve">
</t>
        </r>
      </text>
    </comment>
    <comment ref="Q724" authorId="0">
      <text>
        <r>
          <rPr>
            <b/>
            <sz val="9"/>
            <color indexed="81"/>
            <rFont val="宋体"/>
            <family val="3"/>
            <charset val="134"/>
          </rPr>
          <t>相关资料正在收集中</t>
        </r>
        <r>
          <rPr>
            <sz val="9"/>
            <color indexed="81"/>
            <rFont val="Tahoma"/>
            <family val="2"/>
          </rPr>
          <t xml:space="preserve">
</t>
        </r>
      </text>
    </comment>
    <comment ref="Q726" authorId="0">
      <text>
        <r>
          <rPr>
            <b/>
            <sz val="9"/>
            <color indexed="81"/>
            <rFont val="宋体"/>
            <family val="3"/>
            <charset val="134"/>
          </rPr>
          <t xml:space="preserve">相关资料正在收集中
</t>
        </r>
        <r>
          <rPr>
            <sz val="9"/>
            <color indexed="81"/>
            <rFont val="Tahoma"/>
            <family val="2"/>
          </rPr>
          <t xml:space="preserve">
</t>
        </r>
      </text>
    </comment>
    <comment ref="Q736" authorId="0">
      <text>
        <r>
          <rPr>
            <sz val="9"/>
            <color indexed="81"/>
            <rFont val="宋体"/>
            <family val="3"/>
            <charset val="134"/>
          </rPr>
          <t>队伍自付</t>
        </r>
      </text>
    </comment>
    <comment ref="D750" authorId="0">
      <text>
        <r>
          <rPr>
            <b/>
            <sz val="9"/>
            <color indexed="81"/>
            <rFont val="宋体"/>
            <family val="3"/>
            <charset val="134"/>
          </rPr>
          <t>作者:</t>
        </r>
        <r>
          <rPr>
            <sz val="9"/>
            <color indexed="81"/>
            <rFont val="宋体"/>
            <family val="3"/>
            <charset val="134"/>
          </rPr>
          <t xml:space="preserve">
新合同额</t>
        </r>
      </text>
    </comment>
    <comment ref="G750" authorId="0">
      <text>
        <r>
          <rPr>
            <sz val="9"/>
            <color indexed="81"/>
            <rFont val="宋体"/>
            <family val="3"/>
            <charset val="134"/>
          </rPr>
          <t xml:space="preserve">整个标段统一投保工程险和第三者责任险
</t>
        </r>
        <r>
          <rPr>
            <sz val="9"/>
            <color indexed="81"/>
            <rFont val="Tahoma"/>
            <family val="2"/>
          </rPr>
          <t xml:space="preserve">
</t>
        </r>
      </text>
    </comment>
    <comment ref="J772" authorId="0">
      <text>
        <r>
          <rPr>
            <b/>
            <sz val="9"/>
            <color indexed="81"/>
            <rFont val="宋体"/>
            <family val="3"/>
            <charset val="134"/>
          </rPr>
          <t>崔蕾:</t>
        </r>
        <r>
          <rPr>
            <sz val="9"/>
            <color indexed="81"/>
            <rFont val="宋体"/>
            <family val="3"/>
            <charset val="134"/>
          </rPr>
          <t xml:space="preserve">
原合同于2014年12月31日二十四时止，其中5.2万为续签合同额。</t>
        </r>
      </text>
    </comment>
    <comment ref="G774" authorId="0">
      <text>
        <r>
          <rPr>
            <sz val="9"/>
            <color indexed="81"/>
            <rFont val="宋体"/>
            <family val="3"/>
            <charset val="134"/>
          </rPr>
          <t xml:space="preserve">包含第三者责任险
</t>
        </r>
      </text>
    </comment>
    <comment ref="J843" authorId="0">
      <text>
        <r>
          <rPr>
            <sz val="9"/>
            <color indexed="81"/>
            <rFont val="宋体"/>
            <family val="3"/>
            <charset val="134"/>
          </rPr>
          <t>总部代买</t>
        </r>
      </text>
    </comment>
    <comment ref="T845" authorId="0">
      <text>
        <r>
          <rPr>
            <sz val="8"/>
            <color indexed="81"/>
            <rFont val="宋体"/>
            <family val="3"/>
            <charset val="134"/>
          </rPr>
          <t>已谈210万，因第三方责任险未谈妥,一切险暂赔付50万</t>
        </r>
      </text>
    </comment>
    <comment ref="G847" authorId="0">
      <text>
        <r>
          <rPr>
            <b/>
            <sz val="9"/>
            <color indexed="81"/>
            <rFont val="宋体"/>
            <family val="3"/>
            <charset val="134"/>
          </rPr>
          <t>作者:</t>
        </r>
        <r>
          <rPr>
            <sz val="9"/>
            <color indexed="81"/>
            <rFont val="宋体"/>
            <family val="3"/>
            <charset val="134"/>
          </rPr>
          <t xml:space="preserve">
含第三份责任险</t>
        </r>
      </text>
    </comment>
  </commentList>
</comments>
</file>

<file path=xl/comments2.xml><?xml version="1.0" encoding="utf-8"?>
<comments xmlns="http://schemas.openxmlformats.org/spreadsheetml/2006/main">
  <authors>
    <author>作者</author>
  </authors>
  <commentList>
    <comment ref="M10" authorId="0">
      <text>
        <r>
          <rPr>
            <sz val="9"/>
            <color indexed="81"/>
            <rFont val="宋体"/>
            <family val="3"/>
            <charset val="134"/>
          </rPr>
          <t>建筑工程一切险及第三者责任保险费用由总承包部统一购买</t>
        </r>
      </text>
    </comment>
    <comment ref="G73" authorId="0">
      <text>
        <r>
          <rPr>
            <b/>
            <sz val="9"/>
            <color indexed="81"/>
            <rFont val="宋体"/>
            <family val="3"/>
            <charset val="134"/>
          </rPr>
          <t>作者:</t>
        </r>
        <r>
          <rPr>
            <sz val="9"/>
            <color indexed="81"/>
            <rFont val="宋体"/>
            <family val="3"/>
            <charset val="134"/>
          </rPr>
          <t xml:space="preserve">
总部统一投保，全线合计额度。含第三者责任险。</t>
        </r>
      </text>
    </comment>
    <comment ref="J73" authorId="0">
      <text>
        <r>
          <rPr>
            <b/>
            <sz val="9"/>
            <color indexed="81"/>
            <rFont val="宋体"/>
            <family val="3"/>
            <charset val="134"/>
          </rPr>
          <t>作者:</t>
        </r>
        <r>
          <rPr>
            <sz val="9"/>
            <color indexed="81"/>
            <rFont val="宋体"/>
            <family val="3"/>
            <charset val="134"/>
          </rPr>
          <t xml:space="preserve">
总部统一投保，全线合计额度。</t>
        </r>
      </text>
    </comment>
    <comment ref="G96" authorId="0">
      <text>
        <r>
          <rPr>
            <b/>
            <sz val="9"/>
            <color indexed="81"/>
            <rFont val="宋体"/>
            <family val="3"/>
            <charset val="134"/>
          </rPr>
          <t>作者:</t>
        </r>
        <r>
          <rPr>
            <sz val="9"/>
            <color indexed="81"/>
            <rFont val="宋体"/>
            <family val="3"/>
            <charset val="134"/>
          </rPr>
          <t xml:space="preserve">
局指签合同，分部未分劈</t>
        </r>
      </text>
    </comment>
    <comment ref="H96" authorId="0">
      <text>
        <r>
          <rPr>
            <b/>
            <sz val="9"/>
            <color indexed="81"/>
            <rFont val="宋体"/>
            <family val="3"/>
            <charset val="134"/>
          </rPr>
          <t>作者:</t>
        </r>
        <r>
          <rPr>
            <sz val="9"/>
            <color indexed="81"/>
            <rFont val="宋体"/>
            <family val="3"/>
            <charset val="134"/>
          </rPr>
          <t xml:space="preserve">
局指签合同</t>
        </r>
      </text>
    </comment>
    <comment ref="J96" authorId="0">
      <text>
        <r>
          <rPr>
            <b/>
            <sz val="9"/>
            <color indexed="81"/>
            <rFont val="宋体"/>
            <family val="3"/>
            <charset val="134"/>
          </rPr>
          <t>作者:</t>
        </r>
        <r>
          <rPr>
            <sz val="9"/>
            <color indexed="81"/>
            <rFont val="宋体"/>
            <family val="3"/>
            <charset val="134"/>
          </rPr>
          <t xml:space="preserve">
局指签合同</t>
        </r>
      </text>
    </comment>
    <comment ref="G120" authorId="0">
      <text>
        <r>
          <rPr>
            <b/>
            <sz val="9"/>
            <color indexed="81"/>
            <rFont val="宋体"/>
            <family val="3"/>
            <charset val="134"/>
          </rPr>
          <t>作者:</t>
        </r>
        <r>
          <rPr>
            <sz val="9"/>
            <color indexed="81"/>
            <rFont val="宋体"/>
            <family val="3"/>
            <charset val="134"/>
          </rPr>
          <t xml:space="preserve">
总部统一投保金额，未划分至各分部</t>
        </r>
      </text>
    </comment>
    <comment ref="J120" authorId="0">
      <text>
        <r>
          <rPr>
            <b/>
            <sz val="9"/>
            <color indexed="81"/>
            <rFont val="宋体"/>
            <family val="3"/>
            <charset val="134"/>
          </rPr>
          <t>作者:</t>
        </r>
        <r>
          <rPr>
            <sz val="9"/>
            <color indexed="81"/>
            <rFont val="宋体"/>
            <family val="3"/>
            <charset val="134"/>
          </rPr>
          <t xml:space="preserve">
总部统一投保金额，未划分至各分部</t>
        </r>
      </text>
    </comment>
    <comment ref="G142" authorId="0">
      <text>
        <r>
          <rPr>
            <b/>
            <sz val="9"/>
            <color indexed="81"/>
            <rFont val="宋体"/>
            <family val="3"/>
            <charset val="134"/>
          </rPr>
          <t>作者:</t>
        </r>
        <r>
          <rPr>
            <sz val="9"/>
            <color indexed="81"/>
            <rFont val="宋体"/>
            <family val="3"/>
            <charset val="134"/>
          </rPr>
          <t xml:space="preserve">
不分一切险和三者险，共计金额</t>
        </r>
      </text>
    </comment>
    <comment ref="G166" authorId="0">
      <text>
        <r>
          <rPr>
            <b/>
            <sz val="9"/>
            <color indexed="81"/>
            <rFont val="宋体"/>
            <family val="3"/>
            <charset val="134"/>
          </rPr>
          <t>作者:</t>
        </r>
        <r>
          <rPr>
            <sz val="9"/>
            <color indexed="81"/>
            <rFont val="宋体"/>
            <family val="3"/>
            <charset val="134"/>
          </rPr>
          <t xml:space="preserve">
不分一切险和三者险，共计金额</t>
        </r>
      </text>
    </comment>
    <comment ref="N178" authorId="0">
      <text>
        <r>
          <rPr>
            <b/>
            <sz val="9"/>
            <color indexed="81"/>
            <rFont val="宋体"/>
            <family val="3"/>
            <charset val="134"/>
          </rPr>
          <t>作者:</t>
        </r>
        <r>
          <rPr>
            <sz val="9"/>
            <color indexed="81"/>
            <rFont val="宋体"/>
            <family val="3"/>
            <charset val="134"/>
          </rPr>
          <t xml:space="preserve">
二分部</t>
        </r>
      </text>
    </comment>
    <comment ref="G179" authorId="0">
      <text>
        <r>
          <rPr>
            <b/>
            <sz val="9"/>
            <color indexed="81"/>
            <rFont val="宋体"/>
            <family val="3"/>
            <charset val="134"/>
          </rPr>
          <t>作者:</t>
        </r>
        <r>
          <rPr>
            <sz val="9"/>
            <color indexed="81"/>
            <rFont val="宋体"/>
            <family val="3"/>
            <charset val="134"/>
          </rPr>
          <t xml:space="preserve">
二航局上交 代扣我分部 含一切险 第三者责任及人身意外伤害
具体金额无法分开</t>
        </r>
      </text>
    </comment>
    <comment ref="Z179" authorId="0">
      <text>
        <r>
          <rPr>
            <b/>
            <sz val="9"/>
            <color indexed="81"/>
            <rFont val="宋体"/>
            <family val="3"/>
            <charset val="134"/>
          </rPr>
          <t>作者:</t>
        </r>
        <r>
          <rPr>
            <sz val="9"/>
            <color indexed="81"/>
            <rFont val="宋体"/>
            <family val="3"/>
            <charset val="134"/>
          </rPr>
          <t xml:space="preserve">
项目目前没有理赔</t>
        </r>
      </text>
    </comment>
    <comment ref="Z188" authorId="0">
      <text>
        <r>
          <rPr>
            <b/>
            <sz val="9"/>
            <color indexed="81"/>
            <rFont val="宋体"/>
            <family val="3"/>
            <charset val="134"/>
          </rPr>
          <t>作者:</t>
        </r>
        <r>
          <rPr>
            <sz val="9"/>
            <color indexed="81"/>
            <rFont val="宋体"/>
            <family val="3"/>
            <charset val="134"/>
          </rPr>
          <t xml:space="preserve">
保险公司赔付金额含免赔额</t>
        </r>
      </text>
    </comment>
    <comment ref="Z189" authorId="0">
      <text>
        <r>
          <rPr>
            <b/>
            <sz val="9"/>
            <color indexed="81"/>
            <rFont val="宋体"/>
            <family val="3"/>
            <charset val="134"/>
          </rPr>
          <t>作者:</t>
        </r>
        <r>
          <rPr>
            <sz val="9"/>
            <color indexed="81"/>
            <rFont val="宋体"/>
            <family val="3"/>
            <charset val="134"/>
          </rPr>
          <t xml:space="preserve">
保险公司赔付金额含免赔额</t>
        </r>
      </text>
    </comment>
    <comment ref="Z190" authorId="0">
      <text>
        <r>
          <rPr>
            <b/>
            <sz val="9"/>
            <color indexed="81"/>
            <rFont val="宋体"/>
            <family val="3"/>
            <charset val="134"/>
          </rPr>
          <t>作者:</t>
        </r>
        <r>
          <rPr>
            <sz val="9"/>
            <color indexed="81"/>
            <rFont val="宋体"/>
            <family val="3"/>
            <charset val="134"/>
          </rPr>
          <t xml:space="preserve">
保险公司赔付金额含免赔额</t>
        </r>
      </text>
    </comment>
    <comment ref="Z191" authorId="0">
      <text>
        <r>
          <rPr>
            <b/>
            <sz val="9"/>
            <color indexed="81"/>
            <rFont val="宋体"/>
            <family val="3"/>
            <charset val="134"/>
          </rPr>
          <t>作者:</t>
        </r>
        <r>
          <rPr>
            <sz val="9"/>
            <color indexed="81"/>
            <rFont val="宋体"/>
            <family val="3"/>
            <charset val="134"/>
          </rPr>
          <t xml:space="preserve">
保险公司赔付金额含免赔额</t>
        </r>
      </text>
    </comment>
    <comment ref="Z193" authorId="0">
      <text>
        <r>
          <rPr>
            <b/>
            <sz val="9"/>
            <color indexed="81"/>
            <rFont val="宋体"/>
            <family val="3"/>
            <charset val="134"/>
          </rPr>
          <t>作者:</t>
        </r>
        <r>
          <rPr>
            <sz val="9"/>
            <color indexed="81"/>
            <rFont val="宋体"/>
            <family val="3"/>
            <charset val="134"/>
          </rPr>
          <t xml:space="preserve">
项目目前没有理赔</t>
        </r>
      </text>
    </comment>
    <comment ref="H195" authorId="0">
      <text>
        <r>
          <rPr>
            <b/>
            <sz val="9"/>
            <color indexed="81"/>
            <rFont val="宋体"/>
            <family val="3"/>
            <charset val="134"/>
          </rPr>
          <t>作者:</t>
        </r>
        <r>
          <rPr>
            <sz val="9"/>
            <color indexed="81"/>
            <rFont val="宋体"/>
            <family val="3"/>
            <charset val="134"/>
          </rPr>
          <t xml:space="preserve">
因工程变更，合同尚未重新签订，故仅购买工程一切险</t>
        </r>
      </text>
    </comment>
    <comment ref="Z195" authorId="0">
      <text>
        <r>
          <rPr>
            <b/>
            <sz val="9"/>
            <color indexed="81"/>
            <rFont val="宋体"/>
            <family val="3"/>
            <charset val="134"/>
          </rPr>
          <t>作者:</t>
        </r>
        <r>
          <rPr>
            <sz val="9"/>
            <color indexed="81"/>
            <rFont val="宋体"/>
            <family val="3"/>
            <charset val="134"/>
          </rPr>
          <t xml:space="preserve">
项目目前没有理赔</t>
        </r>
      </text>
    </comment>
    <comment ref="C196" authorId="0">
      <text>
        <r>
          <rPr>
            <b/>
            <sz val="9"/>
            <color indexed="81"/>
            <rFont val="宋体"/>
            <family val="3"/>
            <charset val="134"/>
          </rPr>
          <t>作者:</t>
        </r>
        <r>
          <rPr>
            <sz val="9"/>
            <color indexed="81"/>
            <rFont val="宋体"/>
            <family val="3"/>
            <charset val="134"/>
          </rPr>
          <t xml:space="preserve">
驸马桥总部统一投保</t>
        </r>
        <r>
          <rPr>
            <sz val="9"/>
            <color indexed="81"/>
            <rFont val="Tahoma"/>
            <family val="2"/>
          </rPr>
          <t>2346.9</t>
        </r>
        <r>
          <rPr>
            <sz val="9"/>
            <color indexed="81"/>
            <rFont val="宋体"/>
            <family val="3"/>
            <charset val="134"/>
          </rPr>
          <t>万，每个分部不再分别投保。</t>
        </r>
      </text>
    </comment>
    <comment ref="Z196" authorId="0">
      <text>
        <r>
          <rPr>
            <b/>
            <sz val="9"/>
            <color indexed="81"/>
            <rFont val="宋体"/>
            <family val="3"/>
            <charset val="134"/>
          </rPr>
          <t>作者:</t>
        </r>
        <r>
          <rPr>
            <sz val="9"/>
            <color indexed="81"/>
            <rFont val="宋体"/>
            <family val="3"/>
            <charset val="134"/>
          </rPr>
          <t xml:space="preserve">
项目目前没有理赔</t>
        </r>
      </text>
    </comment>
    <comment ref="C199" authorId="0">
      <text>
        <r>
          <rPr>
            <b/>
            <sz val="9"/>
            <color indexed="81"/>
            <rFont val="宋体"/>
            <family val="3"/>
            <charset val="134"/>
          </rPr>
          <t>作者:</t>
        </r>
        <r>
          <rPr>
            <sz val="9"/>
            <color indexed="81"/>
            <rFont val="宋体"/>
            <family val="3"/>
            <charset val="134"/>
          </rPr>
          <t xml:space="preserve">
停工项目，没有买过保险</t>
        </r>
      </text>
    </comment>
    <comment ref="Z200" authorId="0">
      <text>
        <r>
          <rPr>
            <b/>
            <sz val="9"/>
            <color indexed="81"/>
            <rFont val="宋体"/>
            <family val="3"/>
            <charset val="134"/>
          </rPr>
          <t>作者:</t>
        </r>
        <r>
          <rPr>
            <sz val="9"/>
            <color indexed="81"/>
            <rFont val="宋体"/>
            <family val="3"/>
            <charset val="134"/>
          </rPr>
          <t xml:space="preserve">
项目目前没有理赔</t>
        </r>
      </text>
    </comment>
    <comment ref="Z201" authorId="0">
      <text>
        <r>
          <rPr>
            <b/>
            <sz val="9"/>
            <color indexed="81"/>
            <rFont val="宋体"/>
            <family val="3"/>
            <charset val="134"/>
          </rPr>
          <t>作者:</t>
        </r>
        <r>
          <rPr>
            <sz val="9"/>
            <color indexed="81"/>
            <rFont val="宋体"/>
            <family val="3"/>
            <charset val="134"/>
          </rPr>
          <t xml:space="preserve">
项目目前没有理赔</t>
        </r>
      </text>
    </comment>
    <comment ref="C202" authorId="0">
      <text>
        <r>
          <rPr>
            <b/>
            <sz val="9"/>
            <color indexed="81"/>
            <rFont val="Tahoma"/>
            <family val="2"/>
          </rPr>
          <t>yaoyj:</t>
        </r>
        <r>
          <rPr>
            <b/>
            <sz val="9"/>
            <color indexed="81"/>
            <rFont val="宋体"/>
            <family val="3"/>
            <charset val="134"/>
          </rPr>
          <t>保险正在办理中，办理完成后开始上报。</t>
        </r>
      </text>
    </comment>
    <comment ref="K203" authorId="0">
      <text>
        <r>
          <rPr>
            <b/>
            <sz val="9"/>
            <color indexed="81"/>
            <rFont val="宋体"/>
            <family val="3"/>
            <charset val="134"/>
          </rPr>
          <t>作者:</t>
        </r>
        <r>
          <rPr>
            <sz val="9"/>
            <color indexed="81"/>
            <rFont val="宋体"/>
            <family val="3"/>
            <charset val="134"/>
          </rPr>
          <t xml:space="preserve">
建设工程施工人员团体意外伤害保险</t>
        </r>
        <r>
          <rPr>
            <sz val="9"/>
            <color indexed="81"/>
            <rFont val="Tahoma"/>
            <family val="2"/>
          </rPr>
          <t xml:space="preserve">.
</t>
        </r>
        <r>
          <rPr>
            <sz val="9"/>
            <color indexed="81"/>
            <rFont val="宋体"/>
            <family val="3"/>
            <charset val="134"/>
          </rPr>
          <t>险种：雇主责任险</t>
        </r>
      </text>
    </comment>
    <comment ref="Z203" authorId="0">
      <text>
        <r>
          <rPr>
            <b/>
            <sz val="9"/>
            <color indexed="81"/>
            <rFont val="宋体"/>
            <family val="3"/>
            <charset val="134"/>
          </rPr>
          <t>作者:</t>
        </r>
        <r>
          <rPr>
            <sz val="9"/>
            <color indexed="81"/>
            <rFont val="宋体"/>
            <family val="3"/>
            <charset val="134"/>
          </rPr>
          <t xml:space="preserve">
项目目前没有理赔</t>
        </r>
      </text>
    </comment>
    <comment ref="C204" authorId="0">
      <text>
        <r>
          <rPr>
            <b/>
            <sz val="9"/>
            <color indexed="81"/>
            <rFont val="Tahoma"/>
            <family val="2"/>
          </rPr>
          <t>yyj</t>
        </r>
        <r>
          <rPr>
            <b/>
            <sz val="9"/>
            <color indexed="81"/>
            <rFont val="宋体"/>
            <family val="3"/>
            <charset val="134"/>
          </rPr>
          <t>：资金不到位，暂未投保</t>
        </r>
      </text>
    </comment>
    <comment ref="G205" authorId="0">
      <text>
        <r>
          <rPr>
            <b/>
            <sz val="9"/>
            <color indexed="81"/>
            <rFont val="宋体"/>
            <family val="3"/>
            <charset val="134"/>
          </rPr>
          <t>姚羽珈：
项目买，业主出钱</t>
        </r>
      </text>
    </comment>
    <comment ref="C206" authorId="0">
      <text>
        <r>
          <rPr>
            <b/>
            <sz val="9"/>
            <color indexed="81"/>
            <rFont val="Tahoma"/>
            <family val="2"/>
          </rPr>
          <t xml:space="preserve">yyj:
</t>
        </r>
        <r>
          <rPr>
            <b/>
            <sz val="9"/>
            <color indexed="81"/>
            <rFont val="宋体"/>
            <family val="3"/>
            <charset val="134"/>
          </rPr>
          <t>新开项目暂未投保</t>
        </r>
      </text>
    </comment>
    <comment ref="U214" authorId="0">
      <text>
        <r>
          <rPr>
            <b/>
            <sz val="9"/>
            <color indexed="81"/>
            <rFont val="宋体"/>
            <family val="3"/>
            <charset val="134"/>
          </rPr>
          <t>作者:</t>
        </r>
        <r>
          <rPr>
            <sz val="9"/>
            <color indexed="81"/>
            <rFont val="宋体"/>
            <family val="3"/>
            <charset val="134"/>
          </rPr>
          <t xml:space="preserve">
意外伤害限额</t>
        </r>
        <r>
          <rPr>
            <sz val="9"/>
            <color indexed="81"/>
            <rFont val="Tahoma"/>
            <family val="2"/>
          </rPr>
          <t>4</t>
        </r>
        <r>
          <rPr>
            <sz val="9"/>
            <color indexed="81"/>
            <rFont val="宋体"/>
            <family val="3"/>
            <charset val="134"/>
          </rPr>
          <t>万</t>
        </r>
      </text>
    </comment>
    <comment ref="U215" authorId="0">
      <text>
        <r>
          <rPr>
            <b/>
            <sz val="9"/>
            <color indexed="81"/>
            <rFont val="宋体"/>
            <family val="3"/>
            <charset val="134"/>
          </rPr>
          <t>作者:</t>
        </r>
        <r>
          <rPr>
            <sz val="9"/>
            <color indexed="81"/>
            <rFont val="宋体"/>
            <family val="3"/>
            <charset val="134"/>
          </rPr>
          <t xml:space="preserve">
根据发票金额套用湖南省药价的</t>
        </r>
        <r>
          <rPr>
            <sz val="9"/>
            <color indexed="81"/>
            <rFont val="Tahoma"/>
            <family val="2"/>
          </rPr>
          <t>80%-100</t>
        </r>
        <r>
          <rPr>
            <sz val="9"/>
            <color indexed="81"/>
            <rFont val="宋体"/>
            <family val="3"/>
            <charset val="134"/>
          </rPr>
          <t>元免赔</t>
        </r>
      </text>
    </comment>
    <comment ref="U225" authorId="0">
      <text>
        <r>
          <rPr>
            <b/>
            <sz val="9"/>
            <color indexed="81"/>
            <rFont val="宋体"/>
            <family val="3"/>
            <charset val="134"/>
          </rPr>
          <t>作者:</t>
        </r>
        <r>
          <rPr>
            <sz val="9"/>
            <color indexed="81"/>
            <rFont val="宋体"/>
            <family val="3"/>
            <charset val="134"/>
          </rPr>
          <t xml:space="preserve">
免赔额</t>
        </r>
        <r>
          <rPr>
            <sz val="9"/>
            <color indexed="81"/>
            <rFont val="Tahoma"/>
            <family val="2"/>
          </rPr>
          <t>22</t>
        </r>
        <r>
          <rPr>
            <sz val="9"/>
            <color indexed="81"/>
            <rFont val="宋体"/>
            <family val="3"/>
            <charset val="134"/>
          </rPr>
          <t>万</t>
        </r>
      </text>
    </comment>
    <comment ref="U226" authorId="0">
      <text>
        <r>
          <rPr>
            <b/>
            <sz val="9"/>
            <color indexed="81"/>
            <rFont val="宋体"/>
            <family val="3"/>
            <charset val="134"/>
          </rPr>
          <t>作者:</t>
        </r>
        <r>
          <rPr>
            <sz val="9"/>
            <color indexed="81"/>
            <rFont val="宋体"/>
            <family val="3"/>
            <charset val="134"/>
          </rPr>
          <t xml:space="preserve">
免赔额</t>
        </r>
        <r>
          <rPr>
            <sz val="9"/>
            <color indexed="81"/>
            <rFont val="Tahoma"/>
            <family val="2"/>
          </rPr>
          <t>22</t>
        </r>
        <r>
          <rPr>
            <sz val="9"/>
            <color indexed="81"/>
            <rFont val="宋体"/>
            <family val="3"/>
            <charset val="134"/>
          </rPr>
          <t>万</t>
        </r>
      </text>
    </comment>
    <comment ref="U227" authorId="0">
      <text>
        <r>
          <rPr>
            <b/>
            <sz val="9"/>
            <color indexed="81"/>
            <rFont val="宋体"/>
            <family val="3"/>
            <charset val="134"/>
          </rPr>
          <t>作者:</t>
        </r>
        <r>
          <rPr>
            <sz val="9"/>
            <color indexed="81"/>
            <rFont val="宋体"/>
            <family val="3"/>
            <charset val="134"/>
          </rPr>
          <t xml:space="preserve">
免赔额</t>
        </r>
        <r>
          <rPr>
            <sz val="9"/>
            <color indexed="81"/>
            <rFont val="Tahoma"/>
            <family val="2"/>
          </rPr>
          <t>22</t>
        </r>
        <r>
          <rPr>
            <sz val="9"/>
            <color indexed="81"/>
            <rFont val="宋体"/>
            <family val="3"/>
            <charset val="134"/>
          </rPr>
          <t>万</t>
        </r>
      </text>
    </comment>
    <comment ref="U228" authorId="0">
      <text>
        <r>
          <rPr>
            <b/>
            <sz val="9"/>
            <color indexed="81"/>
            <rFont val="宋体"/>
            <family val="3"/>
            <charset val="134"/>
          </rPr>
          <t>作者:</t>
        </r>
        <r>
          <rPr>
            <sz val="9"/>
            <color indexed="81"/>
            <rFont val="宋体"/>
            <family val="3"/>
            <charset val="134"/>
          </rPr>
          <t xml:space="preserve">
免赔额</t>
        </r>
        <r>
          <rPr>
            <sz val="9"/>
            <color indexed="81"/>
            <rFont val="Tahoma"/>
            <family val="2"/>
          </rPr>
          <t>22</t>
        </r>
        <r>
          <rPr>
            <sz val="9"/>
            <color indexed="81"/>
            <rFont val="宋体"/>
            <family val="3"/>
            <charset val="134"/>
          </rPr>
          <t>万</t>
        </r>
      </text>
    </comment>
    <comment ref="G254" authorId="0">
      <text>
        <r>
          <rPr>
            <sz val="9"/>
            <color indexed="81"/>
            <rFont val="宋体"/>
            <family val="3"/>
            <charset val="134"/>
          </rPr>
          <t>业主办理保险</t>
        </r>
      </text>
    </comment>
    <comment ref="S299" authorId="0">
      <text>
        <r>
          <rPr>
            <sz val="9"/>
            <rFont val="宋体"/>
            <family val="3"/>
            <charset val="134"/>
          </rPr>
          <t>保险免赔金额200万元。
评估公司给评估的价格公为60多万元，保险公司不予赔偿。</t>
        </r>
      </text>
    </comment>
    <comment ref="C302" authorId="0">
      <text>
        <r>
          <rPr>
            <sz val="9"/>
            <rFont val="宋体"/>
            <family val="3"/>
            <charset val="134"/>
          </rPr>
          <t>仙桃一分部和三分部一起购买的保险</t>
        </r>
      </text>
    </comment>
    <comment ref="C303" authorId="0">
      <text>
        <r>
          <rPr>
            <sz val="9"/>
            <rFont val="宋体"/>
            <family val="3"/>
            <charset val="134"/>
          </rPr>
          <t xml:space="preserve">仙桃一分部和仙桃三分部一起购买的保险
</t>
        </r>
      </text>
    </comment>
    <comment ref="Q317" authorId="0">
      <text>
        <r>
          <rPr>
            <b/>
            <sz val="9"/>
            <rFont val="宋体"/>
            <family val="3"/>
            <charset val="134"/>
          </rPr>
          <t>作者:</t>
        </r>
        <r>
          <rPr>
            <sz val="9"/>
            <rFont val="宋体"/>
            <family val="3"/>
            <charset val="134"/>
          </rPr>
          <t xml:space="preserve">
使用挖机修补，WY200型挖机，20个台班修补完毕，实际损失32495元</t>
        </r>
      </text>
    </comment>
    <comment ref="G319" authorId="0">
      <text>
        <r>
          <rPr>
            <sz val="9"/>
            <rFont val="宋体"/>
            <family val="3"/>
            <charset val="134"/>
          </rPr>
          <t xml:space="preserve">王博：为全线7个标段总的投保金额，合同约定总保险费，未分配各自所占比例。
</t>
        </r>
      </text>
    </comment>
    <comment ref="R319" authorId="0">
      <text>
        <r>
          <rPr>
            <sz val="9"/>
            <rFont val="宋体"/>
            <family val="3"/>
            <charset val="134"/>
          </rPr>
          <t>王博：合同约定扣除5000的免赔偿金额。</t>
        </r>
      </text>
    </comment>
    <comment ref="F323" authorId="0">
      <text>
        <r>
          <rPr>
            <b/>
            <sz val="9"/>
            <rFont val="宋体"/>
            <family val="3"/>
            <charset val="134"/>
          </rPr>
          <t>作者:</t>
        </r>
        <r>
          <rPr>
            <sz val="9"/>
            <rFont val="宋体"/>
            <family val="3"/>
            <charset val="134"/>
          </rPr>
          <t xml:space="preserve">
地铁公司统一全线投保</t>
        </r>
      </text>
    </comment>
    <comment ref="H349" authorId="0">
      <text>
        <r>
          <rPr>
            <b/>
            <sz val="9"/>
            <color indexed="81"/>
            <rFont val="宋体"/>
            <family val="3"/>
            <charset val="134"/>
          </rPr>
          <t>作者:</t>
        </r>
        <r>
          <rPr>
            <sz val="9"/>
            <color indexed="81"/>
            <rFont val="宋体"/>
            <family val="3"/>
            <charset val="134"/>
          </rPr>
          <t xml:space="preserve">
第三者责任为业主购买</t>
        </r>
      </text>
    </comment>
    <comment ref="F364" authorId="0">
      <text>
        <r>
          <rPr>
            <sz val="9"/>
            <color indexed="81"/>
            <rFont val="宋体"/>
            <family val="3"/>
            <charset val="134"/>
          </rPr>
          <t>由8家公司共保，中华联合财产保险占的比重最大</t>
        </r>
      </text>
    </comment>
    <comment ref="G364" authorId="0">
      <text>
        <r>
          <rPr>
            <sz val="9"/>
            <color indexed="81"/>
            <rFont val="宋体"/>
            <family val="3"/>
            <charset val="134"/>
          </rPr>
          <t>太平洋保险</t>
        </r>
      </text>
    </comment>
    <comment ref="H364" authorId="0">
      <text>
        <r>
          <rPr>
            <sz val="9"/>
            <color indexed="81"/>
            <rFont val="宋体"/>
            <family val="3"/>
            <charset val="134"/>
          </rPr>
          <t>中华联保</t>
        </r>
      </text>
    </comment>
    <comment ref="G378" authorId="0">
      <text>
        <r>
          <rPr>
            <b/>
            <sz val="9"/>
            <color indexed="81"/>
            <rFont val="宋体"/>
            <family val="3"/>
            <charset val="134"/>
          </rPr>
          <t>作者:</t>
        </r>
        <r>
          <rPr>
            <sz val="9"/>
            <color indexed="81"/>
            <rFont val="宋体"/>
            <family val="3"/>
            <charset val="134"/>
          </rPr>
          <t xml:space="preserve">
业主代办，包括一切险和第三方责任险</t>
        </r>
      </text>
    </comment>
    <comment ref="F401" authorId="0">
      <text>
        <r>
          <rPr>
            <sz val="9"/>
            <color indexed="81"/>
            <rFont val="宋体"/>
            <family val="3"/>
            <charset val="134"/>
          </rPr>
          <t>由8家公司共保，中华联合财产保险占的比重最大</t>
        </r>
      </text>
    </comment>
    <comment ref="G401" authorId="0">
      <text>
        <r>
          <rPr>
            <sz val="9"/>
            <color indexed="81"/>
            <rFont val="宋体"/>
            <family val="3"/>
            <charset val="134"/>
          </rPr>
          <t xml:space="preserve">中国平安财产保险股份有限公司湖南分公司
</t>
        </r>
      </text>
    </comment>
    <comment ref="H401" authorId="0">
      <text>
        <r>
          <rPr>
            <sz val="9"/>
            <color indexed="81"/>
            <rFont val="宋体"/>
            <family val="3"/>
            <charset val="134"/>
          </rPr>
          <t xml:space="preserve">中华联保
</t>
        </r>
      </text>
    </comment>
    <comment ref="H415" authorId="0">
      <text>
        <r>
          <rPr>
            <sz val="9"/>
            <rFont val="宋体"/>
            <family val="3"/>
            <charset val="134"/>
          </rPr>
          <t>作者:
包含于一切险中</t>
        </r>
      </text>
    </comment>
    <comment ref="O455" authorId="0">
      <text>
        <r>
          <rPr>
            <sz val="9"/>
            <rFont val="宋体"/>
            <family val="3"/>
            <charset val="134"/>
          </rPr>
          <t xml:space="preserve">作者:
河南省商水县巴村镇西崔庄村一组
</t>
        </r>
      </text>
    </comment>
    <comment ref="G498" authorId="0">
      <text>
        <r>
          <rPr>
            <sz val="9"/>
            <rFont val="宋体"/>
            <family val="3"/>
            <charset val="134"/>
          </rPr>
          <t>作者:
含第三者险</t>
        </r>
      </text>
    </comment>
    <comment ref="T500" authorId="0">
      <text>
        <r>
          <rPr>
            <sz val="9"/>
            <rFont val="宋体"/>
            <family val="3"/>
            <charset val="134"/>
          </rPr>
          <t>王波华:预计赔偿金额，因保险公司赔偿额度少，故未达成最终赔偿协议。</t>
        </r>
      </text>
    </comment>
    <comment ref="T501" authorId="0">
      <text>
        <r>
          <rPr>
            <sz val="9"/>
            <rFont val="宋体"/>
            <family val="3"/>
            <charset val="134"/>
          </rPr>
          <t>作者:
预计赔偿金额，因保险公司赔偿额度少，故未达成最终赔偿协议。</t>
        </r>
      </text>
    </comment>
    <comment ref="G520" authorId="0">
      <text>
        <r>
          <rPr>
            <sz val="9"/>
            <rFont val="宋体"/>
            <family val="3"/>
            <charset val="134"/>
          </rPr>
          <t xml:space="preserve">含第三者责任险
</t>
        </r>
      </text>
    </comment>
    <comment ref="E526" authorId="0">
      <text>
        <r>
          <rPr>
            <b/>
            <sz val="9"/>
            <color indexed="81"/>
            <rFont val="宋体"/>
            <family val="3"/>
            <charset val="134"/>
          </rPr>
          <t>作者:</t>
        </r>
        <r>
          <rPr>
            <sz val="9"/>
            <color indexed="81"/>
            <rFont val="宋体"/>
            <family val="3"/>
            <charset val="134"/>
          </rPr>
          <t xml:space="preserve">
业主已确定工期延后，但正式文件尚未下发，预计延期至</t>
        </r>
        <r>
          <rPr>
            <sz val="9"/>
            <color indexed="81"/>
            <rFont val="Tahoma"/>
            <family val="2"/>
          </rPr>
          <t>9</t>
        </r>
        <r>
          <rPr>
            <sz val="9"/>
            <color indexed="81"/>
            <rFont val="宋体"/>
            <family val="3"/>
            <charset val="134"/>
          </rPr>
          <t>月</t>
        </r>
        <r>
          <rPr>
            <sz val="9"/>
            <color indexed="81"/>
            <rFont val="Tahoma"/>
            <family val="2"/>
          </rPr>
          <t>30</t>
        </r>
        <r>
          <rPr>
            <sz val="9"/>
            <color indexed="81"/>
            <rFont val="宋体"/>
            <family val="3"/>
            <charset val="134"/>
          </rPr>
          <t>号</t>
        </r>
      </text>
    </comment>
    <comment ref="D527" authorId="0">
      <text>
        <r>
          <rPr>
            <sz val="9"/>
            <color indexed="81"/>
            <rFont val="宋体"/>
            <family val="3"/>
            <charset val="134"/>
          </rPr>
          <t xml:space="preserve">含暂定金、暂列金额4515.48万元
</t>
        </r>
      </text>
    </comment>
    <comment ref="E527" authorId="0">
      <text>
        <r>
          <rPr>
            <sz val="9"/>
            <color indexed="81"/>
            <rFont val="宋体"/>
            <family val="3"/>
            <charset val="134"/>
          </rPr>
          <t>开工令时间为2014年05月30日，合同工期12个月。
工期延长至2015.8.30</t>
        </r>
      </text>
    </comment>
    <comment ref="S540" authorId="0">
      <text>
        <r>
          <rPr>
            <sz val="9"/>
            <rFont val="宋体"/>
            <family val="3"/>
            <charset val="134"/>
          </rPr>
          <t>保险公司审核后没达到赔付条件，不给予赔付</t>
        </r>
      </text>
    </comment>
    <comment ref="D541" authorId="0">
      <text>
        <r>
          <rPr>
            <sz val="9"/>
            <rFont val="宋体"/>
            <family val="3"/>
            <charset val="134"/>
          </rPr>
          <t>作者:
不含暂定金28630497元</t>
        </r>
      </text>
    </comment>
    <comment ref="S571" authorId="0">
      <text>
        <r>
          <rPr>
            <b/>
            <sz val="9"/>
            <color indexed="81"/>
            <rFont val="宋体"/>
            <family val="3"/>
            <charset val="134"/>
          </rPr>
          <t>作者:</t>
        </r>
        <r>
          <rPr>
            <sz val="9"/>
            <color indexed="81"/>
            <rFont val="宋体"/>
            <family val="3"/>
            <charset val="134"/>
          </rPr>
          <t xml:space="preserve">
还未赔付，已申请上报</t>
        </r>
      </text>
    </comment>
    <comment ref="Q572" authorId="0">
      <text>
        <r>
          <rPr>
            <b/>
            <sz val="9"/>
            <rFont val="宋体"/>
            <family val="3"/>
            <charset val="134"/>
          </rPr>
          <t>作者:</t>
        </r>
        <r>
          <rPr>
            <sz val="9"/>
            <rFont val="宋体"/>
            <family val="3"/>
            <charset val="134"/>
          </rPr>
          <t xml:space="preserve">
料棚搭建时有质量保证条款，乙方无条件重新搭建。</t>
        </r>
      </text>
    </comment>
    <comment ref="G595" authorId="0">
      <text>
        <r>
          <rPr>
            <b/>
            <sz val="9"/>
            <color indexed="81"/>
            <rFont val="宋体"/>
            <family val="3"/>
            <charset val="134"/>
          </rPr>
          <t>局指统一购买后劈分金额</t>
        </r>
        <r>
          <rPr>
            <sz val="9"/>
            <color indexed="81"/>
            <rFont val="Tahoma"/>
            <family val="2"/>
          </rPr>
          <t xml:space="preserve">
</t>
        </r>
        <r>
          <rPr>
            <sz val="9"/>
            <color indexed="81"/>
            <rFont val="宋体"/>
            <family val="3"/>
            <charset val="134"/>
          </rPr>
          <t>（LYS-12标总计购买保险费1238.2188万元，含第三方责任险）</t>
        </r>
      </text>
    </comment>
    <comment ref="J595" authorId="0">
      <text>
        <r>
          <rPr>
            <sz val="9"/>
            <color indexed="81"/>
            <rFont val="宋体"/>
            <family val="3"/>
            <charset val="134"/>
          </rPr>
          <t>局指统一购买后劈分金额
（LYS-12标总计购买保险费296.974262万元）</t>
        </r>
        <r>
          <rPr>
            <sz val="9"/>
            <color indexed="81"/>
            <rFont val="Tahoma"/>
            <family val="2"/>
          </rPr>
          <t xml:space="preserve">
</t>
        </r>
      </text>
    </comment>
    <comment ref="G618" authorId="0">
      <text>
        <r>
          <rPr>
            <b/>
            <sz val="9"/>
            <color indexed="81"/>
            <rFont val="宋体"/>
            <family val="3"/>
            <charset val="134"/>
          </rPr>
          <t>作者:
局指统一购买后劈分金额</t>
        </r>
        <r>
          <rPr>
            <sz val="9"/>
            <color indexed="81"/>
            <rFont val="宋体"/>
            <family val="3"/>
            <charset val="134"/>
          </rPr>
          <t xml:space="preserve">
（</t>
        </r>
        <r>
          <rPr>
            <sz val="9"/>
            <color indexed="81"/>
            <rFont val="Tahoma"/>
            <family val="2"/>
          </rPr>
          <t>TJ-4</t>
        </r>
        <r>
          <rPr>
            <sz val="9"/>
            <color indexed="81"/>
            <rFont val="宋体"/>
            <family val="3"/>
            <charset val="134"/>
          </rPr>
          <t>标总计购买保险费</t>
        </r>
        <r>
          <rPr>
            <sz val="9"/>
            <color indexed="81"/>
            <rFont val="Tahoma"/>
            <family val="2"/>
          </rPr>
          <t>929.3712</t>
        </r>
        <r>
          <rPr>
            <sz val="9"/>
            <color indexed="81"/>
            <rFont val="宋体"/>
            <family val="3"/>
            <charset val="134"/>
          </rPr>
          <t>万元，含第三方责任险）</t>
        </r>
      </text>
    </comment>
    <comment ref="G620" authorId="0">
      <text>
        <r>
          <rPr>
            <b/>
            <sz val="9"/>
            <color indexed="81"/>
            <rFont val="宋体"/>
            <family val="3"/>
            <charset val="134"/>
          </rPr>
          <t>作者:</t>
        </r>
        <r>
          <rPr>
            <sz val="9"/>
            <color indexed="81"/>
            <rFont val="宋体"/>
            <family val="3"/>
            <charset val="134"/>
          </rPr>
          <t xml:space="preserve">
各分部及总部总保费，暂未分劈。</t>
        </r>
      </text>
    </comment>
    <comment ref="H620" authorId="0">
      <text>
        <r>
          <rPr>
            <b/>
            <sz val="9"/>
            <color indexed="81"/>
            <rFont val="宋体"/>
            <family val="3"/>
            <charset val="134"/>
          </rPr>
          <t>作者:</t>
        </r>
        <r>
          <rPr>
            <sz val="9"/>
            <color indexed="81"/>
            <rFont val="宋体"/>
            <family val="3"/>
            <charset val="134"/>
          </rPr>
          <t xml:space="preserve">
各分部及总部总保费，暂未分劈。</t>
        </r>
      </text>
    </comment>
    <comment ref="J620" authorId="0">
      <text>
        <r>
          <rPr>
            <b/>
            <sz val="9"/>
            <color indexed="81"/>
            <rFont val="宋体"/>
            <family val="3"/>
            <charset val="134"/>
          </rPr>
          <t>作者:</t>
        </r>
        <r>
          <rPr>
            <sz val="9"/>
            <color indexed="81"/>
            <rFont val="宋体"/>
            <family val="3"/>
            <charset val="134"/>
          </rPr>
          <t xml:space="preserve">
各分部及总部总保费，暂未分劈。</t>
        </r>
      </text>
    </comment>
    <comment ref="M620" authorId="0">
      <text>
        <r>
          <rPr>
            <b/>
            <sz val="9"/>
            <color indexed="81"/>
            <rFont val="宋体"/>
            <family val="3"/>
            <charset val="134"/>
          </rPr>
          <t>作者:</t>
        </r>
        <r>
          <rPr>
            <sz val="9"/>
            <color indexed="81"/>
            <rFont val="宋体"/>
            <family val="3"/>
            <charset val="134"/>
          </rPr>
          <t xml:space="preserve">
各分部及总部总保费，暂未分劈。</t>
        </r>
      </text>
    </comment>
    <comment ref="S621" authorId="0">
      <text>
        <r>
          <rPr>
            <b/>
            <sz val="9"/>
            <color indexed="81"/>
            <rFont val="宋体"/>
            <family val="3"/>
            <charset val="134"/>
          </rPr>
          <t>作者:</t>
        </r>
        <r>
          <rPr>
            <sz val="9"/>
            <color indexed="81"/>
            <rFont val="宋体"/>
            <family val="3"/>
            <charset val="134"/>
          </rPr>
          <t xml:space="preserve">
钱直接打入总部账户，暂未公布。金额数据从保险公司得知。</t>
        </r>
      </text>
    </comment>
    <comment ref="T621" authorId="0">
      <text>
        <r>
          <rPr>
            <b/>
            <sz val="9"/>
            <color indexed="81"/>
            <rFont val="宋体"/>
            <family val="3"/>
            <charset val="134"/>
          </rPr>
          <t>作者:</t>
        </r>
        <r>
          <rPr>
            <sz val="9"/>
            <color indexed="81"/>
            <rFont val="宋体"/>
            <family val="3"/>
            <charset val="134"/>
          </rPr>
          <t xml:space="preserve">
进行评残，需重新开案。</t>
        </r>
      </text>
    </comment>
    <comment ref="G639" authorId="0">
      <text>
        <r>
          <rPr>
            <sz val="9"/>
            <color indexed="81"/>
            <rFont val="宋体"/>
            <family val="3"/>
            <charset val="134"/>
          </rPr>
          <t>各分部及总部总保费，暂未分劈。</t>
        </r>
      </text>
    </comment>
    <comment ref="J639" authorId="0">
      <text>
        <r>
          <rPr>
            <sz val="9"/>
            <color indexed="81"/>
            <rFont val="宋体"/>
            <family val="3"/>
            <charset val="134"/>
          </rPr>
          <t>各分部及总部总保费，暂未分劈。</t>
        </r>
      </text>
    </comment>
    <comment ref="G661" authorId="0">
      <text>
        <r>
          <rPr>
            <b/>
            <sz val="9"/>
            <color indexed="81"/>
            <rFont val="宋体"/>
            <family val="3"/>
            <charset val="134"/>
          </rPr>
          <t>作者:</t>
        </r>
        <r>
          <rPr>
            <sz val="9"/>
            <color indexed="81"/>
            <rFont val="宋体"/>
            <family val="3"/>
            <charset val="134"/>
          </rPr>
          <t xml:space="preserve">
各分部及总部总保费，暂未分劈。</t>
        </r>
      </text>
    </comment>
    <comment ref="H661" authorId="0">
      <text>
        <r>
          <rPr>
            <b/>
            <sz val="9"/>
            <color indexed="81"/>
            <rFont val="宋体"/>
            <family val="3"/>
            <charset val="134"/>
          </rPr>
          <t>作者:</t>
        </r>
        <r>
          <rPr>
            <sz val="9"/>
            <color indexed="81"/>
            <rFont val="宋体"/>
            <family val="3"/>
            <charset val="134"/>
          </rPr>
          <t xml:space="preserve">
各分部及总部总保费，暂未分劈。</t>
        </r>
      </text>
    </comment>
    <comment ref="G674" authorId="0">
      <text>
        <r>
          <rPr>
            <b/>
            <sz val="9"/>
            <color indexed="81"/>
            <rFont val="宋体"/>
            <family val="3"/>
            <charset val="134"/>
          </rPr>
          <t>各分部及总部总保费，暂未分劈。</t>
        </r>
      </text>
    </comment>
    <comment ref="J674" authorId="0">
      <text>
        <r>
          <rPr>
            <sz val="9"/>
            <color indexed="81"/>
            <rFont val="宋体"/>
            <family val="3"/>
            <charset val="134"/>
          </rPr>
          <t>各分部及总部总保费，暂未分劈。</t>
        </r>
        <r>
          <rPr>
            <sz val="9"/>
            <color indexed="81"/>
            <rFont val="Tahoma"/>
            <family val="2"/>
          </rPr>
          <t xml:space="preserve">
</t>
        </r>
      </text>
    </comment>
    <comment ref="D698" authorId="0">
      <text>
        <r>
          <rPr>
            <b/>
            <sz val="9"/>
            <color indexed="81"/>
            <rFont val="宋体"/>
            <family val="3"/>
            <charset val="134"/>
          </rPr>
          <t xml:space="preserve">减去冯家梁子隧道划分给1-2的部分
</t>
        </r>
      </text>
    </comment>
    <comment ref="M698" authorId="0">
      <text>
        <r>
          <rPr>
            <sz val="9"/>
            <color indexed="81"/>
            <rFont val="宋体"/>
            <family val="3"/>
            <charset val="134"/>
          </rPr>
          <t>总部统一投保</t>
        </r>
        <r>
          <rPr>
            <sz val="9"/>
            <color indexed="81"/>
            <rFont val="Tahoma"/>
            <family val="2"/>
          </rPr>
          <t xml:space="preserve"> </t>
        </r>
        <r>
          <rPr>
            <sz val="9"/>
            <color indexed="81"/>
            <rFont val="Tahoma"/>
            <family val="2"/>
          </rPr>
          <t xml:space="preserve">
</t>
        </r>
      </text>
    </comment>
    <comment ref="M714" authorId="0">
      <text>
        <r>
          <rPr>
            <sz val="9"/>
            <color indexed="81"/>
            <rFont val="宋体"/>
            <family val="3"/>
            <charset val="134"/>
          </rPr>
          <t xml:space="preserve">总部统一投保
</t>
        </r>
        <r>
          <rPr>
            <sz val="9"/>
            <color indexed="81"/>
            <rFont val="Tahoma"/>
            <family val="2"/>
          </rPr>
          <t xml:space="preserve">
</t>
        </r>
      </text>
    </comment>
    <comment ref="Q720" authorId="0">
      <text>
        <r>
          <rPr>
            <b/>
            <sz val="9"/>
            <color indexed="81"/>
            <rFont val="宋体"/>
            <family val="3"/>
            <charset val="134"/>
          </rPr>
          <t xml:space="preserve">相关资料正在收集中
</t>
        </r>
        <r>
          <rPr>
            <sz val="9"/>
            <color indexed="81"/>
            <rFont val="Tahoma"/>
            <family val="2"/>
          </rPr>
          <t xml:space="preserve">
</t>
        </r>
      </text>
    </comment>
    <comment ref="Q721" authorId="0">
      <text>
        <r>
          <rPr>
            <b/>
            <sz val="9"/>
            <color indexed="81"/>
            <rFont val="宋体"/>
            <family val="3"/>
            <charset val="134"/>
          </rPr>
          <t xml:space="preserve">相关资料正在收集中
</t>
        </r>
        <r>
          <rPr>
            <sz val="9"/>
            <color indexed="81"/>
            <rFont val="Tahoma"/>
            <family val="2"/>
          </rPr>
          <t xml:space="preserve">
</t>
        </r>
      </text>
    </comment>
    <comment ref="Q722" authorId="0">
      <text>
        <r>
          <rPr>
            <b/>
            <sz val="9"/>
            <color indexed="81"/>
            <rFont val="宋体"/>
            <family val="3"/>
            <charset val="134"/>
          </rPr>
          <t xml:space="preserve">相关资料正在收集中
</t>
        </r>
      </text>
    </comment>
    <comment ref="Q723" authorId="0">
      <text>
        <r>
          <rPr>
            <sz val="9"/>
            <color indexed="81"/>
            <rFont val="宋体"/>
            <family val="3"/>
            <charset val="134"/>
          </rPr>
          <t xml:space="preserve">相关资料正在收集中
</t>
        </r>
        <r>
          <rPr>
            <sz val="9"/>
            <color indexed="81"/>
            <rFont val="Tahoma"/>
            <family val="2"/>
          </rPr>
          <t xml:space="preserve">
</t>
        </r>
      </text>
    </comment>
    <comment ref="Q724" authorId="0">
      <text>
        <r>
          <rPr>
            <b/>
            <sz val="9"/>
            <color indexed="81"/>
            <rFont val="宋体"/>
            <family val="3"/>
            <charset val="134"/>
          </rPr>
          <t>相关资料正在收集中</t>
        </r>
        <r>
          <rPr>
            <sz val="9"/>
            <color indexed="81"/>
            <rFont val="Tahoma"/>
            <family val="2"/>
          </rPr>
          <t xml:space="preserve">
</t>
        </r>
      </text>
    </comment>
    <comment ref="Q726" authorId="0">
      <text>
        <r>
          <rPr>
            <b/>
            <sz val="9"/>
            <color indexed="81"/>
            <rFont val="宋体"/>
            <family val="3"/>
            <charset val="134"/>
          </rPr>
          <t xml:space="preserve">相关资料正在收集中
</t>
        </r>
        <r>
          <rPr>
            <sz val="9"/>
            <color indexed="81"/>
            <rFont val="Tahoma"/>
            <family val="2"/>
          </rPr>
          <t xml:space="preserve">
</t>
        </r>
      </text>
    </comment>
    <comment ref="Q736" authorId="0">
      <text>
        <r>
          <rPr>
            <sz val="9"/>
            <color indexed="81"/>
            <rFont val="宋体"/>
            <family val="3"/>
            <charset val="134"/>
          </rPr>
          <t>队伍自付</t>
        </r>
      </text>
    </comment>
    <comment ref="D750" authorId="0">
      <text>
        <r>
          <rPr>
            <b/>
            <sz val="9"/>
            <color indexed="81"/>
            <rFont val="宋体"/>
            <family val="3"/>
            <charset val="134"/>
          </rPr>
          <t>作者:</t>
        </r>
        <r>
          <rPr>
            <sz val="9"/>
            <color indexed="81"/>
            <rFont val="宋体"/>
            <family val="3"/>
            <charset val="134"/>
          </rPr>
          <t xml:space="preserve">
新合同额</t>
        </r>
      </text>
    </comment>
    <comment ref="G750" authorId="0">
      <text>
        <r>
          <rPr>
            <sz val="9"/>
            <color indexed="81"/>
            <rFont val="宋体"/>
            <family val="3"/>
            <charset val="134"/>
          </rPr>
          <t xml:space="preserve">整个标段统一投保工程险和第三者责任险
</t>
        </r>
        <r>
          <rPr>
            <sz val="9"/>
            <color indexed="81"/>
            <rFont val="Tahoma"/>
            <family val="2"/>
          </rPr>
          <t xml:space="preserve">
</t>
        </r>
      </text>
    </comment>
    <comment ref="J772" authorId="0">
      <text>
        <r>
          <rPr>
            <b/>
            <sz val="9"/>
            <color indexed="81"/>
            <rFont val="宋体"/>
            <family val="3"/>
            <charset val="134"/>
          </rPr>
          <t>崔蕾:</t>
        </r>
        <r>
          <rPr>
            <sz val="9"/>
            <color indexed="81"/>
            <rFont val="宋体"/>
            <family val="3"/>
            <charset val="134"/>
          </rPr>
          <t xml:space="preserve">
原合同于2014年12月31日二十四时止，其中5.2万为续签合同额。</t>
        </r>
      </text>
    </comment>
    <comment ref="G774" authorId="0">
      <text>
        <r>
          <rPr>
            <sz val="9"/>
            <color indexed="81"/>
            <rFont val="宋体"/>
            <family val="3"/>
            <charset val="134"/>
          </rPr>
          <t xml:space="preserve">包含第三者责任险
</t>
        </r>
      </text>
    </comment>
    <comment ref="J843" authorId="0">
      <text>
        <r>
          <rPr>
            <sz val="9"/>
            <color indexed="81"/>
            <rFont val="宋体"/>
            <family val="3"/>
            <charset val="134"/>
          </rPr>
          <t>总部代买</t>
        </r>
      </text>
    </comment>
    <comment ref="T845" authorId="0">
      <text>
        <r>
          <rPr>
            <sz val="8"/>
            <color indexed="81"/>
            <rFont val="宋体"/>
            <family val="3"/>
            <charset val="134"/>
          </rPr>
          <t>已谈210万，因第三方责任险未谈妥,一切险暂赔付50万</t>
        </r>
      </text>
    </comment>
    <comment ref="G847" authorId="0">
      <text>
        <r>
          <rPr>
            <b/>
            <sz val="9"/>
            <color indexed="81"/>
            <rFont val="宋体"/>
            <family val="3"/>
            <charset val="134"/>
          </rPr>
          <t>作者:</t>
        </r>
        <r>
          <rPr>
            <sz val="9"/>
            <color indexed="81"/>
            <rFont val="宋体"/>
            <family val="3"/>
            <charset val="134"/>
          </rPr>
          <t xml:space="preserve">
含第三份责任险</t>
        </r>
      </text>
    </comment>
  </commentList>
</comments>
</file>

<file path=xl/comments3.xml><?xml version="1.0" encoding="utf-8"?>
<comments xmlns="http://schemas.openxmlformats.org/spreadsheetml/2006/main">
  <authors>
    <author>作者</author>
  </authors>
  <commentList>
    <comment ref="D67" authorId="0">
      <text>
        <r>
          <rPr>
            <b/>
            <sz val="9"/>
            <color indexed="81"/>
            <rFont val="宋体"/>
            <family val="3"/>
            <charset val="134"/>
          </rPr>
          <t>作者:</t>
        </r>
        <r>
          <rPr>
            <sz val="9"/>
            <color indexed="81"/>
            <rFont val="宋体"/>
            <family val="3"/>
            <charset val="134"/>
          </rPr>
          <t xml:space="preserve">
各分部及总部总保费，暂未分劈。</t>
        </r>
      </text>
    </comment>
  </commentList>
</comments>
</file>

<file path=xl/sharedStrings.xml><?xml version="1.0" encoding="utf-8"?>
<sst xmlns="http://schemas.openxmlformats.org/spreadsheetml/2006/main" count="9970" uniqueCount="2478">
  <si>
    <t>投保险种、保费情况</t>
    <phoneticPr fontId="1" type="noConversion"/>
  </si>
  <si>
    <t>涉及的险种</t>
    <phoneticPr fontId="1" type="noConversion"/>
  </si>
  <si>
    <t>人身意外险</t>
    <phoneticPr fontId="1" type="noConversion"/>
  </si>
  <si>
    <t>内容简述</t>
    <phoneticPr fontId="1" type="noConversion"/>
  </si>
  <si>
    <t>工程一切险及第三者责任险</t>
    <phoneticPr fontId="1" type="noConversion"/>
  </si>
  <si>
    <t>金额（一切险）</t>
    <phoneticPr fontId="1" type="noConversion"/>
  </si>
  <si>
    <t>金额（第三者责任）</t>
    <phoneticPr fontId="1" type="noConversion"/>
  </si>
  <si>
    <t>其他（如有，列明）</t>
    <phoneticPr fontId="1" type="noConversion"/>
  </si>
  <si>
    <t>保险公司</t>
    <phoneticPr fontId="1" type="noConversion"/>
  </si>
  <si>
    <t>金额</t>
    <phoneticPr fontId="1" type="noConversion"/>
  </si>
  <si>
    <t>投保金额合计</t>
    <phoneticPr fontId="1" type="noConversion"/>
  </si>
  <si>
    <t>申请赔付金额</t>
    <phoneticPr fontId="1" type="noConversion"/>
  </si>
  <si>
    <t>保险公司赔付金额</t>
    <phoneticPr fontId="1" type="noConversion"/>
  </si>
  <si>
    <t>单位：万元</t>
    <phoneticPr fontId="1" type="noConversion"/>
  </si>
  <si>
    <t>发生保险事件理赔情况</t>
    <phoneticPr fontId="1" type="noConversion"/>
  </si>
  <si>
    <t>实际损失金额</t>
    <phoneticPr fontId="1" type="noConversion"/>
  </si>
  <si>
    <t>安徽岳武路面1标</t>
    <phoneticPr fontId="1" type="noConversion"/>
  </si>
  <si>
    <t>太平洋保险</t>
    <phoneticPr fontId="11" type="noConversion"/>
  </si>
  <si>
    <t>安徽</t>
    <phoneticPr fontId="1" type="noConversion"/>
  </si>
  <si>
    <t>河北荣乌21标</t>
    <phoneticPr fontId="11" type="noConversion"/>
  </si>
  <si>
    <t>由河北省高速公路荣乌临时筹建处和中国人民财产保险股份有限公司河北省分公司、中国平安财产保险股份有限公司河北分公司、中国人寿保险股份有限公司北京分公司、中银保险有限公司河北分公司、都邦财产保险股份有限公司河北分公司签订</t>
    <phoneticPr fontId="11" type="noConversion"/>
  </si>
  <si>
    <t>河北</t>
  </si>
  <si>
    <t>河北张承12标</t>
    <phoneticPr fontId="1" type="noConversion"/>
  </si>
  <si>
    <t>太平洋财产保险有限公司</t>
    <phoneticPr fontId="11" type="noConversion"/>
  </si>
  <si>
    <t>中国人寿</t>
    <phoneticPr fontId="11" type="noConversion"/>
  </si>
  <si>
    <t>2014.4.2</t>
    <phoneticPr fontId="11" type="noConversion"/>
  </si>
  <si>
    <t>工人意外摔伤</t>
    <phoneticPr fontId="11" type="noConversion"/>
  </si>
  <si>
    <t>人身意外险</t>
    <phoneticPr fontId="11" type="noConversion"/>
  </si>
  <si>
    <t>2015.1.11</t>
    <phoneticPr fontId="11" type="noConversion"/>
  </si>
  <si>
    <t>河北</t>
    <phoneticPr fontId="1" type="noConversion"/>
  </si>
  <si>
    <t>河南洛三路面7标</t>
  </si>
  <si>
    <t>中国平安</t>
  </si>
  <si>
    <t>河南</t>
  </si>
  <si>
    <t>河南登汝项目三分部</t>
    <phoneticPr fontId="11" type="noConversion"/>
  </si>
  <si>
    <t>2014.9.19</t>
  </si>
  <si>
    <t>暴雨造成路基边坡滑塌、涵洞及桥梁承台钢筋被淤泥掩埋</t>
  </si>
  <si>
    <t>工程一切险</t>
  </si>
  <si>
    <t>湖北麻竹4标3分部</t>
    <phoneticPr fontId="11" type="noConversion"/>
  </si>
  <si>
    <t>太平洋</t>
  </si>
  <si>
    <t>中国人保</t>
  </si>
  <si>
    <t>2013.12.23</t>
  </si>
  <si>
    <t>人身意外险</t>
  </si>
  <si>
    <t>2014.5.7</t>
  </si>
  <si>
    <t>湖北</t>
  </si>
  <si>
    <t>2013.10.17</t>
  </si>
  <si>
    <t>2014.4.23</t>
  </si>
  <si>
    <t>2014.4.2</t>
  </si>
  <si>
    <t>2014.4.·1</t>
  </si>
  <si>
    <t>2013.10.25</t>
  </si>
  <si>
    <t>2013.12.22</t>
  </si>
  <si>
    <t>因陈铁柱在我施工地施工过程中受伤，经队友及时送往医院治疗，现已痊愈（治疗费用约壹万捌仟元）。现乙方向甲方提出伤后误工费、营养费、护理费、伤残就业补助金、工伤期间工资和住院期间的医院生活费用柒万贰仟元，合计人民币玖万元，甲方以现金形式一次性终结赔付乙方。</t>
  </si>
  <si>
    <t>2014.4.10</t>
  </si>
  <si>
    <t>2014.01.19</t>
  </si>
  <si>
    <t>2014.3.31</t>
  </si>
  <si>
    <t>2014.3.26</t>
  </si>
  <si>
    <t>2014.06.06</t>
  </si>
  <si>
    <t>2014.7.17</t>
  </si>
  <si>
    <t>2014.3.24</t>
  </si>
  <si>
    <t>2014.03.24日上午10点30分陈云在三溪沟1号桥施工过程中，
由于高空中的钢筋爬梯掉落，及时送往保康中医院救治。</t>
  </si>
  <si>
    <t>2015.5.19</t>
  </si>
  <si>
    <t>2014.4.6</t>
  </si>
  <si>
    <t>2014年4月6日下午3点30分，覃春云在金峰隧道右洞立拱架过程中拱顶垮塌，脚呗砸成粉碎性骨折。送往保康县人民医院救治。</t>
  </si>
  <si>
    <t>2015.5.22</t>
  </si>
  <si>
    <t>2014.7.8</t>
  </si>
  <si>
    <t>2014年7月8日晚王兴坤在A匝道路基E匝道桥头处，骑车撞向桥头处堆放的模板，现在中医院接受治疗。</t>
  </si>
  <si>
    <t>2015.5.8</t>
  </si>
  <si>
    <t>湖北麻武1标</t>
    <phoneticPr fontId="1" type="noConversion"/>
  </si>
  <si>
    <t>中国信达</t>
  </si>
  <si>
    <t>中国太平洋</t>
  </si>
  <si>
    <t>2014.4.28</t>
  </si>
  <si>
    <t>一分部</t>
  </si>
  <si>
    <t>2014.6.14</t>
  </si>
  <si>
    <t>2014.4.14</t>
  </si>
  <si>
    <t>二分部</t>
  </si>
  <si>
    <t>2014.7.4</t>
  </si>
  <si>
    <t>2014.9.12</t>
  </si>
  <si>
    <t>2015.5.15</t>
  </si>
  <si>
    <t>水毁农田22亩，边坡防护冲毁28000方</t>
  </si>
  <si>
    <t>房屋炮损</t>
  </si>
  <si>
    <t>2013.5.20</t>
  </si>
  <si>
    <t>三分部</t>
  </si>
  <si>
    <t>2013.7.25</t>
  </si>
  <si>
    <t>2013.10.26</t>
  </si>
  <si>
    <t>2013.11.26</t>
  </si>
  <si>
    <t>2014.3.14</t>
  </si>
  <si>
    <t>2014.11.15</t>
  </si>
  <si>
    <t>2015.4.15</t>
  </si>
  <si>
    <t>三里畈镇黄泥磅村由于水毁损失田地5亩</t>
  </si>
  <si>
    <t>三里畈镇尹家垸村由于水毁损失田地3亩</t>
  </si>
  <si>
    <t>三里畈镇袁家畈村由于水毁损失田地2亩</t>
  </si>
  <si>
    <t>2013.5.8</t>
  </si>
  <si>
    <t>四分部</t>
  </si>
  <si>
    <t>2013.6.9</t>
  </si>
  <si>
    <t>2013.7.15</t>
  </si>
  <si>
    <t>2013.6.7</t>
  </si>
  <si>
    <t>2013.7.10</t>
  </si>
  <si>
    <t>2014.2.25</t>
  </si>
  <si>
    <t>2014.4.18</t>
  </si>
  <si>
    <t>2014.5.3</t>
  </si>
  <si>
    <t>2015.04.06</t>
  </si>
  <si>
    <t>三里畈镇朱元洞村由于水毁青苗压伤7.3亩、清砂2314.49方、鱼塘淤积4135.4方、拱形骨架被冲走12榀</t>
  </si>
  <si>
    <t>三里畈镇宜林村由于水毁清砂6811.58方、青苗压伤20.62亩、鱼塘淤积16858方、果树赔偿1060棵</t>
  </si>
  <si>
    <t>三里畈镇车潭畈村由于水毁清砂2744.96方、青苗压伤11.63亩、鱼塘淤积6870.61方、挂网喷播冲毁246平</t>
  </si>
  <si>
    <t>三里畈镇标尾段由于水毁清砂74.4、果树赔偿300棵、水渠淤积6507.88</t>
  </si>
  <si>
    <t>2013.10.12</t>
  </si>
  <si>
    <t>被水泵砸伤，导致右肩骨粉碎</t>
  </si>
  <si>
    <t>2013.12.20</t>
  </si>
  <si>
    <t>2013.12.6</t>
  </si>
  <si>
    <t>被机子皮带卷到手，导致左拇指挤压伤，近节指骨折</t>
  </si>
  <si>
    <t>2014.2.6</t>
  </si>
  <si>
    <t>施工模板压伤左手中指</t>
  </si>
  <si>
    <t>2014.6.25</t>
  </si>
  <si>
    <t>2014.5.27</t>
  </si>
  <si>
    <t>被硬物砸伤小腿，导致粉碎性骨折</t>
  </si>
  <si>
    <t>2014.7.27</t>
  </si>
  <si>
    <t>2014.12.14</t>
  </si>
  <si>
    <t>钢筋滚落，砸伤脚</t>
  </si>
  <si>
    <t>2014.3.15</t>
  </si>
  <si>
    <t>2015.3.31</t>
  </si>
  <si>
    <t>钢筋扎伤手</t>
  </si>
  <si>
    <t>2013.8.5</t>
  </si>
  <si>
    <t>王文国：从涵洞摔下，肋骨骨折</t>
  </si>
  <si>
    <t>2014.4.15</t>
  </si>
  <si>
    <t>2014.3.10</t>
  </si>
  <si>
    <t>阮连福：挖孔桩施工时不慎掉入桩里，头部、肋骨受伤</t>
  </si>
  <si>
    <t>2014.4.24</t>
  </si>
  <si>
    <t>2013.8.2</t>
  </si>
  <si>
    <t>杨明清：从涵洞摔下，手腿骨折</t>
  </si>
  <si>
    <t>2014.7.29</t>
  </si>
  <si>
    <t>2014.7.3</t>
  </si>
  <si>
    <t>王刚：隧道支护施工，石头砸伤小臂骨折</t>
  </si>
  <si>
    <t>2014.9.1</t>
  </si>
  <si>
    <t>2014.10.20</t>
  </si>
  <si>
    <t>王绍足：拱形骨架预制块、砸伤右手中指</t>
  </si>
  <si>
    <t>2014.12.30</t>
  </si>
  <si>
    <t>2014.9.8</t>
  </si>
  <si>
    <t>朱峰：骑摩托摔断肋骨</t>
  </si>
  <si>
    <t>2015.1.5</t>
  </si>
  <si>
    <t>2015.04.25</t>
  </si>
  <si>
    <t>2015.05.20</t>
  </si>
  <si>
    <t>张雨明：左手指轧伤</t>
  </si>
  <si>
    <t>路面分部</t>
  </si>
  <si>
    <t>2015.06.09</t>
  </si>
  <si>
    <t>雷凤云：左脚砸伤</t>
  </si>
  <si>
    <t>中华联合</t>
  </si>
  <si>
    <t>2014.07.19</t>
  </si>
  <si>
    <t>技术员姜明元在涵洞台背上进行检查工作，由于台背多砂砾、边坡险陡，不慎从从4米高的台背滑落，造成左跟骨粉碎性骨折、骨盘骨折。</t>
  </si>
  <si>
    <t>2014.10.08</t>
  </si>
  <si>
    <t>湖南</t>
  </si>
  <si>
    <t>2015.04.04</t>
  </si>
  <si>
    <t>现场施工人员邓国富在隧道进口开挖台车上进行施工作业，不慎从8米高的开挖台车上跌落，造成右侧多发性肋骨骨折并积液，多处软组织挫伤。</t>
  </si>
  <si>
    <t>2015.06.11</t>
  </si>
  <si>
    <t>2015.06.02</t>
  </si>
  <si>
    <t>由于强降暴雨造成地方农田及树木冲毁，地方农田正在商谈赔偿事宜，淤泥等项目部正在利用挖机进行清理。</t>
  </si>
  <si>
    <t>保险公司正在赔付处理中</t>
  </si>
  <si>
    <t>内蒙集呼2标</t>
    <phoneticPr fontId="11" type="noConversion"/>
  </si>
  <si>
    <t>大地保险/中国人保</t>
    <phoneticPr fontId="11" type="noConversion"/>
  </si>
  <si>
    <t>暴雨冲毁路基、隧道等损毁</t>
    <phoneticPr fontId="1" type="noConversion"/>
  </si>
  <si>
    <t>2014.7.1</t>
    <phoneticPr fontId="1" type="noConversion"/>
  </si>
  <si>
    <t>内蒙古</t>
    <phoneticPr fontId="11" type="noConversion"/>
  </si>
  <si>
    <t>重庆酉沿3标三分部</t>
    <phoneticPr fontId="1" type="noConversion"/>
  </si>
  <si>
    <t>中国人民财产保险股份有限公司重庆市分公司（首席承保人，60%)、中国平安财产保险股份有限公司重庆分公司、阳光财产保险股份有限公司重庆市分公司、安诚财产保险股份有限公司重庆分公司、中国人寿财产保险股份有限公司重庆市分公司（共保人，各10%）</t>
    <phoneticPr fontId="11" type="noConversion"/>
  </si>
  <si>
    <t>中国人民人寿保险股份有限公司</t>
    <phoneticPr fontId="11" type="noConversion"/>
  </si>
  <si>
    <t>无</t>
    <phoneticPr fontId="11" type="noConversion"/>
  </si>
  <si>
    <t>2013.7.21</t>
    <phoneticPr fontId="11" type="noConversion"/>
  </si>
  <si>
    <t>暴雨致全线部分路基滑坡</t>
    <phoneticPr fontId="11" type="noConversion"/>
  </si>
  <si>
    <t>2013.8.9</t>
    <phoneticPr fontId="11" type="noConversion"/>
  </si>
  <si>
    <t>重庆</t>
    <phoneticPr fontId="11" type="noConversion"/>
  </si>
  <si>
    <t>2013.8.13</t>
    <phoneticPr fontId="11" type="noConversion"/>
  </si>
  <si>
    <t>山体滑坡</t>
    <phoneticPr fontId="11" type="noConversion"/>
  </si>
  <si>
    <t>2013.9.26</t>
    <phoneticPr fontId="11" type="noConversion"/>
  </si>
  <si>
    <t>2014.7.29</t>
    <phoneticPr fontId="11" type="noConversion"/>
  </si>
  <si>
    <t>挖掘机碰撞受损</t>
    <phoneticPr fontId="11" type="noConversion"/>
  </si>
  <si>
    <t>2015.3.18</t>
    <phoneticPr fontId="11" type="noConversion"/>
  </si>
  <si>
    <t>2013.9.5</t>
    <phoneticPr fontId="11" type="noConversion"/>
  </si>
  <si>
    <t>暴雨致路基滑坡</t>
    <phoneticPr fontId="11" type="noConversion"/>
  </si>
  <si>
    <t>2013.10.28</t>
    <phoneticPr fontId="11" type="noConversion"/>
  </si>
  <si>
    <t>2013.5.19</t>
    <phoneticPr fontId="11" type="noConversion"/>
  </si>
  <si>
    <t>桩基挤伤</t>
    <phoneticPr fontId="11" type="noConversion"/>
  </si>
  <si>
    <t>2013.9.29</t>
    <phoneticPr fontId="11" type="noConversion"/>
  </si>
  <si>
    <t>2013.7.2</t>
    <phoneticPr fontId="11" type="noConversion"/>
  </si>
  <si>
    <t>挖孔桩砸伤</t>
    <phoneticPr fontId="11" type="noConversion"/>
  </si>
  <si>
    <t>2014.04.04</t>
    <phoneticPr fontId="11" type="noConversion"/>
  </si>
  <si>
    <t>2013.7.20</t>
    <phoneticPr fontId="11" type="noConversion"/>
  </si>
  <si>
    <t>2014.8.2</t>
    <phoneticPr fontId="11" type="noConversion"/>
  </si>
  <si>
    <t>2013.12.15</t>
    <phoneticPr fontId="11" type="noConversion"/>
  </si>
  <si>
    <t>模板挤伤</t>
    <phoneticPr fontId="11" type="noConversion"/>
  </si>
  <si>
    <t>2014.9.27</t>
    <phoneticPr fontId="11" type="noConversion"/>
  </si>
  <si>
    <t>2013.10.2</t>
    <phoneticPr fontId="11" type="noConversion"/>
  </si>
  <si>
    <t>物体挤伤</t>
    <phoneticPr fontId="11" type="noConversion"/>
  </si>
  <si>
    <t>2014.10.13</t>
    <phoneticPr fontId="11" type="noConversion"/>
  </si>
  <si>
    <t>2013.7.5</t>
    <phoneticPr fontId="11" type="noConversion"/>
  </si>
  <si>
    <t>2014.10.31</t>
    <phoneticPr fontId="11" type="noConversion"/>
  </si>
  <si>
    <t>2014.7.12</t>
    <phoneticPr fontId="11" type="noConversion"/>
  </si>
  <si>
    <t>物体坠落砸伤</t>
    <phoneticPr fontId="11" type="noConversion"/>
  </si>
  <si>
    <t>2015.2.10</t>
    <phoneticPr fontId="11" type="noConversion"/>
  </si>
  <si>
    <t>2013.6.6</t>
    <phoneticPr fontId="11" type="noConversion"/>
  </si>
  <si>
    <t>铜西隧道落石砸伤</t>
    <phoneticPr fontId="11" type="noConversion"/>
  </si>
  <si>
    <t>2015.2.16</t>
    <phoneticPr fontId="11" type="noConversion"/>
  </si>
  <si>
    <t>2013.6.15</t>
    <phoneticPr fontId="11" type="noConversion"/>
  </si>
  <si>
    <t>2013.8.30</t>
    <phoneticPr fontId="11" type="noConversion"/>
  </si>
  <si>
    <t>车辆侧翻腿部受伤</t>
    <phoneticPr fontId="11" type="noConversion"/>
  </si>
  <si>
    <t>2015.2.17</t>
    <phoneticPr fontId="11" type="noConversion"/>
  </si>
  <si>
    <t>2014.9.19</t>
    <phoneticPr fontId="11" type="noConversion"/>
  </si>
  <si>
    <t>铜西4墩搭设钢筋摔伤（孙龙）</t>
    <phoneticPr fontId="11" type="noConversion"/>
  </si>
  <si>
    <t>2015.4.27</t>
    <phoneticPr fontId="11" type="noConversion"/>
  </si>
  <si>
    <t>2014.11.7</t>
    <phoneticPr fontId="11" type="noConversion"/>
  </si>
  <si>
    <t>啄毛，脚底打滑，腹部受伤（薛建国）</t>
    <phoneticPr fontId="11" type="noConversion"/>
  </si>
  <si>
    <t>2015.4.24</t>
    <phoneticPr fontId="11" type="noConversion"/>
  </si>
  <si>
    <t>贵州沿德8标</t>
    <phoneticPr fontId="11" type="noConversion"/>
  </si>
  <si>
    <t>中国人民财产保险股份有限公司重庆市分公司</t>
    <phoneticPr fontId="11" type="noConversion"/>
  </si>
  <si>
    <t>永安财产保险股份有限公司</t>
    <phoneticPr fontId="11" type="noConversion"/>
  </si>
  <si>
    <t>2014.5.23</t>
    <phoneticPr fontId="11" type="noConversion"/>
  </si>
  <si>
    <t>暴雨导致边坡塌方，清土石方</t>
    <phoneticPr fontId="11" type="noConversion"/>
  </si>
  <si>
    <t>2015.1.14</t>
    <phoneticPr fontId="11" type="noConversion"/>
  </si>
  <si>
    <t>贵州</t>
    <phoneticPr fontId="11" type="noConversion"/>
  </si>
  <si>
    <t>2014.7.4</t>
    <phoneticPr fontId="11" type="noConversion"/>
  </si>
  <si>
    <t>暴雨导致财产损失</t>
    <phoneticPr fontId="11" type="noConversion"/>
  </si>
  <si>
    <t>2014.8.17</t>
    <phoneticPr fontId="11" type="noConversion"/>
  </si>
  <si>
    <t>2014.7.31</t>
    <phoneticPr fontId="11" type="noConversion"/>
  </si>
  <si>
    <t>工人左手拇指永久性缺失</t>
    <phoneticPr fontId="11" type="noConversion"/>
  </si>
  <si>
    <t>2014.12.20</t>
    <phoneticPr fontId="11" type="noConversion"/>
  </si>
  <si>
    <t>青海茶卡至格尔木2标</t>
    <phoneticPr fontId="11" type="noConversion"/>
  </si>
  <si>
    <t>太平洋</t>
    <phoneticPr fontId="1" type="noConversion"/>
  </si>
  <si>
    <t>青海</t>
    <phoneticPr fontId="1" type="noConversion"/>
  </si>
  <si>
    <t>青海川大5标</t>
    <phoneticPr fontId="11" type="noConversion"/>
  </si>
  <si>
    <t>云南嵩昆高速5标</t>
    <phoneticPr fontId="1" type="noConversion"/>
  </si>
  <si>
    <t>云南</t>
    <phoneticPr fontId="1" type="noConversion"/>
  </si>
  <si>
    <t>内蒙古张呼铁路二分部</t>
    <phoneticPr fontId="11" type="noConversion"/>
  </si>
  <si>
    <t>中国人民财产</t>
    <phoneticPr fontId="11" type="noConversion"/>
  </si>
  <si>
    <t>2014.08.28</t>
    <phoneticPr fontId="11" type="noConversion"/>
  </si>
  <si>
    <t>施工时造成拇指锯伤(王长）</t>
    <phoneticPr fontId="11" type="noConversion"/>
  </si>
  <si>
    <t>2014.10.16</t>
    <phoneticPr fontId="11" type="noConversion"/>
  </si>
  <si>
    <t>右跟骨粉碎性骨折、右眉弓处皮肤裂伤（黄国玉）</t>
    <phoneticPr fontId="11" type="noConversion"/>
  </si>
  <si>
    <t>正在办理</t>
    <phoneticPr fontId="11" type="noConversion"/>
  </si>
  <si>
    <t>2014.11.03</t>
    <phoneticPr fontId="11" type="noConversion"/>
  </si>
  <si>
    <t>涵洞施工中拆模板不慎将（董建军）右脚背骨头杂碎住院治疗</t>
    <phoneticPr fontId="11" type="noConversion"/>
  </si>
  <si>
    <t>2014.11.10</t>
    <phoneticPr fontId="11" type="noConversion"/>
  </si>
  <si>
    <t>绑扎钢筋时手指被砸断</t>
  </si>
  <si>
    <t>2015.01.10</t>
  </si>
  <si>
    <t xml:space="preserve"> </t>
    <phoneticPr fontId="1" type="noConversion"/>
  </si>
  <si>
    <t>中国人保</t>
    <phoneticPr fontId="11" type="noConversion"/>
  </si>
  <si>
    <t>中国人保</t>
    <phoneticPr fontId="1" type="noConversion"/>
  </si>
  <si>
    <t>中国人寿财产保险股份有限公司</t>
  </si>
  <si>
    <t>中国人寿保险股份有限公司</t>
  </si>
  <si>
    <t>中国人民财产保险股份有限公司</t>
    <phoneticPr fontId="11" type="noConversion"/>
  </si>
  <si>
    <t>湖北</t>
    <phoneticPr fontId="11" type="noConversion"/>
  </si>
  <si>
    <t>甘肃</t>
  </si>
  <si>
    <t>中国太平洋财产保险股份有限公司</t>
  </si>
  <si>
    <t>2014.11.25</t>
  </si>
  <si>
    <t>中国人寿</t>
  </si>
  <si>
    <t>幸福人寿</t>
  </si>
  <si>
    <t>公司</t>
    <phoneticPr fontId="1" type="noConversion"/>
  </si>
  <si>
    <t>一公司</t>
    <phoneticPr fontId="1" type="noConversion"/>
  </si>
  <si>
    <t>中国太保</t>
    <phoneticPr fontId="1" type="noConversion"/>
  </si>
  <si>
    <t>中国人寿</t>
    <phoneticPr fontId="1" type="noConversion"/>
  </si>
  <si>
    <t>2013.10.6</t>
    <phoneticPr fontId="1" type="noConversion"/>
  </si>
  <si>
    <t>2013.12.28</t>
    <phoneticPr fontId="1" type="noConversion"/>
  </si>
  <si>
    <t>浙江</t>
    <phoneticPr fontId="1" type="noConversion"/>
  </si>
  <si>
    <t>德商四标项目</t>
    <phoneticPr fontId="1" type="noConversion"/>
  </si>
  <si>
    <t>中国太平洋财产保险</t>
    <phoneticPr fontId="1" type="noConversion"/>
  </si>
  <si>
    <t>天安保险</t>
    <phoneticPr fontId="1" type="noConversion"/>
  </si>
  <si>
    <t>2014.7.14</t>
    <phoneticPr fontId="1" type="noConversion"/>
  </si>
  <si>
    <t>暴风事故刮倒四根绑扎好的墩柱钢筋笼</t>
    <phoneticPr fontId="1" type="noConversion"/>
  </si>
  <si>
    <t>2014.9.19</t>
    <phoneticPr fontId="1" type="noConversion"/>
  </si>
  <si>
    <t>山东</t>
    <phoneticPr fontId="1" type="noConversion"/>
  </si>
  <si>
    <t>中国人民财产保险股份有限公司浙江省分公司</t>
    <phoneticPr fontId="1" type="noConversion"/>
  </si>
  <si>
    <t>中国人寿保险股份有限公司杭州市分公司</t>
    <phoneticPr fontId="1" type="noConversion"/>
  </si>
  <si>
    <t>2014.10.25</t>
    <phoneticPr fontId="1" type="noConversion"/>
  </si>
  <si>
    <t>操作平台施工右脚趾受伤</t>
    <phoneticPr fontId="11" type="noConversion"/>
  </si>
  <si>
    <t>2014.11.05</t>
    <phoneticPr fontId="1" type="noConversion"/>
  </si>
  <si>
    <t>2014.11.18</t>
    <phoneticPr fontId="1" type="noConversion"/>
  </si>
  <si>
    <t>桩基施工时发生意外</t>
    <phoneticPr fontId="11" type="noConversion"/>
  </si>
  <si>
    <t>2014.11.30</t>
    <phoneticPr fontId="1" type="noConversion"/>
  </si>
  <si>
    <t>2014.12.14</t>
    <phoneticPr fontId="1" type="noConversion"/>
  </si>
  <si>
    <t>2014.12.30</t>
    <phoneticPr fontId="1" type="noConversion"/>
  </si>
  <si>
    <t>2015.1.26</t>
    <phoneticPr fontId="1" type="noConversion"/>
  </si>
  <si>
    <t>栈桥骑电瓶车摔伤</t>
    <phoneticPr fontId="11" type="noConversion"/>
  </si>
  <si>
    <t>2015.2.10</t>
    <phoneticPr fontId="1" type="noConversion"/>
  </si>
  <si>
    <t>2015.3.16</t>
    <phoneticPr fontId="1" type="noConversion"/>
  </si>
  <si>
    <t>腿部受伤</t>
    <phoneticPr fontId="11" type="noConversion"/>
  </si>
  <si>
    <t>2015.3.26</t>
    <phoneticPr fontId="1" type="noConversion"/>
  </si>
  <si>
    <t>左膝受伤</t>
    <phoneticPr fontId="11" type="noConversion"/>
  </si>
  <si>
    <t>2015.4.25</t>
    <phoneticPr fontId="1" type="noConversion"/>
  </si>
  <si>
    <t>2015.3.27</t>
  </si>
  <si>
    <t>右足骨折</t>
    <phoneticPr fontId="11" type="noConversion"/>
  </si>
  <si>
    <t>2015.4.29</t>
    <phoneticPr fontId="1" type="noConversion"/>
  </si>
  <si>
    <t>2015.4.3</t>
    <phoneticPr fontId="1" type="noConversion"/>
  </si>
  <si>
    <t>头部皮肤、肋骨骨折</t>
    <phoneticPr fontId="11" type="noConversion"/>
  </si>
  <si>
    <t>理赔中</t>
    <phoneticPr fontId="1" type="noConversion"/>
  </si>
  <si>
    <t>2015.5.9</t>
    <phoneticPr fontId="1" type="noConversion"/>
  </si>
  <si>
    <t>左外踝</t>
    <phoneticPr fontId="11" type="noConversion"/>
  </si>
  <si>
    <t>2015.5.17</t>
    <phoneticPr fontId="1" type="noConversion"/>
  </si>
  <si>
    <t>右手掌</t>
    <phoneticPr fontId="11" type="noConversion"/>
  </si>
  <si>
    <t>中国人寿财产保险股份有限公司</t>
    <phoneticPr fontId="1" type="noConversion"/>
  </si>
  <si>
    <t>中国太平洋财产保险股份有限公司赣州支公司</t>
    <phoneticPr fontId="1" type="noConversion"/>
  </si>
  <si>
    <t>2015.2.13</t>
    <phoneticPr fontId="1" type="noConversion"/>
  </si>
  <si>
    <t>十里源隧道出口彩钢板房意外电起火，火势迅速蔓延。烧毁彩钢板房一栋，面积约320平方米，烧毁各类生活办公设施及建材和机械。</t>
  </si>
  <si>
    <t>2015.6.5</t>
  </si>
  <si>
    <t>江西</t>
    <phoneticPr fontId="1" type="noConversion"/>
  </si>
  <si>
    <t>2015.4.4</t>
    <phoneticPr fontId="1" type="noConversion"/>
  </si>
  <si>
    <t>资溪县境内突发极端大风大雨天气，导致施工现场多处钢筋加工棚、标识牌、彩钢板房、围挡墙损坏。</t>
  </si>
  <si>
    <t>保险公司定损为16.6万元，低于免赔额21万元</t>
  </si>
  <si>
    <t>2015.5.2</t>
  </si>
  <si>
    <t>出现强雷暴、强降雨天气，导致多处出现滑坡、水淹</t>
  </si>
  <si>
    <t>江西</t>
  </si>
  <si>
    <t>2015.5.10</t>
  </si>
  <si>
    <t>资溪县境内强降雨，导致多处出现滑坡、水淹</t>
  </si>
  <si>
    <t>常嘉项目</t>
    <phoneticPr fontId="11" type="noConversion"/>
  </si>
  <si>
    <t>2013.10.20</t>
    <phoneticPr fontId="11" type="noConversion"/>
  </si>
  <si>
    <t>特大暴雨引发洪水致工程围堰决口，围堰内施工场地被淹受损。</t>
    <phoneticPr fontId="11" type="noConversion"/>
  </si>
  <si>
    <t>2013.12.13</t>
    <phoneticPr fontId="11" type="noConversion"/>
  </si>
  <si>
    <t>江苏</t>
    <phoneticPr fontId="1" type="noConversion"/>
  </si>
  <si>
    <t>2014.05.30</t>
    <phoneticPr fontId="11" type="noConversion"/>
  </si>
  <si>
    <t>桥梁钢筋笼倾斜导致工人受伤骨折</t>
    <phoneticPr fontId="11" type="noConversion"/>
  </si>
  <si>
    <t>2014.08.20</t>
    <phoneticPr fontId="11" type="noConversion"/>
  </si>
  <si>
    <t>2015.04.15</t>
    <phoneticPr fontId="11" type="noConversion"/>
  </si>
  <si>
    <t>2015.04.22</t>
    <phoneticPr fontId="11" type="noConversion"/>
  </si>
  <si>
    <t>湖北麻竹4标4分部2工区</t>
    <phoneticPr fontId="11" type="noConversion"/>
  </si>
  <si>
    <t>共同保险人（中国太平洋为首席保险人）</t>
  </si>
  <si>
    <t>共同保险人（中国人保为首席保险人）</t>
  </si>
  <si>
    <t>2013.11.4</t>
    <phoneticPr fontId="11" type="noConversion"/>
  </si>
  <si>
    <t>2013年11月3日14时，桩基二队钻机操作工李永良（身份证号码：612429197512214638）在工地工作时，因冲击钻故障，导致左大腿挫伤。事故发生后当即被送往保康县人民医院住院治疗，入院诊断为左大腿中上段外侧皮肤挫裂伤。</t>
  </si>
  <si>
    <t>2014.5.14</t>
    <phoneticPr fontId="11" type="noConversion"/>
  </si>
  <si>
    <t>2013.12.17</t>
  </si>
  <si>
    <t>2013年12月17日16时，桥梁一队砼工李付荣（身份证号码：412823197302052454）在工地进行边坡施工工作时摔伤。事故发生后当即被送往保康县中医院住院治疗，入院诊断为右腿腓骨骨折。</t>
  </si>
  <si>
    <t>2014.8.19</t>
    <phoneticPr fontId="11" type="noConversion"/>
  </si>
  <si>
    <t>2014.4.12</t>
    <phoneticPr fontId="11" type="noConversion"/>
  </si>
  <si>
    <t>2014年4月12日上午10点30分，黄江起在罗家湾4#大桥左幅7#桥台支肋板模板时失足摔下，事故发生后立即送往保康县中医院就诊，初步诊断为腰椎裂缝。</t>
  </si>
  <si>
    <t>2015.2.28</t>
    <phoneticPr fontId="11" type="noConversion"/>
  </si>
  <si>
    <t>2014.3.19</t>
    <phoneticPr fontId="11" type="noConversion"/>
  </si>
  <si>
    <t>2014年3月19日晚19点30分，徐斗斌在蒋峪2#大桥准备灌桩时因装卸导管意外砸伤左手中指，事故发生后送往保康县人民医院就诊并于3月19日晚23时做了截指手术。</t>
  </si>
  <si>
    <t>2014.3.25</t>
    <phoneticPr fontId="11" type="noConversion"/>
  </si>
  <si>
    <t>2014年3月25日晚23点30分，曾高兵在蒋口河道对岸打桩时看到电箱发出火花，关电闸时电柜的电弧光烧伤脸部及双手。事故发生后经医生检查转往十堰市人民医院整形美容烧伤外科就诊。</t>
  </si>
  <si>
    <t>2014.9.10</t>
    <phoneticPr fontId="11" type="noConversion"/>
  </si>
  <si>
    <t>2014.5.28</t>
    <phoneticPr fontId="11" type="noConversion"/>
  </si>
  <si>
    <t>2015.2.26</t>
    <phoneticPr fontId="11" type="noConversion"/>
  </si>
  <si>
    <t>2014.6.7</t>
    <phoneticPr fontId="11" type="noConversion"/>
  </si>
  <si>
    <t>2014.6.19</t>
    <phoneticPr fontId="11" type="noConversion"/>
  </si>
  <si>
    <t>2014年6月19号下午14时30分，曾长青在进行钢便桥物资工字钢破捆作业时，不慎被散落开的工字钢砸到腿部，造成小腿骨折、大腿震裂</t>
  </si>
  <si>
    <t>2014.10.15</t>
    <phoneticPr fontId="11" type="noConversion"/>
  </si>
  <si>
    <t>2014.6.28</t>
    <phoneticPr fontId="11" type="noConversion"/>
  </si>
  <si>
    <t>2014.7.10</t>
    <phoneticPr fontId="11" type="noConversion"/>
  </si>
  <si>
    <t>2014年7月10日下午18时王智慧在7#梁场绑扎T梁钢筋时被钢筋绊倒。地上的扎丝扎入左眼，造成左眼玻璃体脱落。</t>
  </si>
  <si>
    <t>2014.7.22</t>
    <phoneticPr fontId="11" type="noConversion"/>
  </si>
  <si>
    <t>2014.9.11</t>
  </si>
  <si>
    <t>栗杨，改高压线身亡</t>
    <phoneticPr fontId="1" type="noConversion"/>
  </si>
  <si>
    <t>2015.5.19</t>
    <phoneticPr fontId="1" type="noConversion"/>
  </si>
  <si>
    <t>2014.10.19</t>
  </si>
  <si>
    <t>王晓燕被钢筋砸伤，双腿骨折</t>
    <phoneticPr fontId="1" type="noConversion"/>
  </si>
  <si>
    <t>未赔</t>
    <phoneticPr fontId="1" type="noConversion"/>
  </si>
  <si>
    <t>2014.3.20</t>
    <phoneticPr fontId="11" type="noConversion"/>
  </si>
  <si>
    <t>2014年3月20日开始对K111+000段进行改路施工。3月23日，在K111+093处因地质原因，导致边坡滑坡，同时危及麻竹高速专线10KV电线杆（一根）。电线杆根部土质疏松，需要改迁，大量山体滑坡泥石需要清理，后续整治方案正在拟定中。目前与业主、监理进行协商中。</t>
  </si>
  <si>
    <t>2014.11.17</t>
    <phoneticPr fontId="11" type="noConversion"/>
  </si>
  <si>
    <t>2014年11月17日桥梁二队在运梁时架桥机侧翻，车上的一片T梁摔落砸坏另一片梁并造成自身缺失，同时使其他架好的4片梁移位。</t>
  </si>
  <si>
    <t>2015.6.23</t>
    <phoneticPr fontId="11" type="noConversion"/>
  </si>
  <si>
    <t>中国人民财产保险</t>
    <phoneticPr fontId="1" type="noConversion"/>
  </si>
  <si>
    <t>2013.7.6</t>
    <phoneticPr fontId="1" type="noConversion"/>
  </si>
  <si>
    <t>台风损失</t>
    <phoneticPr fontId="1" type="noConversion"/>
  </si>
  <si>
    <t>2014.1.20</t>
    <phoneticPr fontId="1" type="noConversion"/>
  </si>
  <si>
    <t>2014.2.5</t>
    <phoneticPr fontId="1" type="noConversion"/>
  </si>
  <si>
    <t>变压器丢失</t>
    <phoneticPr fontId="1" type="noConversion"/>
  </si>
  <si>
    <t>2014.8.1</t>
    <phoneticPr fontId="1" type="noConversion"/>
  </si>
  <si>
    <t>2014.10.2</t>
    <phoneticPr fontId="1" type="noConversion"/>
  </si>
  <si>
    <t>人员施工时受伤</t>
    <phoneticPr fontId="1" type="noConversion"/>
  </si>
  <si>
    <t>2014.11.7</t>
    <phoneticPr fontId="1" type="noConversion"/>
  </si>
  <si>
    <t>2014.10.15</t>
    <phoneticPr fontId="1" type="noConversion"/>
  </si>
  <si>
    <t>2014.11.21</t>
    <phoneticPr fontId="1" type="noConversion"/>
  </si>
  <si>
    <t>2014.12.1</t>
    <phoneticPr fontId="1" type="noConversion"/>
  </si>
  <si>
    <t>2015.1.7</t>
    <phoneticPr fontId="1" type="noConversion"/>
  </si>
  <si>
    <t>2014.12.5</t>
    <phoneticPr fontId="1" type="noConversion"/>
  </si>
  <si>
    <t>2015.1.13</t>
    <phoneticPr fontId="1" type="noConversion"/>
  </si>
  <si>
    <t>中国平安</t>
    <phoneticPr fontId="1" type="noConversion"/>
  </si>
  <si>
    <t>2014.6.20</t>
    <phoneticPr fontId="1" type="noConversion"/>
  </si>
  <si>
    <t>因连续暴雨冲刷，导致山体滑坡，造成路基边坡塌方</t>
    <phoneticPr fontId="1" type="noConversion"/>
  </si>
  <si>
    <t>2014.7.23</t>
    <phoneticPr fontId="1" type="noConversion"/>
  </si>
  <si>
    <t>中国人民财产保险股份有限公司重庆分公司</t>
    <phoneticPr fontId="1" type="noConversion"/>
  </si>
  <si>
    <t>永安财险重庆分公司</t>
    <phoneticPr fontId="1" type="noConversion"/>
  </si>
  <si>
    <t>2014.5.23</t>
    <phoneticPr fontId="1" type="noConversion"/>
  </si>
  <si>
    <t>暴雨工地受损</t>
    <phoneticPr fontId="1" type="noConversion"/>
  </si>
  <si>
    <t>2014.11.17</t>
    <phoneticPr fontId="1" type="noConversion"/>
  </si>
  <si>
    <t>贵州</t>
    <phoneticPr fontId="1" type="noConversion"/>
  </si>
  <si>
    <t>2014.7.3</t>
    <phoneticPr fontId="1" type="noConversion"/>
  </si>
  <si>
    <t>2014.3.3</t>
  </si>
  <si>
    <t>抬空压机被压伤</t>
  </si>
  <si>
    <t>2014.5.16</t>
  </si>
  <si>
    <t>从挖孔桩孔口掉落</t>
  </si>
  <si>
    <t>2014.6.23</t>
  </si>
  <si>
    <t>人工山坡危石排险时不小心滚落</t>
  </si>
  <si>
    <t>2014.7.21</t>
  </si>
  <si>
    <t>放炮飞石砸伤背部</t>
  </si>
  <si>
    <t>2014.10.23</t>
  </si>
  <si>
    <t>隧道开挖放炮飞石反弹击中头部</t>
  </si>
  <si>
    <t>洞头项目</t>
    <phoneticPr fontId="1" type="noConversion"/>
  </si>
  <si>
    <t>太平洋保险</t>
    <phoneticPr fontId="1" type="noConversion"/>
  </si>
  <si>
    <t>2013.3.12</t>
    <phoneticPr fontId="11" type="noConversion"/>
  </si>
  <si>
    <t>高空坠物轧伤头部</t>
    <phoneticPr fontId="1" type="noConversion"/>
  </si>
  <si>
    <t>2013.7.15</t>
    <phoneticPr fontId="11" type="noConversion"/>
  </si>
  <si>
    <t>2013.4.15</t>
    <phoneticPr fontId="11" type="noConversion"/>
  </si>
  <si>
    <t>手部受伤</t>
    <phoneticPr fontId="1" type="noConversion"/>
  </si>
  <si>
    <t>2013.7.16</t>
  </si>
  <si>
    <t>2013.5.08</t>
    <phoneticPr fontId="11" type="noConversion"/>
  </si>
  <si>
    <t>2013.3.28</t>
    <phoneticPr fontId="11" type="noConversion"/>
  </si>
  <si>
    <t>脚受伤</t>
    <phoneticPr fontId="1" type="noConversion"/>
  </si>
  <si>
    <t>2013.8.05</t>
    <phoneticPr fontId="11" type="noConversion"/>
  </si>
  <si>
    <t>2013.4.20</t>
    <phoneticPr fontId="11" type="noConversion"/>
  </si>
  <si>
    <t>2013.8.06</t>
  </si>
  <si>
    <t>2013.7.29</t>
    <phoneticPr fontId="11" type="noConversion"/>
  </si>
  <si>
    <t>47#墩身钢筋施工10米高空坠落，腿摔断</t>
    <phoneticPr fontId="1" type="noConversion"/>
  </si>
  <si>
    <t>2013.8.15</t>
    <phoneticPr fontId="11" type="noConversion"/>
  </si>
  <si>
    <t>2013.6.11</t>
    <phoneticPr fontId="11" type="noConversion"/>
  </si>
  <si>
    <t>浮吊抛锚钢丝蝇打在腿上，神经受伤高位截肢</t>
    <phoneticPr fontId="1" type="noConversion"/>
  </si>
  <si>
    <t>2013.8.20</t>
    <phoneticPr fontId="11" type="noConversion"/>
  </si>
  <si>
    <t>2013.11.24</t>
    <phoneticPr fontId="11" type="noConversion"/>
  </si>
  <si>
    <t>手指受伤</t>
    <phoneticPr fontId="1" type="noConversion"/>
  </si>
  <si>
    <t>2013.12.14</t>
    <phoneticPr fontId="11" type="noConversion"/>
  </si>
  <si>
    <t>腿受伤</t>
    <phoneticPr fontId="1" type="noConversion"/>
  </si>
  <si>
    <t>2014.9.15</t>
    <phoneticPr fontId="11" type="noConversion"/>
  </si>
  <si>
    <t>2014.2.20</t>
    <phoneticPr fontId="11" type="noConversion"/>
  </si>
  <si>
    <t>手受伤</t>
    <phoneticPr fontId="1" type="noConversion"/>
  </si>
  <si>
    <t>2014.6.12</t>
    <phoneticPr fontId="11" type="noConversion"/>
  </si>
  <si>
    <t>2014.4.3</t>
    <phoneticPr fontId="11" type="noConversion"/>
  </si>
  <si>
    <t>面部烧伤</t>
    <phoneticPr fontId="1" type="noConversion"/>
  </si>
  <si>
    <t>2014.04.11</t>
    <phoneticPr fontId="11" type="noConversion"/>
  </si>
  <si>
    <t>高空坠落手指受伤</t>
    <phoneticPr fontId="1" type="noConversion"/>
  </si>
  <si>
    <t>2012.11.15</t>
  </si>
  <si>
    <t>外来船舶碰撞作业平台</t>
  </si>
  <si>
    <t>2013.10.15</t>
  </si>
  <si>
    <t>2013.11.30</t>
  </si>
  <si>
    <t>船舶碰撞事故（栈桥）</t>
  </si>
  <si>
    <t>2014.12.27</t>
    <phoneticPr fontId="1" type="noConversion"/>
  </si>
  <si>
    <t>2013.10.6</t>
  </si>
  <si>
    <t>2014.06.18</t>
  </si>
  <si>
    <t>贵州沿德9标</t>
    <phoneticPr fontId="1" type="noConversion"/>
  </si>
  <si>
    <t>2014.3.27</t>
    <phoneticPr fontId="1" type="noConversion"/>
  </si>
  <si>
    <t>落石砸伤手指</t>
    <phoneticPr fontId="1" type="noConversion"/>
  </si>
  <si>
    <t>2014.6.3</t>
    <phoneticPr fontId="1" type="noConversion"/>
  </si>
  <si>
    <t>砸伤脚腕</t>
    <phoneticPr fontId="1" type="noConversion"/>
  </si>
  <si>
    <t>龙湾项目</t>
    <phoneticPr fontId="1" type="noConversion"/>
  </si>
  <si>
    <t>中国人寿财产保险股份有限公司\华安财产保险股份有限公司</t>
    <phoneticPr fontId="1" type="noConversion"/>
  </si>
  <si>
    <t>119.102\102.9967</t>
    <phoneticPr fontId="1" type="noConversion"/>
  </si>
  <si>
    <t>51.3301\47.7237</t>
    <phoneticPr fontId="1" type="noConversion"/>
  </si>
  <si>
    <t>2015.2.1</t>
    <phoneticPr fontId="1" type="noConversion"/>
  </si>
  <si>
    <t>坠落物砸车</t>
    <phoneticPr fontId="1" type="noConversion"/>
  </si>
  <si>
    <t>2015.1.6</t>
    <phoneticPr fontId="1" type="noConversion"/>
  </si>
  <si>
    <t>2015.6.3</t>
    <phoneticPr fontId="1" type="noConversion"/>
  </si>
  <si>
    <t>2014.11.9</t>
    <phoneticPr fontId="1" type="noConversion"/>
  </si>
  <si>
    <t>左小指钢板夹伤，中指滑车粉碎性骨折，伸肌腱止点处断裂，桡侧指动脉断裂</t>
    <phoneticPr fontId="1" type="noConversion"/>
  </si>
  <si>
    <t>2014.11.20</t>
    <phoneticPr fontId="1" type="noConversion"/>
  </si>
  <si>
    <t>2014.11.27</t>
    <phoneticPr fontId="1" type="noConversion"/>
  </si>
  <si>
    <t>右中指、环指末节指骨骨折</t>
    <phoneticPr fontId="1" type="noConversion"/>
  </si>
  <si>
    <t>2014.12.15</t>
    <phoneticPr fontId="1" type="noConversion"/>
  </si>
  <si>
    <t>2014.11.13</t>
    <phoneticPr fontId="1" type="noConversion"/>
  </si>
  <si>
    <t>左脚第五跖骨骨折</t>
    <phoneticPr fontId="1" type="noConversion"/>
  </si>
  <si>
    <t>2015.1.30</t>
    <phoneticPr fontId="1" type="noConversion"/>
  </si>
  <si>
    <t>左足多发趾骨开放性骨折，右足第三跖骨头骨折</t>
    <phoneticPr fontId="1" type="noConversion"/>
  </si>
  <si>
    <t>江西萍洪项目</t>
    <phoneticPr fontId="1" type="noConversion"/>
  </si>
  <si>
    <t>中国太平洋</t>
    <phoneticPr fontId="1" type="noConversion"/>
  </si>
  <si>
    <t>2014.5.22</t>
    <phoneticPr fontId="1" type="noConversion"/>
  </si>
  <si>
    <t>路基冲刷、垮塌</t>
    <phoneticPr fontId="1" type="noConversion"/>
  </si>
  <si>
    <t>2015.3.22</t>
    <phoneticPr fontId="1" type="noConversion"/>
  </si>
  <si>
    <t>2015.6.1</t>
    <phoneticPr fontId="1" type="noConversion"/>
  </si>
  <si>
    <t>二公司</t>
    <phoneticPr fontId="1" type="noConversion"/>
  </si>
  <si>
    <t>渝万铁路项目</t>
    <phoneticPr fontId="11" type="noConversion"/>
  </si>
  <si>
    <t>中国太平洋财产保险股份有限公司重庆分公司</t>
    <phoneticPr fontId="11" type="noConversion"/>
  </si>
  <si>
    <t>西宁南绕城公路土建工程5标</t>
    <phoneticPr fontId="11" type="noConversion"/>
  </si>
  <si>
    <t>中国平安</t>
    <phoneticPr fontId="11" type="noConversion"/>
  </si>
  <si>
    <t>在凤凰山1号隧道洞口搬运钢筋时，钢筋滑落砸中左腿。</t>
    <phoneticPr fontId="11" type="noConversion"/>
  </si>
  <si>
    <t>2013.4.12</t>
    <phoneticPr fontId="11" type="noConversion"/>
  </si>
  <si>
    <t>青海</t>
    <phoneticPr fontId="11" type="noConversion"/>
  </si>
  <si>
    <t>西宁南绕城公路土建工程6标</t>
    <phoneticPr fontId="11" type="noConversion"/>
  </si>
  <si>
    <t>中国平安保险和中国人财组成联合体</t>
    <phoneticPr fontId="11" type="noConversion"/>
  </si>
  <si>
    <t>2013.1.15</t>
    <phoneticPr fontId="11" type="noConversion"/>
  </si>
  <si>
    <t>隧道施工过程中洞项上方土石块掉落砸伤右手臂，骨折。</t>
    <phoneticPr fontId="11" type="noConversion"/>
  </si>
  <si>
    <t>重庆市万达二标段项目</t>
  </si>
  <si>
    <t>中国人民财产保险股份有限公司</t>
    <phoneticPr fontId="1" type="noConversion"/>
  </si>
  <si>
    <t>中国人寿保险股份有限公司</t>
    <phoneticPr fontId="1" type="noConversion"/>
  </si>
  <si>
    <t>2013.5.2</t>
    <phoneticPr fontId="11" type="noConversion"/>
  </si>
  <si>
    <t>暴雨影响，导致边坡塌方</t>
    <phoneticPr fontId="11" type="noConversion"/>
  </si>
  <si>
    <t>2013.5.25</t>
    <phoneticPr fontId="11" type="noConversion"/>
  </si>
  <si>
    <t>2015.01.20</t>
    <phoneticPr fontId="11" type="noConversion"/>
  </si>
  <si>
    <t>2013.6.7</t>
    <phoneticPr fontId="11" type="noConversion"/>
  </si>
  <si>
    <t>路基左幅爆破施工，导致右幅塌方</t>
    <phoneticPr fontId="11" type="noConversion"/>
  </si>
  <si>
    <t>湖南省龙永20标项目</t>
    <phoneticPr fontId="11" type="noConversion"/>
  </si>
  <si>
    <t>中华联合（湖南省交通运输高速公路道路施工企业）</t>
    <phoneticPr fontId="11" type="noConversion"/>
  </si>
  <si>
    <t>2014.6.20</t>
    <phoneticPr fontId="11" type="noConversion"/>
  </si>
  <si>
    <t>工地意外事故导致工地财产损失</t>
    <phoneticPr fontId="11" type="noConversion"/>
  </si>
  <si>
    <t>2014.08.25</t>
    <phoneticPr fontId="11" type="noConversion"/>
  </si>
  <si>
    <t>湖南</t>
    <phoneticPr fontId="11" type="noConversion"/>
  </si>
  <si>
    <t>2014.07.13</t>
    <phoneticPr fontId="11" type="noConversion"/>
  </si>
  <si>
    <t>因连续几天暴雨导致路基边坡防护塌方</t>
    <phoneticPr fontId="11" type="noConversion"/>
  </si>
  <si>
    <t>2014.11.8</t>
    <phoneticPr fontId="11" type="noConversion"/>
  </si>
  <si>
    <t>2014.08.18</t>
    <phoneticPr fontId="11" type="noConversion"/>
  </si>
  <si>
    <t>因连续几天暴雨导致工地财产损失</t>
    <phoneticPr fontId="11" type="noConversion"/>
  </si>
  <si>
    <t>萍乡至洪口界高速公路A标项目</t>
  </si>
  <si>
    <t>民太安财产保险公估有限公司江西分公司</t>
  </si>
  <si>
    <t>2013.03.05</t>
    <phoneticPr fontId="11" type="noConversion"/>
  </si>
  <si>
    <t>暴雨冲刷，路基边坡及排水防护工程受损</t>
    <phoneticPr fontId="1" type="noConversion"/>
  </si>
  <si>
    <t>江西</t>
    <phoneticPr fontId="11" type="noConversion"/>
  </si>
  <si>
    <t>2013.05.05</t>
    <phoneticPr fontId="11" type="noConversion"/>
  </si>
  <si>
    <t>2013.05.21</t>
    <phoneticPr fontId="11" type="noConversion"/>
  </si>
  <si>
    <t>2013.07.17</t>
    <phoneticPr fontId="11" type="noConversion"/>
  </si>
  <si>
    <t>登汝高速五标项目</t>
    <phoneticPr fontId="11" type="noConversion"/>
  </si>
  <si>
    <t>2014.09.15</t>
    <phoneticPr fontId="1" type="noConversion"/>
  </si>
  <si>
    <t>汝河特大桥由于上游水库放水未及时通知下游我方施工单位，导致我方大量路基灰土被冲走，造成损失</t>
    <phoneticPr fontId="1" type="noConversion"/>
  </si>
  <si>
    <t>正在调查</t>
    <phoneticPr fontId="1" type="noConversion"/>
  </si>
  <si>
    <t>河南</t>
    <phoneticPr fontId="11" type="noConversion"/>
  </si>
  <si>
    <t>中国人保财险</t>
  </si>
  <si>
    <t>青海省花久项目DJ23标</t>
    <phoneticPr fontId="11" type="noConversion"/>
  </si>
  <si>
    <t>2014.7.19</t>
    <phoneticPr fontId="1" type="noConversion"/>
  </si>
  <si>
    <t>荣乌高速公路LJSG-19标</t>
    <phoneticPr fontId="11" type="noConversion"/>
  </si>
  <si>
    <t>河北</t>
    <phoneticPr fontId="11" type="noConversion"/>
  </si>
  <si>
    <t>驸马桥项目</t>
    <phoneticPr fontId="11" type="noConversion"/>
  </si>
  <si>
    <t>人财保险</t>
    <phoneticPr fontId="1" type="noConversion"/>
  </si>
  <si>
    <t>含在一切险中</t>
    <phoneticPr fontId="1" type="noConversion"/>
  </si>
  <si>
    <t>人寿保险</t>
    <phoneticPr fontId="1" type="noConversion"/>
  </si>
  <si>
    <t>重庆市轨道交通六号线二期北段BT三标项目</t>
    <phoneticPr fontId="11" type="noConversion"/>
  </si>
  <si>
    <t>中新大东方人寿保险</t>
    <phoneticPr fontId="1" type="noConversion"/>
  </si>
  <si>
    <t>2012.3.14</t>
    <phoneticPr fontId="1" type="noConversion"/>
  </si>
  <si>
    <t>施工过程中因断面滑石造成身体多处受伤</t>
    <phoneticPr fontId="1" type="noConversion"/>
  </si>
  <si>
    <t>2012.6.20</t>
    <phoneticPr fontId="1" type="noConversion"/>
  </si>
  <si>
    <t>中国人寿保险</t>
    <phoneticPr fontId="1" type="noConversion"/>
  </si>
  <si>
    <t>2012.8.31</t>
    <phoneticPr fontId="1" type="noConversion"/>
  </si>
  <si>
    <t>切割钢筋过程中右手拇指断裂</t>
    <phoneticPr fontId="1" type="noConversion"/>
  </si>
  <si>
    <t>2012.12.25</t>
    <phoneticPr fontId="1" type="noConversion"/>
  </si>
  <si>
    <t>太原市汾东商务区人民路工程项目</t>
  </si>
  <si>
    <t>山西</t>
    <phoneticPr fontId="11" type="noConversion"/>
  </si>
  <si>
    <t>重庆轨道交通环线高家花园大桥</t>
    <phoneticPr fontId="11" type="noConversion"/>
  </si>
  <si>
    <t>中国人寿保险</t>
    <phoneticPr fontId="11" type="noConversion"/>
  </si>
  <si>
    <t>重庆轨道交通环线上桥车站、凤鸣山车站及区间隧道工程项目</t>
    <phoneticPr fontId="11" type="noConversion"/>
  </si>
  <si>
    <t>太原市南沙河快速化改造施工1标项目</t>
    <phoneticPr fontId="11" type="noConversion"/>
  </si>
  <si>
    <t>大同市文瀛路雨润路项目</t>
    <phoneticPr fontId="11" type="noConversion"/>
  </si>
  <si>
    <t>太平财务保险有限公司大同中心支公司</t>
    <phoneticPr fontId="1" type="noConversion"/>
  </si>
  <si>
    <t>大同市开源桥项目</t>
    <phoneticPr fontId="11" type="noConversion"/>
  </si>
  <si>
    <t>中兴路北延跨秦淮新河大桥工程一标段项目</t>
  </si>
  <si>
    <t>宜昌项目</t>
    <phoneticPr fontId="11" type="noConversion"/>
  </si>
  <si>
    <t>安徽308省道</t>
  </si>
  <si>
    <t>2014.9-10</t>
  </si>
  <si>
    <t>连续下雨，路基泡水</t>
  </si>
  <si>
    <t>2014.10.28</t>
  </si>
  <si>
    <t>安徽</t>
  </si>
  <si>
    <t>毕都29标</t>
    <phoneticPr fontId="1" type="noConversion"/>
  </si>
  <si>
    <t>无</t>
  </si>
  <si>
    <t>中国人民财产保险股份有限公司</t>
  </si>
  <si>
    <t>中国人民人寿保险股份有限公司</t>
  </si>
  <si>
    <t>毕生交安项目</t>
    <phoneticPr fontId="1" type="noConversion"/>
  </si>
  <si>
    <t>太平财产保险有限公司六盘水中心支公司</t>
  </si>
  <si>
    <t>平安养老保险股份有限公司</t>
  </si>
  <si>
    <t>贵州</t>
  </si>
  <si>
    <t>涪江五桥</t>
    <phoneticPr fontId="1" type="noConversion"/>
  </si>
  <si>
    <t>天安财产保险</t>
  </si>
  <si>
    <t>2014.12.27</t>
  </si>
  <si>
    <t>右手中指粉碎性骨折以及右手中指伸肌腱断裂、右手食指无名指皮肤挫裂伤</t>
  </si>
  <si>
    <t>2015.3.3</t>
  </si>
  <si>
    <t>四川</t>
  </si>
  <si>
    <t>2014.12.29</t>
  </si>
  <si>
    <t>被高空滑落的材料小钢板砸中其脑部，安全帽有个洞口，诊断为皮外伤</t>
  </si>
  <si>
    <t>崇靖四分部</t>
    <phoneticPr fontId="11" type="noConversion"/>
  </si>
  <si>
    <t>太平洋保险</t>
  </si>
  <si>
    <t>英大泰和财产保险公司</t>
    <phoneticPr fontId="11" type="noConversion"/>
  </si>
  <si>
    <t>二衬施工时，从台车上坠落</t>
    <phoneticPr fontId="11" type="noConversion"/>
  </si>
  <si>
    <t>2013.11.20</t>
    <phoneticPr fontId="11" type="noConversion"/>
  </si>
  <si>
    <t>广西</t>
  </si>
  <si>
    <t>2013.10.8</t>
    <phoneticPr fontId="11" type="noConversion"/>
  </si>
  <si>
    <t>隧道喷浆时，顶部石头砸伤</t>
    <phoneticPr fontId="11" type="noConversion"/>
  </si>
  <si>
    <t>2013.10.10</t>
    <phoneticPr fontId="11" type="noConversion"/>
  </si>
  <si>
    <t>台车上钢筋网片砸伤</t>
    <phoneticPr fontId="11" type="noConversion"/>
  </si>
  <si>
    <t>2013.10.29</t>
    <phoneticPr fontId="11" type="noConversion"/>
  </si>
  <si>
    <t>电锯锯木头时右手中指肌腱断裂</t>
    <phoneticPr fontId="11" type="noConversion"/>
  </si>
  <si>
    <t>2013.11.8</t>
    <phoneticPr fontId="11" type="noConversion"/>
  </si>
  <si>
    <t>隧道消防预留洞安装模板坠落造脑震荡</t>
    <phoneticPr fontId="11" type="noConversion"/>
  </si>
  <si>
    <t>2014.4.6</t>
    <phoneticPr fontId="11" type="noConversion"/>
  </si>
  <si>
    <t>涵洞施工中从台帽抬木箱时上摔落</t>
    <phoneticPr fontId="11" type="noConversion"/>
  </si>
  <si>
    <t>2014.12.28</t>
    <phoneticPr fontId="11" type="noConversion"/>
  </si>
  <si>
    <t>2014.6.22</t>
    <phoneticPr fontId="11" type="noConversion"/>
  </si>
  <si>
    <t>钻机夹伤右中指末节骨远端开放性骨折并缺损</t>
    <phoneticPr fontId="11" type="noConversion"/>
  </si>
  <si>
    <t>2014.7.26</t>
    <phoneticPr fontId="11" type="noConversion"/>
  </si>
  <si>
    <t>在立架过程中，被石头砸中头部。</t>
    <phoneticPr fontId="11" type="noConversion"/>
  </si>
  <si>
    <t>2014.6.13</t>
    <phoneticPr fontId="11" type="noConversion"/>
  </si>
  <si>
    <t>从喷浆台车坠落</t>
    <phoneticPr fontId="11" type="noConversion"/>
  </si>
  <si>
    <t>2014.9.30</t>
    <phoneticPr fontId="11" type="noConversion"/>
  </si>
  <si>
    <t>施工时石头砸伤左足背</t>
    <phoneticPr fontId="11" type="noConversion"/>
  </si>
  <si>
    <t>2014.10.30</t>
    <phoneticPr fontId="11" type="noConversion"/>
  </si>
  <si>
    <t>二衬施工时被重物砸伤右足第1、2趾骨骨折</t>
    <phoneticPr fontId="11" type="noConversion"/>
  </si>
  <si>
    <t>隆昌隧道左右洞涌水</t>
    <phoneticPr fontId="11" type="noConversion"/>
  </si>
  <si>
    <t>2014.11.9</t>
    <phoneticPr fontId="11" type="noConversion"/>
  </si>
  <si>
    <t>2013.11.11</t>
    <phoneticPr fontId="11" type="noConversion"/>
  </si>
  <si>
    <t>龙那1#隧道突泥</t>
    <phoneticPr fontId="11" type="noConversion"/>
  </si>
  <si>
    <t>2015.1.19</t>
    <phoneticPr fontId="11" type="noConversion"/>
  </si>
  <si>
    <t>布亮隧道右洞塌方</t>
    <phoneticPr fontId="11" type="noConversion"/>
  </si>
  <si>
    <t>2013.12.16</t>
    <phoneticPr fontId="11" type="noConversion"/>
  </si>
  <si>
    <t>那岭隧道左洞塌方</t>
    <phoneticPr fontId="11" type="noConversion"/>
  </si>
  <si>
    <r>
      <rPr>
        <sz val="10"/>
        <rFont val="宋体"/>
        <family val="3"/>
        <charset val="134"/>
      </rPr>
      <t>贵州凯羊</t>
    </r>
    <r>
      <rPr>
        <sz val="10"/>
        <rFont val="Times New Roman"/>
        <family val="1"/>
      </rPr>
      <t>5</t>
    </r>
    <r>
      <rPr>
        <sz val="10"/>
        <rFont val="宋体"/>
        <family val="3"/>
        <charset val="134"/>
      </rPr>
      <t>标</t>
    </r>
    <phoneticPr fontId="1" type="noConversion"/>
  </si>
  <si>
    <t>太平洋保险公司</t>
    <phoneticPr fontId="1" type="noConversion"/>
  </si>
  <si>
    <t>2013.5.8</t>
    <phoneticPr fontId="1" type="noConversion"/>
  </si>
  <si>
    <t>突降暴雨，造成水毁</t>
    <phoneticPr fontId="1" type="noConversion"/>
  </si>
  <si>
    <t>还未赔付</t>
    <phoneticPr fontId="1" type="noConversion"/>
  </si>
  <si>
    <t>2015.6.19</t>
    <phoneticPr fontId="1" type="noConversion"/>
  </si>
  <si>
    <t>兰渝铁路LYS-12标一分部</t>
    <phoneticPr fontId="1" type="noConversion"/>
  </si>
  <si>
    <t>平安保险</t>
    <phoneticPr fontId="1" type="noConversion"/>
  </si>
  <si>
    <t>2010.7.14</t>
    <phoneticPr fontId="1" type="noConversion"/>
  </si>
  <si>
    <t>洪水损毁</t>
    <phoneticPr fontId="1" type="noConversion"/>
  </si>
  <si>
    <t>2011.2.1</t>
    <phoneticPr fontId="1" type="noConversion"/>
  </si>
  <si>
    <t>四川</t>
    <phoneticPr fontId="1" type="noConversion"/>
  </si>
  <si>
    <t>2010.7.24</t>
    <phoneticPr fontId="1" type="noConversion"/>
  </si>
  <si>
    <t>2011.12.31</t>
    <phoneticPr fontId="1" type="noConversion"/>
  </si>
  <si>
    <t>2011.7.8</t>
    <phoneticPr fontId="1" type="noConversion"/>
  </si>
  <si>
    <t>2012.9.14</t>
    <phoneticPr fontId="1" type="noConversion"/>
  </si>
  <si>
    <t>2011.9.19</t>
    <phoneticPr fontId="1" type="noConversion"/>
  </si>
  <si>
    <t>2012.11.26</t>
    <phoneticPr fontId="1" type="noConversion"/>
  </si>
  <si>
    <t>2012.7.4</t>
    <phoneticPr fontId="1" type="noConversion"/>
  </si>
  <si>
    <t>2014.10.14</t>
    <phoneticPr fontId="1" type="noConversion"/>
  </si>
  <si>
    <t>2010.10.13</t>
    <phoneticPr fontId="1" type="noConversion"/>
  </si>
  <si>
    <t>意外受伤</t>
    <phoneticPr fontId="1" type="noConversion"/>
  </si>
  <si>
    <t>2010.12.29</t>
    <phoneticPr fontId="1" type="noConversion"/>
  </si>
  <si>
    <t>2010.11.5</t>
    <phoneticPr fontId="1" type="noConversion"/>
  </si>
  <si>
    <t>2011.8.5</t>
    <phoneticPr fontId="1" type="noConversion"/>
  </si>
  <si>
    <t>2011.2.28</t>
    <phoneticPr fontId="1" type="noConversion"/>
  </si>
  <si>
    <t>2011.6.7</t>
    <phoneticPr fontId="1" type="noConversion"/>
  </si>
  <si>
    <t>2011.3.7</t>
    <phoneticPr fontId="1" type="noConversion"/>
  </si>
  <si>
    <t>2011.8.1</t>
    <phoneticPr fontId="1" type="noConversion"/>
  </si>
  <si>
    <t>2012.2.23</t>
    <phoneticPr fontId="1" type="noConversion"/>
  </si>
  <si>
    <t>2012.1.4</t>
    <phoneticPr fontId="1" type="noConversion"/>
  </si>
  <si>
    <t>2012.6.21</t>
    <phoneticPr fontId="1" type="noConversion"/>
  </si>
  <si>
    <r>
      <rPr>
        <sz val="10"/>
        <rFont val="宋体"/>
        <family val="3"/>
        <charset val="134"/>
      </rPr>
      <t>贵州余凯高速</t>
    </r>
    <r>
      <rPr>
        <sz val="10"/>
        <rFont val="Times New Roman"/>
        <family val="1"/>
      </rPr>
      <t>YT9</t>
    </r>
    <r>
      <rPr>
        <sz val="10"/>
        <rFont val="宋体"/>
        <family val="3"/>
        <charset val="134"/>
      </rPr>
      <t>项目</t>
    </r>
    <phoneticPr fontId="1" type="noConversion"/>
  </si>
  <si>
    <t>2014.2.18</t>
    <phoneticPr fontId="1" type="noConversion"/>
  </si>
  <si>
    <t>普降大雪，积雪导致钢筋加工厂彩钢大棚垮塌受损。</t>
    <phoneticPr fontId="11" type="noConversion"/>
  </si>
  <si>
    <t>2014.4.28</t>
    <phoneticPr fontId="1" type="noConversion"/>
  </si>
  <si>
    <t>2014.3.31</t>
    <phoneticPr fontId="1" type="noConversion"/>
  </si>
  <si>
    <t>鱼洞隧道左线ZK71+497-ZK71+487段及右线YK71+665-YK71+650段拱顶突然发生塌方涌泥，初期支护损毁</t>
    <phoneticPr fontId="11" type="noConversion"/>
  </si>
  <si>
    <t>2014.10.17</t>
    <phoneticPr fontId="1" type="noConversion"/>
  </si>
  <si>
    <t>2014.7.4</t>
    <phoneticPr fontId="1" type="noConversion"/>
  </si>
  <si>
    <t>边坡发生滑塌，主体工程受损。</t>
    <phoneticPr fontId="11" type="noConversion"/>
  </si>
  <si>
    <t>2014.7.8</t>
    <phoneticPr fontId="1" type="noConversion"/>
  </si>
  <si>
    <t>鱼洞大桥跨公路防砸棚被塌方石头砸毁。</t>
    <phoneticPr fontId="11" type="noConversion"/>
  </si>
  <si>
    <t>2014.7.17</t>
    <phoneticPr fontId="1" type="noConversion"/>
  </si>
  <si>
    <t>边坡发生滑塌，主体工程受损</t>
    <phoneticPr fontId="11" type="noConversion"/>
  </si>
  <si>
    <t>2014.9.14</t>
    <phoneticPr fontId="1" type="noConversion"/>
  </si>
  <si>
    <t>鱼洞1号隧道右线YK69+677-YK69+685段拱顶突然发生塌方涌泥，初期支护损毁</t>
    <phoneticPr fontId="11" type="noConversion"/>
  </si>
  <si>
    <t>鱼洞隧道右线K71+413-K71+430.6段拱顶突然发生塌方，初期支护损毁</t>
    <phoneticPr fontId="11" type="noConversion"/>
  </si>
  <si>
    <t>2015.1.21</t>
    <phoneticPr fontId="1" type="noConversion"/>
  </si>
  <si>
    <r>
      <t>梧柳</t>
    </r>
    <r>
      <rPr>
        <sz val="10"/>
        <rFont val="Times New Roman"/>
        <family val="1"/>
      </rPr>
      <t>2</t>
    </r>
    <r>
      <rPr>
        <sz val="10"/>
        <rFont val="宋体"/>
        <family val="3"/>
        <charset val="134"/>
      </rPr>
      <t>标</t>
    </r>
  </si>
  <si>
    <t>人民财产保险</t>
  </si>
  <si>
    <t>人寿财产保险</t>
  </si>
  <si>
    <t>2014.5.11</t>
  </si>
  <si>
    <t>暴雨临时工程损失</t>
  </si>
  <si>
    <t>2014.3.30</t>
  </si>
  <si>
    <t>聂中军意外伤害</t>
  </si>
  <si>
    <t>2015.2.6</t>
  </si>
  <si>
    <t>2014.10.24</t>
  </si>
  <si>
    <t>王林奎意外伤害</t>
  </si>
  <si>
    <t>2015.1.27</t>
  </si>
  <si>
    <t>贵港二线船闸公路改线项目</t>
  </si>
  <si>
    <t>平安保险</t>
  </si>
  <si>
    <t>2014.10.5</t>
  </si>
  <si>
    <t>晚上大雨</t>
  </si>
  <si>
    <t>贵州凯羊高速KLM1标</t>
    <phoneticPr fontId="1" type="noConversion"/>
  </si>
  <si>
    <t>2014.12.10</t>
    <phoneticPr fontId="1" type="noConversion"/>
  </si>
  <si>
    <t>沥青运料车在金竹坪隧道中爆胎炸伤一名摊铺作业工人</t>
    <phoneticPr fontId="1" type="noConversion"/>
  </si>
  <si>
    <t>2014.12.28</t>
    <phoneticPr fontId="1" type="noConversion"/>
  </si>
  <si>
    <t>四川仁沐新LJ4标项目</t>
  </si>
  <si>
    <t>阳光保险</t>
  </si>
  <si>
    <t>锦泰保险</t>
  </si>
  <si>
    <t>无</t>
    <phoneticPr fontId="1" type="noConversion"/>
  </si>
  <si>
    <t>中交一公局五公司上汽通用五菱整车试验场项目</t>
  </si>
  <si>
    <t>华泰财产</t>
  </si>
  <si>
    <t>西藏林拉二分部</t>
  </si>
  <si>
    <r>
      <t>陕西延延</t>
    </r>
    <r>
      <rPr>
        <sz val="10"/>
        <rFont val="Times New Roman"/>
        <family val="1"/>
      </rPr>
      <t>14</t>
    </r>
    <r>
      <rPr>
        <sz val="10"/>
        <rFont val="宋体"/>
        <family val="3"/>
        <charset val="134"/>
      </rPr>
      <t>标</t>
    </r>
  </si>
  <si>
    <t>永安财产保险股份有限公司</t>
  </si>
  <si>
    <t>2014.07-08</t>
  </si>
  <si>
    <t>2013.9.29</t>
  </si>
  <si>
    <t>陕西</t>
  </si>
  <si>
    <t>2013.7.2</t>
  </si>
  <si>
    <t>在施工过程中不慎导致右手手腕骨折</t>
  </si>
  <si>
    <t>2014.1.16</t>
  </si>
  <si>
    <t>2013.8.15</t>
  </si>
  <si>
    <t>在梁家河挖孔桩施工过程中不慎导致腰部受伤</t>
  </si>
  <si>
    <t>2013.9.7</t>
  </si>
  <si>
    <t>在薛家沟高架桥施工过程中不慎导致头部和足部受伤</t>
  </si>
  <si>
    <t>2014.6.11</t>
  </si>
  <si>
    <t>2014.4.8</t>
  </si>
  <si>
    <t>康建平在施工过程中，不慎导致肋骨及手臂受伤</t>
  </si>
  <si>
    <t>2014.6.20</t>
  </si>
  <si>
    <t>2014.10.30</t>
  </si>
  <si>
    <t>2013.6.28</t>
  </si>
  <si>
    <t>2013年6月暴雨水毁，第一期水毁保险理赔</t>
  </si>
  <si>
    <t>2013.7.13</t>
  </si>
  <si>
    <t>2013年7月连续大雨严重水毁，造成严重损失，保险理赔</t>
  </si>
  <si>
    <t>2014.7.9</t>
  </si>
  <si>
    <t>2013年7月连续大雨，造成部分已完工程损毁，水毁保险理赔</t>
  </si>
  <si>
    <t>2014.12.1</t>
  </si>
  <si>
    <t>…</t>
  </si>
  <si>
    <t>2014.3.20</t>
  </si>
  <si>
    <t>施工人员预制梁场加工钢筋造成右手食指断节。</t>
  </si>
  <si>
    <t>沿德七标</t>
    <phoneticPr fontId="1" type="noConversion"/>
  </si>
  <si>
    <t>永安保险</t>
    <phoneticPr fontId="1" type="noConversion"/>
  </si>
  <si>
    <t>被钢板砸中手指。</t>
    <phoneticPr fontId="1" type="noConversion"/>
  </si>
  <si>
    <t>开挖隧道时，被拱顶落石砸中背部。</t>
    <phoneticPr fontId="1" type="noConversion"/>
  </si>
  <si>
    <t>暴雨导致桩基掩埋</t>
    <phoneticPr fontId="1" type="noConversion"/>
  </si>
  <si>
    <t>从高处坠落，左侧身体着地，左胫腓骨骨折。</t>
    <phoneticPr fontId="1" type="noConversion"/>
  </si>
  <si>
    <t>检修车辆时从车顶坠落，右肩着地。</t>
    <phoneticPr fontId="1" type="noConversion"/>
  </si>
  <si>
    <t>从二衬台车上坠落，头部着地短暂昏迷，3天后无大碍。</t>
    <phoneticPr fontId="1" type="noConversion"/>
  </si>
  <si>
    <t>被高空坠物砸中胸部，胸椎体骨折，3月内平卧休息。</t>
    <phoneticPr fontId="1" type="noConversion"/>
  </si>
  <si>
    <t>检修车辆时摔倒，腹部碰到枕木。</t>
    <phoneticPr fontId="1" type="noConversion"/>
  </si>
  <si>
    <t>滚石砸坏房子</t>
    <phoneticPr fontId="1" type="noConversion"/>
  </si>
  <si>
    <t>开挖时，被石头砸中左脚。</t>
    <phoneticPr fontId="1" type="noConversion"/>
  </si>
  <si>
    <t>搬重物时摔倒，被手中物品砸中手指。</t>
    <phoneticPr fontId="1" type="noConversion"/>
  </si>
  <si>
    <t>浇筑混凝土，放料时不慎从搅拌车上坠落。</t>
    <phoneticPr fontId="1" type="noConversion"/>
  </si>
  <si>
    <t>搬重物时，被手中物品砸中右脚。</t>
    <phoneticPr fontId="1" type="noConversion"/>
  </si>
  <si>
    <t>立架时，被工字钢压到手指。</t>
    <phoneticPr fontId="1" type="noConversion"/>
  </si>
  <si>
    <t>打锚杆时为躲避拱顶落石，头部碰到工字钢。</t>
    <phoneticPr fontId="1" type="noConversion"/>
  </si>
  <si>
    <t>立台架时摔倒，肋骨小腿下颚多处骨折。</t>
    <phoneticPr fontId="1" type="noConversion"/>
  </si>
  <si>
    <t>在工地摔倒，左小腿软组织损伤。</t>
    <phoneticPr fontId="1" type="noConversion"/>
  </si>
  <si>
    <t>西藏泽当大桥</t>
  </si>
  <si>
    <t>中国人民财产保险股份有限公司西藏自治区分公司</t>
  </si>
  <si>
    <t>西藏</t>
  </si>
  <si>
    <t>织纳项目</t>
  </si>
  <si>
    <t>2013.1.23</t>
  </si>
  <si>
    <t>2013.5.22</t>
  </si>
  <si>
    <t>施工过程中被石头砸断右食指，经诊断为右食指近指间关节处旋转撕脱离断伤</t>
  </si>
  <si>
    <t>2013.8.28</t>
  </si>
  <si>
    <t>现场施工过程中被石块砸伤左侧胸部，经诊断为左侧气胸及左侧第6、7肋骨骨折</t>
  </si>
  <si>
    <t>2013.10.9</t>
  </si>
  <si>
    <t>施工过程中因重物挤压受伤，经诊断为右食指压砸伤及右食指中远节骨开放性粉碎性骨折</t>
  </si>
  <si>
    <t>2014.4.27</t>
  </si>
  <si>
    <t>施工过程中因意外左手中指受压，经诊断为左中指末节皮肤软组织缺损等</t>
  </si>
  <si>
    <t>2014.7.15</t>
  </si>
  <si>
    <t>由于下暴雨导致经理部被淹，现场土质边坡垮塌较多</t>
  </si>
  <si>
    <t>四公司</t>
    <phoneticPr fontId="1" type="noConversion"/>
  </si>
  <si>
    <t>锡林郭勒盟进京通道桑根达来至上都段公路第TJ-2标段</t>
  </si>
  <si>
    <t>中国人民保险</t>
  </si>
  <si>
    <t>未发生理赔事件</t>
  </si>
  <si>
    <t>内蒙</t>
  </si>
  <si>
    <t>呼伦贝尔市中心城新区规划一桥及引线工程</t>
  </si>
  <si>
    <t>中国人民财产保险股份有限公司呼伦贝尔市分公司</t>
  </si>
  <si>
    <t>中国平安财产保险股份有限公司内蒙古分公司</t>
  </si>
  <si>
    <t>车辆险</t>
  </si>
  <si>
    <t>北京奔驰试车跑道（194）工程</t>
  </si>
  <si>
    <t>中国平安（平安建筑工程团体意外伤害保险）</t>
  </si>
  <si>
    <t>北京</t>
  </si>
  <si>
    <t>交通工程广场扩建工程</t>
  </si>
  <si>
    <t>京港澳高速公路驻马店至信阳（豫鄂界）段改扩建土建工程9标</t>
  </si>
  <si>
    <t>中华联合财产保险股份有限公司信仰中心支公司</t>
  </si>
  <si>
    <t>泰康人寿股份有限公司河南分公司</t>
  </si>
  <si>
    <t>石方爆破落石砸坏护栏、老路路面及抢险投入</t>
  </si>
  <si>
    <t>不予赔偿</t>
  </si>
  <si>
    <t>2013.12-2014.12</t>
  </si>
  <si>
    <t>施工过程中人员受伤、下班途中所乘坐的三轮车发生侧翻等</t>
  </si>
  <si>
    <t>2014.1-2014.9</t>
  </si>
  <si>
    <t>京港澳高速公路驻马店至信阳（豫鄂界）段改扩建工程第A类ZXTJ-11标段</t>
  </si>
  <si>
    <t>天安财产保险股份有限公司河南省分公司</t>
  </si>
  <si>
    <t>2015.1.29</t>
  </si>
  <si>
    <t>下暴雪，拌合站料棚坍塌</t>
  </si>
  <si>
    <t>2015.5.21</t>
  </si>
  <si>
    <t xml:space="preserve">城市圈环线高速公路仙桃段一期土建工程项目经理部一分部 </t>
  </si>
  <si>
    <t>2013.9-2014.11</t>
  </si>
  <si>
    <t>施工过程中人员受伤</t>
  </si>
  <si>
    <t>2013.12-2015.1</t>
  </si>
  <si>
    <t xml:space="preserve">城市圈环线高速公路仙桃段一期土建工程项目经理部三分部 </t>
  </si>
  <si>
    <t>2013.10-2014.10</t>
  </si>
  <si>
    <t>2014.1-2014.11</t>
  </si>
  <si>
    <t>湖南省龙山（湘鄂界）至永顺高速公路项目土建工程第13合同段</t>
  </si>
  <si>
    <t>中华联合财产保险股份有限公司湖南分公司-安全生产责任险</t>
  </si>
  <si>
    <t>2012.10.15-2015.04.20</t>
  </si>
  <si>
    <t>工程车行驶发生侧翻压倒村民变压器、爆破炮损等</t>
  </si>
  <si>
    <t>2014.10.9</t>
  </si>
  <si>
    <t>2014.05.22</t>
  </si>
  <si>
    <t>压路机后退导致碾压事故（李俊锋）</t>
  </si>
  <si>
    <t>已上报待批</t>
  </si>
  <si>
    <t>2014.8.15</t>
  </si>
  <si>
    <t>服务区爆破施工炸坏了国家二级光缆</t>
  </si>
  <si>
    <t>湖南省新化至溆浦高速公路项目路面工程第30标段</t>
  </si>
  <si>
    <t>中华联合财产保险股份有限公司</t>
  </si>
  <si>
    <t>湖南省长沙至韶山至娄底高速公路项目路面工程第LM-1标段</t>
  </si>
  <si>
    <t>中华联合财产保险</t>
  </si>
  <si>
    <t xml:space="preserve">湖南省邵阳至坪上高速公路项目土建工程施工 </t>
  </si>
  <si>
    <t>太平洋人寿</t>
  </si>
  <si>
    <t>2014.4-2015.1</t>
  </si>
  <si>
    <t>暴雨水损、边坡塌方</t>
  </si>
  <si>
    <t>2013.12-2014.5</t>
  </si>
  <si>
    <t>安装模板坠落、压伤</t>
  </si>
  <si>
    <t>2014.7-2014.12</t>
  </si>
  <si>
    <t>兰州（新城）至永靖沿黄河快速通道土建工程9标</t>
  </si>
  <si>
    <t>永安财产保险</t>
  </si>
  <si>
    <t>十堰至天水国家高速公路甘肃段徽县（大石碑）至天水公路土建工程第ST07标段</t>
  </si>
  <si>
    <t>中国人民财产保险股份有限公司甘肃省分公司</t>
  </si>
  <si>
    <t>2013.6.20</t>
  </si>
  <si>
    <t>由于持续暴雨天气导致项目部桥梁桩孔、路基、施工便道、隧道边仰坡及周边三者农田受损</t>
  </si>
  <si>
    <t>2013.8.22</t>
  </si>
  <si>
    <t>2014.11.17</t>
  </si>
  <si>
    <t>2014.11.17-2014.12.09期间赔付</t>
  </si>
  <si>
    <t>十堰至天水国家高速公路甘肃段徽县（大石碑）至天水公路土建工程第ST12标段</t>
  </si>
  <si>
    <t>中国平安财产保险股份有限公司甘肃分公司</t>
  </si>
  <si>
    <t>附送</t>
  </si>
  <si>
    <t>兰海国家高速(G75) 渭源至武都土建工程试验段2标</t>
  </si>
  <si>
    <t>赠送</t>
  </si>
  <si>
    <t>铜陵～南陵～宣城高速公路路基工程施工（复工）第LJ-13标段</t>
  </si>
  <si>
    <t>永城财产</t>
  </si>
  <si>
    <t>2014.4.30</t>
  </si>
  <si>
    <t>运梁过程中梁板倾覆</t>
  </si>
  <si>
    <t>2014.11.21</t>
  </si>
  <si>
    <t>济祁高速永城至利辛安徽段第二合同段（LJ-02）</t>
  </si>
  <si>
    <t>中国人寿保险</t>
  </si>
  <si>
    <t>中国太平洋人寿保险股份有限公司</t>
  </si>
  <si>
    <t>2014.9.27</t>
  </si>
  <si>
    <t>雨水至路基边坡损毁</t>
  </si>
  <si>
    <t>2014.12.20</t>
  </si>
  <si>
    <t>S256闻集至六十铺段改建工程01标</t>
  </si>
  <si>
    <t>中国大地财产保险</t>
  </si>
  <si>
    <t>重庆万州至湖北利川高速公路（重庆段）施工第4标段</t>
  </si>
  <si>
    <t>中国人民财产保险</t>
  </si>
  <si>
    <t>2014.08.20</t>
  </si>
  <si>
    <t>便道边坡落石将轿车撞损</t>
  </si>
  <si>
    <t>2014.10.25</t>
  </si>
  <si>
    <t>重庆</t>
  </si>
  <si>
    <t>2014.9-2015.4</t>
  </si>
  <si>
    <t>重庆万州至湖北利川高速公路（重庆段）施工第8标段</t>
  </si>
  <si>
    <t>2014.6-2015.6</t>
  </si>
  <si>
    <t>便道滑坡塌方、路基爆破落石损坏居民房屋等</t>
  </si>
  <si>
    <t>2014.8.30</t>
  </si>
  <si>
    <t>2014.9-2015.6</t>
  </si>
  <si>
    <t>宁高城际轨道交通二期高淳车辆段与综合基地土石方工程施工NG-TA07标段</t>
  </si>
  <si>
    <t>紫金保险</t>
  </si>
  <si>
    <t>2014.7-2015.4</t>
  </si>
  <si>
    <t>暴雨、大风索赔</t>
  </si>
  <si>
    <t>暂未赔付</t>
  </si>
  <si>
    <t>江苏</t>
  </si>
  <si>
    <t>江苏省高淳至芜湖GW-1标</t>
  </si>
  <si>
    <t>银河时代广场施工工程</t>
  </si>
  <si>
    <t>张家港疏港高速公路ZJG-A3标段</t>
  </si>
  <si>
    <t>中国大地</t>
  </si>
  <si>
    <t>2015.04.12</t>
  </si>
  <si>
    <t>暴风引起项目部房屋损坏</t>
  </si>
  <si>
    <t>苏州市东环快速路南延二期（吴中区段）工程施工招标第DHNY-II-SG1标段</t>
  </si>
  <si>
    <t>中国人民财产保险股份有限公司苏州市分公司</t>
  </si>
  <si>
    <t>中国大地财产保险股份有限公司</t>
  </si>
  <si>
    <t>2015.4.28</t>
  </si>
  <si>
    <t>暴雨台风将项目部围挡广告牌等吹毁</t>
  </si>
  <si>
    <t>新建连云港至盐城铁路站前工程LYZQ -Ⅳ标段</t>
  </si>
  <si>
    <t>中国平安财产保险股份有限公司江苏分公司</t>
  </si>
  <si>
    <t>中国太平洋财产保险股份有限公司南京分公司</t>
  </si>
  <si>
    <t>2014.10-2015.6</t>
  </si>
  <si>
    <t>2015.1-2015.3</t>
  </si>
  <si>
    <t>中汽中心盐城汽车试场项目高速环道路面及干操控路工程（CPG-2）</t>
  </si>
  <si>
    <t>太平</t>
  </si>
  <si>
    <t>中汽中心盐城汽车试验场项目（CPG-4标段）疲劳耐久路与坡道工程项目——强化试验道路、标准坡道工程</t>
  </si>
  <si>
    <t>徐州疏港路二期LJ2标项目</t>
  </si>
  <si>
    <t>2014.9.16</t>
  </si>
  <si>
    <t>脚摔伤</t>
  </si>
  <si>
    <t>2014.12.15</t>
  </si>
  <si>
    <t>河北省密涿高速公路廊坊至北三县（三河）段Q2标段施工</t>
  </si>
  <si>
    <t>中国人寿财产保险股份有限公司保定市中心支公司</t>
  </si>
  <si>
    <t>中国人民财产保险股份有限公司廊坊市分公司</t>
  </si>
  <si>
    <t>连霍国家高速公路(G30)兰州绕城南段(G3001)土建工程建设项目LRN6标段</t>
  </si>
  <si>
    <t>中国人寿财产保险股份有限公司兰州市中心支公司</t>
  </si>
  <si>
    <t>G312线鸡儿嘴至清水驿段公路维修改造工程JQSG2标项目经理部</t>
  </si>
  <si>
    <t>中国人寿保险股份有限责任公司</t>
  </si>
  <si>
    <t>鲁坨路(鲁家山生物质能源厂~羊圈头村)道路工程建设--移交(BT)</t>
  </si>
  <si>
    <t>中国平安财产保险股份有限公司北京分公司</t>
  </si>
  <si>
    <t>新疆采空区项目</t>
  </si>
  <si>
    <t>合同清单无此项，业主无要求，未购买</t>
  </si>
  <si>
    <t>新疆</t>
  </si>
  <si>
    <t>焦作至桐柏高速公路登封至汝州段土建工程一分部</t>
  </si>
  <si>
    <t>合同清单无此项，业主全线统一购买</t>
  </si>
  <si>
    <t>翠湖南路（西六环～京包高速公路）道路工程4＃标段</t>
  </si>
  <si>
    <t>未开工，还未购买</t>
  </si>
  <si>
    <t>京台高速公路（北京段）第7标段项目经理部</t>
  </si>
  <si>
    <t>新开工，还未购买</t>
  </si>
  <si>
    <t>徐州集团综合试验场项目建设项目</t>
  </si>
  <si>
    <t>山东</t>
  </si>
  <si>
    <t>中亚轮胎试验场T1-T6土方平衡及路基修整工程</t>
  </si>
  <si>
    <t>中亚轮胎试验场（二期）路面结构工程</t>
  </si>
  <si>
    <t>中国交通建设股份有限公司LBAMSG-3项目总承包管理部第二项目部</t>
  </si>
  <si>
    <t>扎兰屯二期、三期</t>
  </si>
  <si>
    <t>五公司</t>
    <phoneticPr fontId="1" type="noConversion"/>
  </si>
  <si>
    <t>连霍高速公路洛阳至三门峡（豫陕界）段改扩建工程TJ-6</t>
  </si>
  <si>
    <t>中国人民财产保险股份有限公司承保70%，中国平安财产保险股份有限公司承保份额30%</t>
    <phoneticPr fontId="1" type="noConversion"/>
  </si>
  <si>
    <t>中国平安财产保险股份有限公司</t>
    <phoneticPr fontId="1" type="noConversion"/>
  </si>
  <si>
    <t>2013.05.25</t>
    <phoneticPr fontId="1" type="noConversion"/>
  </si>
  <si>
    <t>水毁赔偿</t>
    <phoneticPr fontId="1" type="noConversion"/>
  </si>
  <si>
    <t>2013.08.14</t>
    <phoneticPr fontId="1" type="noConversion"/>
  </si>
  <si>
    <t>河南</t>
    <phoneticPr fontId="1" type="noConversion"/>
  </si>
  <si>
    <t>2013.08.01</t>
    <phoneticPr fontId="1" type="noConversion"/>
  </si>
  <si>
    <t>2013.10.15</t>
    <phoneticPr fontId="1" type="noConversion"/>
  </si>
  <si>
    <t>2013.04.07</t>
    <phoneticPr fontId="1" type="noConversion"/>
  </si>
  <si>
    <t>安徽省凤阳县明城建筑有限公司施工中出现安全事件</t>
    <phoneticPr fontId="1" type="noConversion"/>
  </si>
  <si>
    <t>2013.12.05</t>
    <phoneticPr fontId="1" type="noConversion"/>
  </si>
  <si>
    <t>2013.08.04</t>
    <phoneticPr fontId="1" type="noConversion"/>
  </si>
  <si>
    <t>郑州市李牛机械设备有限公司施工中出现安全事件</t>
    <phoneticPr fontId="1" type="noConversion"/>
  </si>
  <si>
    <t>2013.11.07</t>
    <phoneticPr fontId="1" type="noConversion"/>
  </si>
  <si>
    <t>重庆三环高速公路永川双石至江津塘河段第二合同段项目</t>
  </si>
  <si>
    <t>2013.3.15</t>
  </si>
  <si>
    <t>K38+994涵洞施工时不慎被涵洞模板砸伤，导致肋骨骨折</t>
  </si>
  <si>
    <t>2013.8.14</t>
  </si>
  <si>
    <t>重庆</t>
    <phoneticPr fontId="1" type="noConversion"/>
  </si>
  <si>
    <t>2013.8.19</t>
  </si>
  <si>
    <t>施工涵洞时从施工架子上面摔下来，胸部骨折，手和脚都受伤</t>
  </si>
  <si>
    <t>2013.10.20</t>
  </si>
  <si>
    <t>2013.12.5</t>
  </si>
  <si>
    <t>右手被柴油机皮带夹伤</t>
  </si>
  <si>
    <t>2014.4.5</t>
  </si>
  <si>
    <t>左手被电烧伤</t>
  </si>
  <si>
    <t>2014.6.5</t>
  </si>
  <si>
    <t>2014.6.19</t>
  </si>
  <si>
    <t>k32+935.2跨线桥施工时，双脚受伤</t>
  </si>
  <si>
    <t>2014.8.25</t>
  </si>
  <si>
    <t>第三方责任险</t>
  </si>
  <si>
    <t>2014.2.20</t>
  </si>
  <si>
    <t>2013.4.28</t>
  </si>
  <si>
    <t>工地暴雨</t>
  </si>
  <si>
    <t>2013.6.15</t>
  </si>
  <si>
    <t>2013.6.8</t>
  </si>
  <si>
    <t xml:space="preserve">2013.7.7 </t>
  </si>
  <si>
    <t>赶集回来经过我项目的工地，由于好奇到小孩工地去玩，不小心踩进粉煤灰里面去烫伤脚</t>
  </si>
  <si>
    <t xml:space="preserve">2013.7.20 </t>
  </si>
  <si>
    <t>2014.9.22</t>
  </si>
  <si>
    <t>营城子至松江河高速公路靖宇至抚松段建设项目路基、桥梁工程YS08标段</t>
    <phoneticPr fontId="11" type="noConversion"/>
  </si>
  <si>
    <t>2013.4.29</t>
    <phoneticPr fontId="1" type="noConversion"/>
  </si>
  <si>
    <t>洪水灾害</t>
    <phoneticPr fontId="1" type="noConversion"/>
  </si>
  <si>
    <t>2013.11.18</t>
    <phoneticPr fontId="1" type="noConversion"/>
  </si>
  <si>
    <t>吉林</t>
    <phoneticPr fontId="1" type="noConversion"/>
  </si>
  <si>
    <t>2013.8.16</t>
    <phoneticPr fontId="1" type="noConversion"/>
  </si>
  <si>
    <t>暴雨灾害</t>
    <phoneticPr fontId="1" type="noConversion"/>
  </si>
  <si>
    <t>2015.1.4</t>
    <phoneticPr fontId="1" type="noConversion"/>
  </si>
  <si>
    <t>2014.11.11</t>
    <phoneticPr fontId="1" type="noConversion"/>
  </si>
  <si>
    <t>火灾</t>
    <phoneticPr fontId="1" type="noConversion"/>
  </si>
  <si>
    <t>2015.5.5</t>
    <phoneticPr fontId="1" type="noConversion"/>
  </si>
  <si>
    <t>2013.11.25</t>
    <phoneticPr fontId="1" type="noConversion"/>
  </si>
  <si>
    <t>雪灾</t>
    <phoneticPr fontId="1" type="noConversion"/>
  </si>
  <si>
    <t>2015.5.15</t>
    <phoneticPr fontId="1" type="noConversion"/>
  </si>
  <si>
    <t>京秦高速公路天津段工程四标</t>
  </si>
  <si>
    <t>爱和谊日生同和财产保险有限公司</t>
    <phoneticPr fontId="1" type="noConversion"/>
  </si>
  <si>
    <t>恒安标准人寿保险有限公司天津分公司</t>
    <phoneticPr fontId="1" type="noConversion"/>
  </si>
  <si>
    <t>天津</t>
    <phoneticPr fontId="1" type="noConversion"/>
  </si>
  <si>
    <t>湖南省龙山（湘鄂界）至永顺高速公路十九标</t>
    <phoneticPr fontId="11" type="noConversion"/>
  </si>
  <si>
    <t>中华联合财产保险股份有限公司湖南分公司与太平洋保险</t>
  </si>
  <si>
    <t>2014.7.12</t>
  </si>
  <si>
    <t>暴雨导致工地财产受损</t>
  </si>
  <si>
    <t>2014.8.18</t>
  </si>
  <si>
    <t>湖南</t>
    <phoneticPr fontId="1" type="noConversion"/>
  </si>
  <si>
    <r>
      <rPr>
        <sz val="10"/>
        <rFont val="宋体"/>
        <family val="3"/>
        <charset val="134"/>
      </rPr>
      <t>河北省京石改扩建</t>
    </r>
    <r>
      <rPr>
        <sz val="10"/>
        <rFont val="Times New Roman"/>
        <family val="1"/>
      </rPr>
      <t>19</t>
    </r>
    <r>
      <rPr>
        <sz val="10"/>
        <rFont val="宋体"/>
        <family val="3"/>
        <charset val="134"/>
      </rPr>
      <t>标项目</t>
    </r>
    <phoneticPr fontId="1" type="noConversion"/>
  </si>
  <si>
    <t>2013.7.29</t>
    <phoneticPr fontId="1" type="noConversion"/>
  </si>
  <si>
    <t>2013.8.30</t>
    <phoneticPr fontId="1" type="noConversion"/>
  </si>
  <si>
    <t>2013.8.13</t>
    <phoneticPr fontId="1" type="noConversion"/>
  </si>
  <si>
    <t>暴雨导致路基受损</t>
    <phoneticPr fontId="1" type="noConversion"/>
  </si>
  <si>
    <t>暴雨导致路基两侧农田受损</t>
    <phoneticPr fontId="1" type="noConversion"/>
  </si>
  <si>
    <t>2013.9.4</t>
    <phoneticPr fontId="1" type="noConversion"/>
  </si>
  <si>
    <t>2013.10.25</t>
    <phoneticPr fontId="1" type="noConversion"/>
  </si>
  <si>
    <t>2013.11.6</t>
    <phoneticPr fontId="1" type="noConversion"/>
  </si>
  <si>
    <t>装载机撞倒驾驶摩托车经过的当地村民王中山</t>
    <phoneticPr fontId="1" type="noConversion"/>
  </si>
  <si>
    <t>2014.1.27</t>
    <phoneticPr fontId="1" type="noConversion"/>
  </si>
  <si>
    <t>2014.3.21</t>
    <phoneticPr fontId="1" type="noConversion"/>
  </si>
  <si>
    <t xml:space="preserve"> 队伍工人魏世海腿断</t>
    <phoneticPr fontId="1" type="noConversion"/>
  </si>
  <si>
    <t>2014.4.30</t>
    <phoneticPr fontId="1" type="noConversion"/>
  </si>
  <si>
    <t>…</t>
    <phoneticPr fontId="1" type="noConversion"/>
  </si>
  <si>
    <t>2014.4.27</t>
    <phoneticPr fontId="1" type="noConversion"/>
  </si>
  <si>
    <t xml:space="preserve"> 队伍工人庄燕明梁上摔下右胳膊骨折</t>
    <phoneticPr fontId="1" type="noConversion"/>
  </si>
  <si>
    <t>2014.9.20</t>
    <phoneticPr fontId="1" type="noConversion"/>
  </si>
  <si>
    <t>2014.5.19</t>
    <phoneticPr fontId="1" type="noConversion"/>
  </si>
  <si>
    <t>队伍工人李涛摔伤</t>
    <phoneticPr fontId="1" type="noConversion"/>
  </si>
  <si>
    <t>2014.6.7</t>
    <phoneticPr fontId="1" type="noConversion"/>
  </si>
  <si>
    <t>聂双罗被落物碰伤</t>
    <phoneticPr fontId="1" type="noConversion"/>
  </si>
  <si>
    <t>2014.7.25</t>
    <phoneticPr fontId="1" type="noConversion"/>
  </si>
  <si>
    <t>队伍工人陈永刚电伤</t>
    <phoneticPr fontId="1" type="noConversion"/>
  </si>
  <si>
    <t>2014.12.11</t>
    <phoneticPr fontId="1" type="noConversion"/>
  </si>
  <si>
    <t>队伍工人满维刚摔伤</t>
    <phoneticPr fontId="1" type="noConversion"/>
  </si>
  <si>
    <t>广东省罗阳T1标项目</t>
    <phoneticPr fontId="1" type="noConversion"/>
  </si>
  <si>
    <t>2013.6.4</t>
  </si>
  <si>
    <t>台风袭击工地驻地，导致临建工程坍塌</t>
    <phoneticPr fontId="1" type="noConversion"/>
  </si>
  <si>
    <t>2014.4.1</t>
    <phoneticPr fontId="1" type="noConversion"/>
  </si>
  <si>
    <t>广东</t>
    <phoneticPr fontId="1" type="noConversion"/>
  </si>
  <si>
    <t>2014.3.29</t>
    <phoneticPr fontId="1" type="noConversion"/>
  </si>
  <si>
    <t>台风袭击工地驻地，导致临建工程坍塌</t>
  </si>
  <si>
    <t>2014.11.5</t>
    <phoneticPr fontId="1" type="noConversion"/>
  </si>
  <si>
    <t>郑州机场至周口西华高速公路JXZT-5标</t>
    <phoneticPr fontId="11" type="noConversion"/>
  </si>
  <si>
    <t>阳光保险</t>
    <phoneticPr fontId="1" type="noConversion"/>
  </si>
  <si>
    <t>2014.2.7</t>
    <phoneticPr fontId="1" type="noConversion"/>
  </si>
  <si>
    <t>暴雪造成料仓大棚损坏</t>
    <phoneticPr fontId="1" type="noConversion"/>
  </si>
  <si>
    <t>2014.4.29</t>
    <phoneticPr fontId="1" type="noConversion"/>
  </si>
  <si>
    <t>2014.7.21</t>
    <phoneticPr fontId="1" type="noConversion"/>
  </si>
  <si>
    <t>暴雨造成路基边坡毁坏</t>
    <phoneticPr fontId="1" type="noConversion"/>
  </si>
  <si>
    <t>2014.9.26</t>
    <phoneticPr fontId="1" type="noConversion"/>
  </si>
  <si>
    <t>2014.8.17</t>
    <phoneticPr fontId="1" type="noConversion"/>
  </si>
  <si>
    <t>2015.2.9</t>
    <phoneticPr fontId="1" type="noConversion"/>
  </si>
  <si>
    <t>密涿高速公路廊坊至北三县段L4合同段</t>
    <phoneticPr fontId="11" type="noConversion"/>
  </si>
  <si>
    <t>中国人寿财产保险股份有限公司河北省分公司</t>
    <phoneticPr fontId="1" type="noConversion"/>
  </si>
  <si>
    <t>平安养老保险股份有限公司河北分公司</t>
    <phoneticPr fontId="1" type="noConversion"/>
  </si>
  <si>
    <t>国道318线林芝至拉萨公路改造工程墨竹工卡至拉萨段一分部</t>
    <phoneticPr fontId="11" type="noConversion"/>
  </si>
  <si>
    <t>2013.11.10</t>
  </si>
  <si>
    <t>1#、2#制梁场暴风造成彩钢瓦大棚损坏</t>
  </si>
  <si>
    <t>西藏</t>
    <phoneticPr fontId="1" type="noConversion"/>
  </si>
  <si>
    <t>2014.2.16</t>
  </si>
  <si>
    <t>2#制梁场暴风把彩钢房房顶吹走</t>
  </si>
  <si>
    <t>2014.3.11</t>
  </si>
  <si>
    <t>施工现场施工中不慎挖坏甲玛矿黄金集团管道</t>
  </si>
  <si>
    <t>高架桥高架桥施工中挖断排污管</t>
  </si>
  <si>
    <t>2014.8.10</t>
  </si>
  <si>
    <t>梁场水稳站倾倒砸到工程车</t>
  </si>
  <si>
    <t>2014.8.4</t>
  </si>
  <si>
    <t>昌麦大桥、隆达大桥、三工区涵洞、还施工便道便桥、施工材料机具水毁</t>
  </si>
  <si>
    <t>2014.8.12</t>
  </si>
  <si>
    <t>墨竹工卡中桥T梁翻车，损失一片梁</t>
  </si>
  <si>
    <t>2014.8.19</t>
  </si>
  <si>
    <t>沿线好几处水毁</t>
  </si>
  <si>
    <t>2014.8.21</t>
  </si>
  <si>
    <t>K4565+723右侧2#拌合站，河水进入水泥仓库水毁</t>
  </si>
  <si>
    <t>2015.04.26</t>
  </si>
  <si>
    <t>K4561+039涵洞左侧50米左右开挖排水沟基础的挖机无意中挖毁了墨竹工卡电力公司的地下电缆及埋设管道</t>
    <phoneticPr fontId="11" type="noConversion"/>
  </si>
  <si>
    <t>二连浩特至广州公路集宁至阿荣旗联络线乌兰浩特至扎兰屯段高速公路土建工程施工WXTJ-1</t>
    <phoneticPr fontId="11" type="noConversion"/>
  </si>
  <si>
    <t>中华联合财产保险</t>
    <phoneticPr fontId="1" type="noConversion"/>
  </si>
  <si>
    <t>中国人寿财产保险</t>
    <phoneticPr fontId="1" type="noConversion"/>
  </si>
  <si>
    <t>工人邓月平腿部受伤</t>
    <phoneticPr fontId="1" type="noConversion"/>
  </si>
  <si>
    <t>2015.2.11</t>
    <phoneticPr fontId="1" type="noConversion"/>
  </si>
  <si>
    <t>内蒙</t>
    <phoneticPr fontId="1" type="noConversion"/>
  </si>
  <si>
    <t>2014.5.25</t>
    <phoneticPr fontId="1" type="noConversion"/>
  </si>
  <si>
    <t>工人杜英腰部受伤</t>
    <phoneticPr fontId="1" type="noConversion"/>
  </si>
  <si>
    <t>2015.2.12</t>
    <phoneticPr fontId="1" type="noConversion"/>
  </si>
  <si>
    <t>2014.6.27</t>
    <phoneticPr fontId="1" type="noConversion"/>
  </si>
  <si>
    <t>工人陈文铨胸部受伤</t>
    <phoneticPr fontId="1" type="noConversion"/>
  </si>
  <si>
    <t>青海省茶卡至格尔木公路工程CGSG-3</t>
  </si>
  <si>
    <t>锦州港泊位项目</t>
    <phoneticPr fontId="1" type="noConversion"/>
  </si>
  <si>
    <t>辽宁</t>
    <phoneticPr fontId="1" type="noConversion"/>
  </si>
  <si>
    <t>贵州省沿河至榕江高速公路沿河至德江段第十一合同段</t>
    <phoneticPr fontId="11" type="noConversion"/>
  </si>
  <si>
    <t>永安财产保险股份有限公司重庆分公司</t>
    <phoneticPr fontId="1" type="noConversion"/>
  </si>
  <si>
    <t>河南省焦桐高速登封至汝州段登汝高速二分部</t>
    <phoneticPr fontId="11" type="noConversion"/>
  </si>
  <si>
    <t>张桑4标</t>
  </si>
  <si>
    <t>中交一公局六公司呼市南二环快速路市政工程第二合同段</t>
    <phoneticPr fontId="11" type="noConversion"/>
  </si>
  <si>
    <t>呼市南二环快速路市政工程第三合同段</t>
    <phoneticPr fontId="11" type="noConversion"/>
  </si>
  <si>
    <t>天津港新跃进路与八号路立交工程</t>
    <phoneticPr fontId="1" type="noConversion"/>
  </si>
  <si>
    <t>天津港南疆中部散货堆场工程（道路工程）</t>
    <phoneticPr fontId="1" type="noConversion"/>
  </si>
  <si>
    <t>天津港南疆港区规划三路工程</t>
    <phoneticPr fontId="1" type="noConversion"/>
  </si>
  <si>
    <t>天津港四集泵站至北疆污水处理厂压力管道改造工程</t>
    <phoneticPr fontId="1" type="noConversion"/>
  </si>
  <si>
    <t>天津港东疆港区北部管网一期工程（伊犁路和青海路）</t>
    <phoneticPr fontId="1" type="noConversion"/>
  </si>
  <si>
    <t>天津港东疆港区海铁大道雨水提升泵站工程一标段</t>
    <phoneticPr fontId="1" type="noConversion"/>
  </si>
  <si>
    <t>六公司</t>
    <phoneticPr fontId="1" type="noConversion"/>
  </si>
  <si>
    <t>中国人民财产保险股份有限公司福建省分公司温泉营业部</t>
  </si>
  <si>
    <t>中国人寿财产保险股份有限公司三明市中心支公司</t>
  </si>
  <si>
    <t>三明</t>
  </si>
  <si>
    <t>福建</t>
  </si>
  <si>
    <t>漳州沿海大通道龙海段Ⅲ标段</t>
  </si>
  <si>
    <t>漳州沿海大通道（滨海一级疏港公路）龙海段Ⅱ标段提前实施段</t>
  </si>
  <si>
    <t>大地保险</t>
  </si>
  <si>
    <t>杭新景项目</t>
  </si>
  <si>
    <t>永安财产</t>
  </si>
  <si>
    <t>2014.5.22</t>
  </si>
  <si>
    <t>浙江</t>
  </si>
  <si>
    <t>2014.5.2</t>
  </si>
  <si>
    <t>2014.11.13</t>
  </si>
  <si>
    <t>2015.1.23</t>
  </si>
  <si>
    <t>2014.12.14</t>
    <phoneticPr fontId="11" type="noConversion"/>
  </si>
  <si>
    <t>2014年12月14日下午工人宋洪武在隧道施工时不慎被掉落石块砸伤。</t>
    <phoneticPr fontId="11" type="noConversion"/>
  </si>
  <si>
    <t>2015.5.20</t>
    <phoneticPr fontId="11" type="noConversion"/>
  </si>
  <si>
    <t>浙江</t>
    <phoneticPr fontId="11" type="noConversion"/>
  </si>
  <si>
    <t>毕生项目</t>
  </si>
  <si>
    <t>中国太平洋财产保险股份有限公司贵州分公司</t>
  </si>
  <si>
    <t>中国人民财产保险有限股份有限公司贵阳市直属支公司</t>
  </si>
  <si>
    <t>工人吴光明右臂砸伤，挠骨骨折</t>
  </si>
  <si>
    <t>2014.2.15</t>
  </si>
  <si>
    <t>工人李元建在拆除模板台车时，不慎从台车上滑落，摔伤腰部</t>
  </si>
  <si>
    <t>2014.6.18</t>
  </si>
  <si>
    <t>工人罗明杰脚部受伤，右足掌第一远节趾骨骨折；右足掌第三跖骨中段骨折</t>
  </si>
  <si>
    <t>模板工人被风从高空吹落，摔伤。</t>
  </si>
  <si>
    <t>在施工井下卸模版，模板夹层石头滑落被砸伤</t>
  </si>
  <si>
    <t>模板刷油，模板突然倾倒。</t>
  </si>
  <si>
    <t>从弃土堆十米高边坡滑落</t>
  </si>
  <si>
    <t>2014.6.10</t>
  </si>
  <si>
    <t>钢筋倾倒被压伤</t>
  </si>
  <si>
    <t>2014.8.16</t>
  </si>
  <si>
    <t>在加工钢筋过程中被箍筋机伤到</t>
  </si>
  <si>
    <t>制作钢筋过程中被钢筋砸伤</t>
  </si>
  <si>
    <t>2014.10.16</t>
  </si>
  <si>
    <t>吊装钢筋过程中，钢筋掉下来插入左腿</t>
  </si>
  <si>
    <t>罐车料斗轧到</t>
  </si>
  <si>
    <t>尚未赔付</t>
  </si>
  <si>
    <t>2013.9.12</t>
  </si>
  <si>
    <t>2014.1.21</t>
  </si>
  <si>
    <t>2013.9.15</t>
  </si>
  <si>
    <t>2014.5.5</t>
  </si>
  <si>
    <t>2013.10.7</t>
  </si>
  <si>
    <t>2013.10.27</t>
  </si>
  <si>
    <t>2013.10.29</t>
  </si>
  <si>
    <t>2014.3.5</t>
  </si>
  <si>
    <t>陈全生、隧道施工过程中，不慎被高处坠落的石头砸伤左手掌及左手指，遂送往闽东医院进行住院治疗。</t>
  </si>
  <si>
    <t>2014.4.13</t>
  </si>
  <si>
    <t>2014.4.16</t>
  </si>
  <si>
    <t>黎铁勇、工地施工过程中、气压管突然爆炸，导致其被飞落的管道砸伤左侧面部，遂送往寿宁县医院进行住院治疗而后转院到闽东医院进行进一步救治。</t>
  </si>
  <si>
    <t>2014.5.4</t>
  </si>
  <si>
    <t>2014.5.6</t>
  </si>
  <si>
    <t>2014.5.20</t>
  </si>
  <si>
    <t>李书贵、桥梁施工过程中，不慎从高处坠落致右脚、腹部受伤，遂送往福安市闽东医院医院进行住院治疗。</t>
  </si>
  <si>
    <t>2014.5.21</t>
  </si>
  <si>
    <t>程恩、施工过程中，不慎被钢架压伤，致右腿、腹部受伤，遂送往福安市闽东医院进行住院治疗。</t>
  </si>
  <si>
    <t>2014.6.28</t>
  </si>
  <si>
    <t>2014.8.28</t>
  </si>
  <si>
    <t>2014.7.6</t>
  </si>
  <si>
    <t>2014.8.6</t>
  </si>
  <si>
    <t>2014.7.25</t>
  </si>
  <si>
    <t>2014.8.27</t>
  </si>
  <si>
    <t>2014.10.8</t>
  </si>
  <si>
    <t>2014.8.24</t>
  </si>
  <si>
    <t>许桂彬、桥梁施工过程中，不慎从高处坠落，右侧胸部撞击到栏杆上致右侧胸部疼痛不适，遂送往福安市闽东医院医院进行初步治疗、后转院到闽清县第二医院进行进一步治疗。</t>
  </si>
  <si>
    <t>2014.10.10</t>
  </si>
  <si>
    <t>中国人民财产保险股份有限公司宁德蕉城支公司</t>
  </si>
  <si>
    <t>中国人寿保险股份有限公司宁德分公司</t>
  </si>
  <si>
    <t>2013.8.20</t>
  </si>
  <si>
    <t>台风损失</t>
  </si>
  <si>
    <t>2013.12.25</t>
  </si>
  <si>
    <t>重庆酉沿二分部</t>
  </si>
  <si>
    <t>/</t>
  </si>
  <si>
    <t>暴雨导致施工便道防护挡墙坍塌</t>
  </si>
  <si>
    <t>2013.7.7</t>
  </si>
  <si>
    <t>2013.7.8</t>
  </si>
  <si>
    <t>2014.4.12</t>
  </si>
  <si>
    <t>下大雨导致铜鼓大桥施工便道防护工程被冲毁</t>
  </si>
  <si>
    <t>2014.5.10</t>
  </si>
  <si>
    <t>2014.5.24</t>
  </si>
  <si>
    <t>下暴雨导致磨石溪小桩号发生泥石流</t>
  </si>
  <si>
    <t>陈英使用数控弯曲机时不慎导致手指经脉断</t>
  </si>
  <si>
    <t>2013.10.5</t>
  </si>
  <si>
    <t>瞿红年、雷邦贵在隧道施工台车挤压导致死亡</t>
  </si>
  <si>
    <t>2013.11.24</t>
  </si>
  <si>
    <t>范瑞元在磨石溪大桥施工中不慎高空坠落导致死亡</t>
  </si>
  <si>
    <t>2014.5.13</t>
  </si>
  <si>
    <t>龙银吉在磨石溪大桥施工不慎被高空落物砸中导致死亡</t>
  </si>
  <si>
    <t>2014.8.8</t>
  </si>
  <si>
    <t>陆维成在隧道施工中被石头砸中导致死亡</t>
  </si>
  <si>
    <t>中国人寿财产保险股份有限公司温岭支公司</t>
  </si>
  <si>
    <t>新江东大桥</t>
  </si>
  <si>
    <t>中华保险</t>
  </si>
  <si>
    <t>工人腰部烧伤</t>
  </si>
  <si>
    <t>2014.1.15</t>
  </si>
  <si>
    <t>工人头骨挫裂</t>
  </si>
  <si>
    <t>2015.1.15</t>
  </si>
  <si>
    <t>2014.12.7</t>
  </si>
  <si>
    <t>工人头部砸伤</t>
  </si>
  <si>
    <t>2014.12.10</t>
  </si>
  <si>
    <t>工人右脚第二、第三指头砸骨折</t>
  </si>
  <si>
    <t>2014.11.7</t>
  </si>
  <si>
    <t>工人摔伤，下颚、手臂、膝盖粉脆性骨折</t>
  </si>
  <si>
    <t>2015.2.2</t>
  </si>
  <si>
    <t>安徽望东项目</t>
  </si>
  <si>
    <t>都邦财产保险股份有限公司</t>
  </si>
  <si>
    <t>泰康人寿保险股份有限公司福建分公司</t>
  </si>
  <si>
    <t>2014.11.12</t>
  </si>
  <si>
    <t>2014.7.26</t>
  </si>
  <si>
    <t>中国太平洋人寿保险</t>
  </si>
  <si>
    <t>未赔付</t>
  </si>
  <si>
    <t>2014.5.18</t>
  </si>
  <si>
    <t>钢便桥因特大洪水袭击被冲毁</t>
  </si>
  <si>
    <t>2015.2.25</t>
  </si>
  <si>
    <t>隧道二工区工人施工时不慎触电身亡</t>
  </si>
  <si>
    <t>中国平安养老保险股份有限公司</t>
  </si>
  <si>
    <t>海南</t>
  </si>
  <si>
    <t>中国大地财产保险股份有限公司浦江支公司</t>
  </si>
  <si>
    <t>中国人民财产保险股份有限公司浦江支公司</t>
  </si>
  <si>
    <t>广东潮惠高速</t>
  </si>
  <si>
    <t>中国平安公司</t>
  </si>
  <si>
    <t>中国人民财产保险股份有限公司汕头市分公司</t>
  </si>
  <si>
    <t>2014.5.8</t>
  </si>
  <si>
    <t>暴雨导致路基及便道受损</t>
  </si>
  <si>
    <t>资料审理中</t>
  </si>
  <si>
    <t>广东</t>
  </si>
  <si>
    <t>2014.3.29</t>
  </si>
  <si>
    <t xml:space="preserve"> 中国人民财产保险股份有限公司莆田分公司</t>
  </si>
  <si>
    <t>中国太平洋人寿保险有限公司</t>
  </si>
  <si>
    <t>特大暴雨造成路基、纵向便道及崇联隧道进出口较大损失</t>
  </si>
  <si>
    <t>待定</t>
  </si>
  <si>
    <t>2014.7.23</t>
  </si>
  <si>
    <t>在二衬支模过程中右手无名指被检查窗口夹伤至骨折。</t>
  </si>
  <si>
    <t>2014.7.20</t>
  </si>
  <si>
    <t>2014.8.3</t>
  </si>
  <si>
    <t>在掌子面开挖中被丢落石头砸伤右脚脚面至骨折。</t>
  </si>
  <si>
    <t>2014.9.3</t>
  </si>
  <si>
    <t>2014.8.20</t>
  </si>
  <si>
    <t>在掌子面开挖中因风枪钻杆折断至人员在开挖台车上掉落至肋骨，肩骨骨折。</t>
  </si>
  <si>
    <t>2014.9.20</t>
  </si>
  <si>
    <t>2014.10.29</t>
  </si>
  <si>
    <t>2014.11.29</t>
  </si>
  <si>
    <t>2014.10.22</t>
  </si>
  <si>
    <t>高速公路服务区工程段工作时，因搬模板摔伤，胸部呼吸不畅，针对结果为肋骨骨折，双肺挫伤，胸肺部软组织挫伤</t>
  </si>
  <si>
    <t>高速公路服务区工程段工作时不慎摔伤，左臂受伤，诊断结果为左侧趾骨骨折</t>
  </si>
  <si>
    <t>2014.12.25</t>
  </si>
  <si>
    <t>2014.7.24</t>
  </si>
  <si>
    <t>高压电击伤(张平安)</t>
  </si>
  <si>
    <t>2015.1.25</t>
  </si>
  <si>
    <t>挂篮钢筋厂，钢筋过丝。左臂骨折(董献军)</t>
  </si>
  <si>
    <t>2015.3.13</t>
  </si>
  <si>
    <t>杭金衢拓宽项目</t>
  </si>
  <si>
    <t>贵州沿德高速公路</t>
  </si>
  <si>
    <t>2014.05.23</t>
  </si>
  <si>
    <t>因暴雨导致财产损失</t>
  </si>
  <si>
    <t>2014.12.05</t>
  </si>
  <si>
    <t>2014.07.24</t>
  </si>
  <si>
    <t>2014.08.17</t>
  </si>
  <si>
    <t>2015.03.20</t>
  </si>
  <si>
    <t>中国平安财产保险股份有限公司海南分公司</t>
  </si>
  <si>
    <t>中国太平洋人寿保险股份有限公司海南分公司</t>
  </si>
  <si>
    <t>2014.9.15</t>
  </si>
  <si>
    <t>重庆驸马长江大桥项目</t>
  </si>
  <si>
    <t>中国人民人寿保险股份有限公司河北分公司</t>
  </si>
  <si>
    <t>减弱支撑边坡垮塌致三者损失</t>
  </si>
  <si>
    <t>2014.11.6</t>
  </si>
  <si>
    <t>绊倒导致左手肘关节骨折</t>
  </si>
  <si>
    <t>门吊钢丝绳滑落钢材砸中右脚前三脚趾</t>
  </si>
  <si>
    <t>2014.8.26</t>
  </si>
  <si>
    <t>气割回火烧伤双手</t>
  </si>
  <si>
    <t>2014.11.10</t>
  </si>
  <si>
    <t>2015.1.11</t>
  </si>
  <si>
    <t>隧道内石头掉落砸伤头部</t>
  </si>
  <si>
    <t>2015.3.19</t>
  </si>
  <si>
    <t>工人背部摔伤</t>
  </si>
  <si>
    <t>2015.5.29</t>
  </si>
  <si>
    <t>2015.4.25</t>
  </si>
  <si>
    <t>工人面部砸伤</t>
  </si>
  <si>
    <t>2015.5.27</t>
  </si>
  <si>
    <t>2015.1.20</t>
  </si>
  <si>
    <t>吾鼻溪隧道工人站在挖掘机上摔伤</t>
  </si>
  <si>
    <t>2015.2.20</t>
  </si>
  <si>
    <t>中华联合财产保险股份有限公司福建分公司</t>
  </si>
  <si>
    <t>中国人民财产保险股份有限公司泉州市分公司</t>
  </si>
  <si>
    <t>2012.12.26</t>
  </si>
  <si>
    <t>在吊桩基钢筋笼时，不慎压倒手指，造成手指受伤</t>
  </si>
  <si>
    <t>2013.1.4</t>
  </si>
  <si>
    <t>在用电锯模板时，不慎割到手指，造成手指受伤</t>
  </si>
  <si>
    <t>2013.6.1</t>
  </si>
  <si>
    <t>本桥梁盖梁模板吊装施工中，不慎被砸伤，造成左脚踝骨折及软组织挫伤</t>
  </si>
  <si>
    <t>2014.7.16</t>
  </si>
  <si>
    <t>受台风影响造成工地部分房屋、边坡受损</t>
  </si>
  <si>
    <t>中国人民财产保险股份有限公司宁波市分公司</t>
  </si>
  <si>
    <t>2013.11.8</t>
  </si>
  <si>
    <t>2013.12.16</t>
  </si>
  <si>
    <t>桩基一队协作队伍负责人出车祸</t>
  </si>
  <si>
    <t>车撞水马赔偿</t>
  </si>
  <si>
    <t>2014.8.22</t>
  </si>
  <si>
    <t>员工徐书芬施工现场进行作业时受伤，导致右手臂骨折折</t>
  </si>
  <si>
    <t>2014.11.28</t>
  </si>
  <si>
    <t>护栏工区员工黎成友施工现场进行作业时受伤，导致右手腕正侧位的右桡骨远端骨折</t>
  </si>
  <si>
    <t>护栏工区施工人员进行作业时受伤，导致左脚受伤</t>
  </si>
  <si>
    <t>2015.2.14</t>
  </si>
  <si>
    <t>莞惠项目</t>
  </si>
  <si>
    <t>2015.2.8</t>
  </si>
  <si>
    <t>还未赔付</t>
  </si>
  <si>
    <t>孚莲路海新路路面</t>
  </si>
  <si>
    <t>洪钟大道</t>
  </si>
  <si>
    <t>翔安大道沿线互通、跨线桥完善工程</t>
  </si>
  <si>
    <t>厦门轨道项目岛外工区</t>
  </si>
  <si>
    <t>中国人民财产保险股份有限</t>
  </si>
  <si>
    <t>地税局</t>
  </si>
  <si>
    <t>厦门轨道项目岛内工区</t>
  </si>
  <si>
    <t>福清市大浦大桥及延伸段工程</t>
  </si>
  <si>
    <t>中国人民财产</t>
  </si>
  <si>
    <t>新阳大桥项目</t>
  </si>
  <si>
    <t>火炬园路面</t>
  </si>
  <si>
    <t>迎宾大道</t>
  </si>
  <si>
    <t>海翔大道东孚东路南段项目</t>
  </si>
  <si>
    <t>沪昆二工区项目</t>
  </si>
  <si>
    <t>都邦保险</t>
  </si>
  <si>
    <t>厦门公司</t>
    <phoneticPr fontId="1" type="noConversion"/>
  </si>
  <si>
    <t>昌宁高速D5项目</t>
    <phoneticPr fontId="11" type="noConversion"/>
  </si>
  <si>
    <t>华泰财产保险有限公司</t>
  </si>
  <si>
    <t>2014.8.12</t>
    <phoneticPr fontId="11" type="noConversion"/>
  </si>
  <si>
    <t>暴雨冲毁路基、防护、农田</t>
    <phoneticPr fontId="11" type="noConversion"/>
  </si>
  <si>
    <t>2015.5.19</t>
    <phoneticPr fontId="11" type="noConversion"/>
  </si>
  <si>
    <t>广大项目</t>
    <phoneticPr fontId="11" type="noConversion"/>
  </si>
  <si>
    <t>云南</t>
    <phoneticPr fontId="11" type="noConversion"/>
  </si>
  <si>
    <t>中银保险</t>
  </si>
  <si>
    <t>2015年1月27日至2015年1月29日连续下雪，造成砂石材料料棚压塌；保险公司现场核实情况后，开具气象证明达不到业主签订合同内容中暴雪天气条件，保险公司不予理赔；项目正在沟通。</t>
  </si>
  <si>
    <t>济祁利淮十标</t>
  </si>
  <si>
    <t>永城保险</t>
  </si>
  <si>
    <t>太平洋人寿保险</t>
  </si>
  <si>
    <t>暴雨灾害</t>
  </si>
  <si>
    <t>审核中</t>
  </si>
  <si>
    <t>2015.4.17</t>
  </si>
  <si>
    <t>工人右腿砸伤</t>
  </si>
  <si>
    <t>工人左脚扭伤</t>
  </si>
  <si>
    <t>洛三项目</t>
    <phoneticPr fontId="11" type="noConversion"/>
  </si>
  <si>
    <t>2014.02.09</t>
    <phoneticPr fontId="11" type="noConversion"/>
  </si>
  <si>
    <t>雨棚受损</t>
    <phoneticPr fontId="11" type="noConversion"/>
  </si>
  <si>
    <t>2014.10.20</t>
    <phoneticPr fontId="11" type="noConversion"/>
  </si>
  <si>
    <t>太平洋</t>
    <phoneticPr fontId="11" type="noConversion"/>
  </si>
  <si>
    <t>2014.09.17</t>
    <phoneticPr fontId="11" type="noConversion"/>
  </si>
  <si>
    <t>沪昆五项目</t>
    <phoneticPr fontId="11" type="noConversion"/>
  </si>
  <si>
    <t>信泰人寿保险股份有限公司</t>
    <phoneticPr fontId="11" type="noConversion"/>
  </si>
  <si>
    <t>2011.6.15</t>
  </si>
  <si>
    <t>暴雨导致山体裂缝、滑坡、洞身严重渗水、资江特大桥主桥钢栈桥、便道及设备被淹</t>
  </si>
  <si>
    <t>2012.12.30</t>
    <phoneticPr fontId="11" type="noConversion"/>
  </si>
  <si>
    <t>2011.3.24</t>
  </si>
  <si>
    <t>桩基施工下导管过程中，由于去扶倒了的导管，意外被导管把右手大拇指压破</t>
  </si>
  <si>
    <t>2011.6.20</t>
    <phoneticPr fontId="11" type="noConversion"/>
  </si>
  <si>
    <t>2011.9.20</t>
  </si>
  <si>
    <t>在隧道施工过程中，喷浆管爆裂，喷出的水泥浆喷到眼睛里</t>
  </si>
  <si>
    <t>2011.11.25</t>
    <phoneticPr fontId="11" type="noConversion"/>
  </si>
  <si>
    <t>2011.11.7</t>
  </si>
  <si>
    <t>在隧道施工过程中，意外被导管砸到头部</t>
  </si>
  <si>
    <t>2012.3.3</t>
    <phoneticPr fontId="11" type="noConversion"/>
  </si>
  <si>
    <t>密涿项目</t>
    <phoneticPr fontId="11" type="noConversion"/>
  </si>
  <si>
    <t>预制场钢筋加工大棚
大风破损</t>
    <phoneticPr fontId="11" type="noConversion"/>
  </si>
  <si>
    <t>2015.4.15</t>
    <phoneticPr fontId="11" type="noConversion"/>
  </si>
  <si>
    <t>万利六分部</t>
  </si>
  <si>
    <t>中国人民财产保险股份有限公司重庆市分公司</t>
  </si>
  <si>
    <t>总部承担</t>
    <phoneticPr fontId="11" type="noConversion"/>
  </si>
  <si>
    <t>2014.7.11</t>
  </si>
  <si>
    <t>工地施工房屋倒塌</t>
  </si>
  <si>
    <t>总部承担</t>
  </si>
  <si>
    <t>刘家岩隧道及薛家坝主墩滑坡</t>
  </si>
  <si>
    <t>2014.1.6</t>
  </si>
  <si>
    <t>挖孔桩工人医药费</t>
  </si>
  <si>
    <t>2015.3.26</t>
  </si>
  <si>
    <t>万利四分部（总承包部统一购买）</t>
    <phoneticPr fontId="11" type="noConversion"/>
  </si>
  <si>
    <t>人民财产保险</t>
    <phoneticPr fontId="11" type="noConversion"/>
  </si>
  <si>
    <t>中国人民人寿</t>
    <phoneticPr fontId="11" type="noConversion"/>
  </si>
  <si>
    <t>5.7</t>
    <phoneticPr fontId="11" type="noConversion"/>
  </si>
  <si>
    <t>从二衬修补台车下来时摔伤</t>
    <phoneticPr fontId="11" type="noConversion"/>
  </si>
  <si>
    <t>暂未赔付</t>
    <phoneticPr fontId="11" type="noConversion"/>
  </si>
  <si>
    <t>5.20</t>
    <phoneticPr fontId="11" type="noConversion"/>
  </si>
  <si>
    <t>抗滑桩施工时摔伤</t>
    <phoneticPr fontId="11" type="noConversion"/>
  </si>
  <si>
    <t>暂未出院</t>
    <phoneticPr fontId="11" type="noConversion"/>
  </si>
  <si>
    <t>6.9</t>
    <phoneticPr fontId="11" type="noConversion"/>
  </si>
  <si>
    <t>抗滑桩施工被石头砸伤</t>
    <phoneticPr fontId="11" type="noConversion"/>
  </si>
  <si>
    <t>6.15</t>
    <phoneticPr fontId="11" type="noConversion"/>
  </si>
  <si>
    <t>抗滑桩施工时摔伤死亡</t>
    <phoneticPr fontId="11" type="noConversion"/>
  </si>
  <si>
    <t>4.8</t>
    <phoneticPr fontId="11" type="noConversion"/>
  </si>
  <si>
    <t>下暴雨滑坡，砸毁钢结构棚架</t>
    <phoneticPr fontId="11" type="noConversion"/>
  </si>
  <si>
    <t>6.8</t>
    <phoneticPr fontId="11" type="noConversion"/>
  </si>
  <si>
    <t>下暴雨部分工程损失</t>
    <phoneticPr fontId="11" type="noConversion"/>
  </si>
  <si>
    <t>6.18</t>
    <phoneticPr fontId="11" type="noConversion"/>
  </si>
  <si>
    <t>暂未确定</t>
    <phoneticPr fontId="11" type="noConversion"/>
  </si>
  <si>
    <t>芜湖二桥项目</t>
    <phoneticPr fontId="11" type="noConversion"/>
  </si>
  <si>
    <t>2015.1.29</t>
    <phoneticPr fontId="11" type="noConversion"/>
  </si>
  <si>
    <t>因暴雪造成芜湖长江公路二桥D2标项目经理在建工程受损</t>
    <phoneticPr fontId="11" type="noConversion"/>
  </si>
  <si>
    <t>2015.4.1</t>
    <phoneticPr fontId="11" type="noConversion"/>
  </si>
  <si>
    <t>安徽</t>
    <phoneticPr fontId="11" type="noConversion"/>
  </si>
  <si>
    <t>2015.3.30</t>
    <phoneticPr fontId="11" type="noConversion"/>
  </si>
  <si>
    <t>在沉放完桩基钢筋笼子后和其他工友回到钢筋加工场，由于是夜间，再加上劳累，跌倒致使头部右耳软骨组织破裂，之后立即用车送往无为人民医院进行救治。</t>
    <phoneticPr fontId="11" type="noConversion"/>
  </si>
  <si>
    <t>海威公司</t>
    <phoneticPr fontId="1" type="noConversion"/>
  </si>
  <si>
    <t>四川省_兰渝铁路4分部</t>
    <phoneticPr fontId="11" type="noConversion"/>
  </si>
  <si>
    <t>中国平安财产保险股份有限公司海南分公司</t>
    <phoneticPr fontId="11" type="noConversion"/>
  </si>
  <si>
    <t xml:space="preserve">中国人寿保险股份有限公司宁夏分公司
</t>
    <phoneticPr fontId="11" type="noConversion"/>
  </si>
  <si>
    <t>暴雨至工地损失</t>
    <phoneticPr fontId="1" type="noConversion"/>
  </si>
  <si>
    <t>暴雨、洪水导致工地损失</t>
    <phoneticPr fontId="1" type="noConversion"/>
  </si>
  <si>
    <t>2010.04.06</t>
    <phoneticPr fontId="1" type="noConversion"/>
  </si>
  <si>
    <t>施工中，从软梯滑落，摔伤，胸部，腰部，脚部等多处受伤
身份证号：510226196511079278</t>
  </si>
  <si>
    <t>2010.04.20</t>
    <phoneticPr fontId="1" type="noConversion"/>
  </si>
  <si>
    <t>被滑落的钢筋梯扎伤头部</t>
  </si>
  <si>
    <t>支拱架时，石头突然掉落，刘恒汉被砸伤左手及腿部，赵得良面部两腿及腰部等多处受伤。</t>
  </si>
  <si>
    <t>2010.05.04</t>
    <phoneticPr fontId="1" type="noConversion"/>
  </si>
  <si>
    <t>施工中，不慎被钻机扎伤右脚</t>
  </si>
  <si>
    <t>2010.06.06</t>
    <phoneticPr fontId="1" type="noConversion"/>
  </si>
  <si>
    <t>2010.07.01</t>
    <phoneticPr fontId="1" type="noConversion"/>
  </si>
  <si>
    <t>在花滩河特大桥7号墩柱拆模板时，左脚脚踝被模板夹伤</t>
  </si>
  <si>
    <t>2010.07.26</t>
    <phoneticPr fontId="1" type="noConversion"/>
  </si>
  <si>
    <t>施工中不慎滑倒，左腿骨折。</t>
  </si>
  <si>
    <t>2010.08.06</t>
    <phoneticPr fontId="1" type="noConversion"/>
  </si>
  <si>
    <t>配电箱起火，在戴手套关闸时，手套燃着，烧伤双手。</t>
  </si>
  <si>
    <t>2010.08.10</t>
    <phoneticPr fontId="1" type="noConversion"/>
  </si>
  <si>
    <t>立拱架时，被掉下来的石头砸伤右脚。</t>
  </si>
  <si>
    <t>2010.08.18</t>
    <phoneticPr fontId="1" type="noConversion"/>
  </si>
  <si>
    <t>保险绳滑落，从3米高左右掉落，手掌撑地，双手手腕粉碎性骨折。</t>
  </si>
  <si>
    <t>2010.09.03</t>
    <phoneticPr fontId="1" type="noConversion"/>
  </si>
  <si>
    <t>马房岩特大桥施工时，石块滑落，砸落安全帽后砸到李小云头部，受伤。</t>
  </si>
  <si>
    <t>2010.09.06</t>
    <phoneticPr fontId="1" type="noConversion"/>
  </si>
  <si>
    <t>隧道塌方，王文俊被埋致死。</t>
  </si>
  <si>
    <t>2010.11.01</t>
    <phoneticPr fontId="1" type="noConversion"/>
  </si>
  <si>
    <t>从台车上掉落，摔倒头部，右臂等多处受伤</t>
  </si>
  <si>
    <t>2010.11.15</t>
    <phoneticPr fontId="1" type="noConversion"/>
  </si>
  <si>
    <t>石头砸到左脚，左脚骨折</t>
  </si>
  <si>
    <t>右手食指扭曲，导致手筋断裂</t>
  </si>
  <si>
    <t>被钢筋切断机切割右手拇指</t>
  </si>
  <si>
    <t>2011.02.22</t>
    <phoneticPr fontId="1" type="noConversion"/>
  </si>
  <si>
    <t>被钢丝绳绞到右手食指</t>
  </si>
  <si>
    <t>2011.02.28</t>
    <phoneticPr fontId="1" type="noConversion"/>
  </si>
  <si>
    <t>不慎落到河里，溺水死亡</t>
  </si>
  <si>
    <t>2011.07.28</t>
    <phoneticPr fontId="1" type="noConversion"/>
  </si>
  <si>
    <t>隧道内塌方，将其压在下面，抢救无效死亡</t>
  </si>
  <si>
    <t>贵州省_沪昆4标3工区</t>
    <phoneticPr fontId="11" type="noConversion"/>
  </si>
  <si>
    <t>中国人民财产保险股份有限公司贵阳市分公司</t>
    <phoneticPr fontId="11" type="noConversion"/>
  </si>
  <si>
    <t>都邦财产保险股份有限公司</t>
    <phoneticPr fontId="11" type="noConversion"/>
  </si>
  <si>
    <t>2011.01.19</t>
    <phoneticPr fontId="1" type="noConversion"/>
  </si>
  <si>
    <t>受暴雪灾害影响，我工区拌合站、各工点钢筋加工场彩钢棚压塌，部分彩钢房屋压毁。</t>
  </si>
  <si>
    <t>2012.06.10</t>
    <phoneticPr fontId="11" type="noConversion"/>
  </si>
  <si>
    <t>2012.06.10</t>
    <phoneticPr fontId="1" type="noConversion"/>
  </si>
  <si>
    <t>受暴雨灾害影响，我工区便道堵塞，板房挤垮、被淹，水泥结块，断桩，便桥冲垮，钢筋生锈，筑岛被冲，弃土场下百姓玉米地被淹。</t>
  </si>
  <si>
    <t>新建张家口至呼和浩特铁路站前工程ZHZQ-5标段三分部</t>
    <phoneticPr fontId="11" type="noConversion"/>
  </si>
  <si>
    <t>中国人民财产保险股份有限公司内蒙古自治区分公司</t>
    <phoneticPr fontId="1" type="noConversion"/>
  </si>
  <si>
    <t>2014.9.28</t>
    <phoneticPr fontId="1" type="noConversion"/>
  </si>
  <si>
    <t>周平在隧道立架作业时被掉落石块砸伤右腿。</t>
    <phoneticPr fontId="1" type="noConversion"/>
  </si>
  <si>
    <t>内蒙古</t>
  </si>
  <si>
    <t>杨福先在隧道喷浆作业时，双眼被回弹飞溅的石子击伤眼睛。</t>
    <phoneticPr fontId="1" type="noConversion"/>
  </si>
  <si>
    <t>暂不明</t>
  </si>
  <si>
    <t>周从贵在指挥砼罐车倒车时不慎将手指夹在罐车与喷浆机之间，手指被夹伤。</t>
    <phoneticPr fontId="1" type="noConversion"/>
  </si>
  <si>
    <t>2015.4.9</t>
  </si>
  <si>
    <t>丁加华在喷浆作业时不慎将液体速凝剂喷溅到了眼睛里，强碱性液体造成眼球发红局部灼烧。</t>
    <phoneticPr fontId="1" type="noConversion"/>
  </si>
  <si>
    <t>2015.4.10</t>
  </si>
  <si>
    <t>2014.10.30</t>
    <phoneticPr fontId="1" type="noConversion"/>
  </si>
  <si>
    <t>白贵文在隧道掌子面爆破钻孔时，被突然掉落石块砸伤左脚。</t>
    <phoneticPr fontId="1" type="noConversion"/>
  </si>
  <si>
    <t>2015.3.7</t>
    <phoneticPr fontId="1" type="noConversion"/>
  </si>
  <si>
    <t>蒋德洪在隧道开挖钻孔作业时，钻机钻杆意外滑动脱落导致左手中指受伤</t>
    <phoneticPr fontId="1" type="noConversion"/>
  </si>
  <si>
    <t>正收集资料；未申报</t>
    <phoneticPr fontId="1" type="noConversion"/>
  </si>
  <si>
    <t>孔小海在隧道进行立架作业时不慎被掉落石块砸伤右脚</t>
    <phoneticPr fontId="1" type="noConversion"/>
  </si>
  <si>
    <t>2015.4.11</t>
    <phoneticPr fontId="1" type="noConversion"/>
  </si>
  <si>
    <t>林孔良在进行隧道开挖立架时被洞顶突然掉落石块砸伤脊椎</t>
    <phoneticPr fontId="1" type="noConversion"/>
  </si>
  <si>
    <t>2015.4.14</t>
    <phoneticPr fontId="1" type="noConversion"/>
  </si>
  <si>
    <t>邱得付在进行人工挖孔作业时不慎被掉落石块砸伤右膝盖</t>
    <phoneticPr fontId="1" type="noConversion"/>
  </si>
  <si>
    <t>2015.4.18</t>
    <phoneticPr fontId="1" type="noConversion"/>
  </si>
  <si>
    <t>催瑞俊在进行隧道支护作业时，不慎从台车上坠落造成右手臂及肩部骨折</t>
    <phoneticPr fontId="1" type="noConversion"/>
  </si>
  <si>
    <t>2015.4.21</t>
    <phoneticPr fontId="1" type="noConversion"/>
  </si>
  <si>
    <t>王成豹在隧道挪栈桥作业时不慎被栈桥压伤双脚</t>
    <phoneticPr fontId="1" type="noConversion"/>
  </si>
  <si>
    <t>正在住院</t>
    <phoneticPr fontId="1" type="noConversion"/>
  </si>
  <si>
    <t>2015.5.6</t>
    <phoneticPr fontId="1" type="noConversion"/>
  </si>
  <si>
    <t>2105年5月6日挖断（卓资东电务车间）一根信号电缆、挖伤3根。</t>
    <phoneticPr fontId="1" type="noConversion"/>
  </si>
  <si>
    <t>2015.5.16</t>
    <phoneticPr fontId="1" type="noConversion"/>
  </si>
  <si>
    <t>刘心举在卢家湾13#墩柱拆模时不慎从墩顶坠落受伤</t>
    <phoneticPr fontId="1" type="noConversion"/>
  </si>
  <si>
    <t>邱孝全在大黑河7#墩作业时不慎从墩上坠落受伤</t>
    <phoneticPr fontId="1" type="noConversion"/>
  </si>
  <si>
    <t>2015.5.28</t>
    <phoneticPr fontId="1" type="noConversion"/>
  </si>
  <si>
    <t xml:space="preserve"> 何志忠，在姑二隧道浇筑二衬时被罐车撞到胸部</t>
    <phoneticPr fontId="1" type="noConversion"/>
  </si>
  <si>
    <t>2015.5.29</t>
    <phoneticPr fontId="1" type="noConversion"/>
  </si>
  <si>
    <t>柯玉新，在十一苏木隧道出口二衬台车拼装时螺旋顶掉落砸伤右手。</t>
    <phoneticPr fontId="1" type="noConversion"/>
  </si>
  <si>
    <t>2015.5.31</t>
    <phoneticPr fontId="1" type="noConversion"/>
  </si>
  <si>
    <t>卢家湾19#墩墩身钢筋及模板被大风(17.3m/秒）吹倒</t>
    <phoneticPr fontId="1" type="noConversion"/>
  </si>
  <si>
    <t>已申报</t>
  </si>
  <si>
    <t>2015.6.4</t>
    <phoneticPr fontId="1" type="noConversion"/>
  </si>
  <si>
    <t>彭国平于十一苏木隧道拆除二衬台车时被掉落木模砸伤头部</t>
    <phoneticPr fontId="1" type="noConversion"/>
  </si>
  <si>
    <t>2015.6.5</t>
    <phoneticPr fontId="1" type="noConversion"/>
  </si>
  <si>
    <t>张学明于张家卜隧道出口掌子面开挖时被掉落石块砸伤右腿</t>
    <phoneticPr fontId="1" type="noConversion"/>
  </si>
  <si>
    <t>重庆-万州至湖北利川高速公路（重庆段）五分部</t>
    <phoneticPr fontId="1" type="noConversion"/>
  </si>
  <si>
    <t>中国人民财产保险股份有限公司重庆市分公司</t>
    <phoneticPr fontId="1" type="noConversion"/>
  </si>
  <si>
    <t>中国人民人寿保险股份有限公司河北省分公司</t>
    <phoneticPr fontId="1" type="noConversion"/>
  </si>
  <si>
    <t>2014.03.26</t>
    <phoneticPr fontId="1" type="noConversion"/>
  </si>
  <si>
    <t>天气管道破损</t>
  </si>
  <si>
    <t>已申请暂未赔付</t>
  </si>
  <si>
    <t>2014.05.30</t>
    <phoneticPr fontId="1" type="noConversion"/>
  </si>
  <si>
    <t>2014.07.17</t>
    <phoneticPr fontId="1" type="noConversion"/>
  </si>
  <si>
    <t>水渠被砸坏</t>
  </si>
  <si>
    <t>2014.10.14</t>
    <phoneticPr fontId="11" type="noConversion"/>
  </si>
  <si>
    <t>2014.08.02</t>
    <phoneticPr fontId="1" type="noConversion"/>
  </si>
  <si>
    <t>房子砸坏</t>
  </si>
  <si>
    <t>2014.08.28</t>
    <phoneticPr fontId="1" type="noConversion"/>
  </si>
  <si>
    <t>长安寨隧道洞口塌</t>
  </si>
  <si>
    <t>已申请暂未赔付</t>
    <phoneticPr fontId="11" type="noConversion"/>
  </si>
  <si>
    <t>2014.09.02</t>
    <phoneticPr fontId="1" type="noConversion"/>
  </si>
  <si>
    <t>李家梁2号桥钢筋、架子倒坍，宏福村委会前挡墙垮塌，便道</t>
  </si>
  <si>
    <t>2014.10.02</t>
    <phoneticPr fontId="1" type="noConversion"/>
  </si>
  <si>
    <t>K39+353处边坡滑塌，上窄口便道滑塌</t>
    <phoneticPr fontId="1" type="noConversion"/>
  </si>
  <si>
    <t>2014.11.10</t>
    <phoneticPr fontId="1" type="noConversion"/>
  </si>
  <si>
    <t>K40+650段梁场滑坡天然气、房屋</t>
    <phoneticPr fontId="1" type="noConversion"/>
  </si>
  <si>
    <t>2015.04.02</t>
    <phoneticPr fontId="1" type="noConversion"/>
  </si>
  <si>
    <t>全线多处滑坡，K40+480～K40+850段1#滑坡体抗滑桩移位</t>
    <phoneticPr fontId="1" type="noConversion"/>
  </si>
  <si>
    <t>2015.04.19</t>
    <phoneticPr fontId="1" type="noConversion"/>
  </si>
  <si>
    <t>长安寨隧道S9-500变压器雷击后烧坏</t>
    <phoneticPr fontId="1" type="noConversion"/>
  </si>
  <si>
    <t>2015.06.16</t>
    <phoneticPr fontId="1" type="noConversion"/>
  </si>
  <si>
    <t>全线多处滑坡，K39+313-467段框架梁及排水沟受损</t>
    <phoneticPr fontId="1" type="noConversion"/>
  </si>
  <si>
    <t>贵州-沿德高速公路施工第三合同段</t>
    <phoneticPr fontId="11" type="noConversion"/>
  </si>
  <si>
    <t>永安财产保险股份有限公司重庆分公司</t>
  </si>
  <si>
    <t>2014.05.23-2014.08.20</t>
    <phoneticPr fontId="1" type="noConversion"/>
  </si>
  <si>
    <t>暴雨水毁</t>
  </si>
  <si>
    <t>2014.02.26</t>
    <phoneticPr fontId="11" type="noConversion"/>
  </si>
  <si>
    <t>隧道塌方</t>
  </si>
  <si>
    <t>河南-开民高速二分部</t>
    <phoneticPr fontId="11" type="noConversion"/>
  </si>
  <si>
    <t>中国平安财产保险股份有限公司河南分公司</t>
    <phoneticPr fontId="1" type="noConversion"/>
  </si>
  <si>
    <t>中国人民财产保险股份有限公司河南分公司</t>
    <phoneticPr fontId="1" type="noConversion"/>
  </si>
  <si>
    <t>/</t>
    <phoneticPr fontId="11" type="noConversion"/>
  </si>
  <si>
    <t>重庆酉阳—沿河高速四分部</t>
    <phoneticPr fontId="11" type="noConversion"/>
  </si>
  <si>
    <t xml:space="preserve">中国人民财产保险股份有限公司重庆分公司 </t>
    <phoneticPr fontId="1" type="noConversion"/>
  </si>
  <si>
    <t>建昌至兴城高速公路项目建设-移交（BT含施工总承包）2标</t>
    <phoneticPr fontId="11" type="noConversion"/>
  </si>
  <si>
    <t>中国太平洋财产保险股份有限公司</t>
    <phoneticPr fontId="1" type="noConversion"/>
  </si>
  <si>
    <t>重庆三环永川至江津段高速公路第一合同段</t>
    <phoneticPr fontId="11" type="noConversion"/>
  </si>
  <si>
    <t>中国平安财产保险股份有限公司重庆分公司</t>
    <phoneticPr fontId="1" type="noConversion"/>
  </si>
  <si>
    <t>中国人寿财产保险股份有限公司重庆分公司</t>
    <phoneticPr fontId="1" type="noConversion"/>
  </si>
  <si>
    <t>2013.6.14</t>
    <phoneticPr fontId="1" type="noConversion"/>
  </si>
  <si>
    <t>水毁水淹</t>
    <phoneticPr fontId="1" type="noConversion"/>
  </si>
  <si>
    <t>2014.11.25</t>
    <phoneticPr fontId="1" type="noConversion"/>
  </si>
  <si>
    <t>2013.4.09</t>
    <phoneticPr fontId="1" type="noConversion"/>
  </si>
  <si>
    <t>隧道塌方</t>
    <phoneticPr fontId="1" type="noConversion"/>
  </si>
  <si>
    <t>水毁导致路面开裂</t>
    <phoneticPr fontId="1" type="noConversion"/>
  </si>
  <si>
    <t>水毁导致涵洞沉降</t>
    <phoneticPr fontId="1" type="noConversion"/>
  </si>
  <si>
    <t>2014.8.7</t>
    <phoneticPr fontId="1" type="noConversion"/>
  </si>
  <si>
    <t>水毁导致边坡开裂</t>
    <phoneticPr fontId="1" type="noConversion"/>
  </si>
  <si>
    <t>2014.10.23</t>
    <phoneticPr fontId="1" type="noConversion"/>
  </si>
  <si>
    <t>炮损</t>
    <phoneticPr fontId="1" type="noConversion"/>
  </si>
  <si>
    <t>河南-省焦桐高速登封至汝州段登汝高速四分部</t>
    <phoneticPr fontId="11" type="noConversion"/>
  </si>
  <si>
    <t>中国平安财产保险股份有限公司河南分公司</t>
    <phoneticPr fontId="11" type="noConversion"/>
  </si>
  <si>
    <t>2014.08.23</t>
    <phoneticPr fontId="1" type="noConversion"/>
  </si>
  <si>
    <t>隧道边仰坡上岩层破碎，全风化，节理裂隙发育，稳定性差，事故发生时正值下雨，造成岩层进一步破碎，加重自重，在山体应力作用下，发生突然性的滑塌。</t>
    <phoneticPr fontId="1" type="noConversion"/>
  </si>
  <si>
    <t>2014.03.27</t>
    <phoneticPr fontId="1" type="noConversion"/>
  </si>
  <si>
    <t>机械掉落、砸中手臂</t>
    <phoneticPr fontId="1" type="noConversion"/>
  </si>
  <si>
    <t>2014.07.02</t>
    <phoneticPr fontId="1" type="noConversion"/>
  </si>
  <si>
    <t>模板滑落砸伤，指关节粉碎性骨折</t>
    <phoneticPr fontId="1" type="noConversion"/>
  </si>
  <si>
    <t>2014.07.12</t>
    <phoneticPr fontId="1" type="noConversion"/>
  </si>
  <si>
    <t>模板滑落砸伤，脚踝粉碎性骨折</t>
    <phoneticPr fontId="1" type="noConversion"/>
  </si>
  <si>
    <t>陕西-铜旬高速TX-C04标项目</t>
    <phoneticPr fontId="11" type="noConversion"/>
  </si>
  <si>
    <t>中国太平洋财产保险公司</t>
    <phoneticPr fontId="1" type="noConversion"/>
  </si>
  <si>
    <t>中国人民人寿保险股份有限公司</t>
    <phoneticPr fontId="1" type="noConversion"/>
  </si>
  <si>
    <t>2014.5.30</t>
    <phoneticPr fontId="1" type="noConversion"/>
  </si>
  <si>
    <t>受暴雨影响 桩基挖孔桩被埋</t>
    <phoneticPr fontId="1" type="noConversion"/>
  </si>
  <si>
    <t>2014.10.29</t>
    <phoneticPr fontId="1" type="noConversion"/>
  </si>
  <si>
    <t>陕西</t>
    <phoneticPr fontId="1" type="noConversion"/>
  </si>
  <si>
    <t>2014.8.31</t>
    <phoneticPr fontId="1" type="noConversion"/>
  </si>
  <si>
    <t>主线山体滑坡</t>
    <phoneticPr fontId="1" type="noConversion"/>
  </si>
  <si>
    <t>2015.05.04</t>
    <phoneticPr fontId="1" type="noConversion"/>
  </si>
  <si>
    <t>2014.7.9</t>
    <phoneticPr fontId="1" type="noConversion"/>
  </si>
  <si>
    <t>高边坡路基开挖滑坡</t>
    <phoneticPr fontId="1" type="noConversion"/>
  </si>
  <si>
    <t>施工导致附近房屋开裂</t>
    <phoneticPr fontId="1" type="noConversion"/>
  </si>
  <si>
    <t>2014.10.31</t>
    <phoneticPr fontId="1" type="noConversion"/>
  </si>
  <si>
    <t>浙江-肖东枢纽二标项目</t>
    <phoneticPr fontId="11" type="noConversion"/>
  </si>
  <si>
    <t>中国人民财产保险股份有限公司重庆分公司</t>
    <phoneticPr fontId="11" type="noConversion"/>
  </si>
  <si>
    <t>安徽省S103合铜路改建工程五标项目</t>
    <phoneticPr fontId="11" type="noConversion"/>
  </si>
  <si>
    <t>安徽财产保险股份有限公司</t>
    <phoneticPr fontId="11" type="noConversion"/>
  </si>
  <si>
    <t>S340杨楼孜至阜阳段改建工程3标段</t>
    <phoneticPr fontId="11" type="noConversion"/>
  </si>
  <si>
    <t>新华人寿保险股份有限公司</t>
    <phoneticPr fontId="11" type="noConversion"/>
  </si>
  <si>
    <t>重庆-永江中交隧道局与交通工程公司联合体华祥公司</t>
    <phoneticPr fontId="11" type="noConversion"/>
  </si>
  <si>
    <t xml:space="preserve">华润保险经纪有限公司
</t>
    <phoneticPr fontId="11" type="noConversion"/>
  </si>
  <si>
    <t>中国平安财产保险股份有限公司重庆分公司</t>
    <phoneticPr fontId="11" type="noConversion"/>
  </si>
  <si>
    <t>辽宁-建昌至兴城高速公路项目BT建设移交交通安全设施工程</t>
    <phoneticPr fontId="11" type="noConversion"/>
  </si>
  <si>
    <t>中国太平洋财产保险股份有限公司</t>
    <phoneticPr fontId="11" type="noConversion"/>
  </si>
  <si>
    <t>中国人寿财产保险股份有限公司</t>
    <phoneticPr fontId="11" type="noConversion"/>
  </si>
  <si>
    <t>辽宁</t>
    <phoneticPr fontId="11" type="noConversion"/>
  </si>
  <si>
    <t>重庆万利万达项目总部机电交安联合体五分部交安工区</t>
    <phoneticPr fontId="11" type="noConversion"/>
  </si>
  <si>
    <t>中国人民人寿保险股份有限公司河北省分公司</t>
    <phoneticPr fontId="11" type="noConversion"/>
  </si>
  <si>
    <t>徐州市三环西路高架快速路施工项目</t>
    <phoneticPr fontId="11" type="noConversion"/>
  </si>
  <si>
    <t>天安财产保险股份有限公司江苏省分公司</t>
    <phoneticPr fontId="11" type="noConversion"/>
  </si>
  <si>
    <t>泥浆池储放点崩塌，导致徐州市泉山区彭城机械厂、奇观大众汽车维修中心、三维印刷厂、喷图厂、振邦公司、剪刀厂、桃花园等地点被泥浆淹盖</t>
    <phoneticPr fontId="1" type="noConversion"/>
  </si>
  <si>
    <t>苏州工业园区桑田岛长阳街南延工程一标</t>
    <phoneticPr fontId="11" type="noConversion"/>
  </si>
  <si>
    <t>中国太平洋财产保险股份有限公司苏州分公司</t>
    <phoneticPr fontId="11" type="noConversion"/>
  </si>
  <si>
    <t>芜申运河马宣段航道整治工程定埠公路桥</t>
    <phoneticPr fontId="11" type="noConversion"/>
  </si>
  <si>
    <t>六安市南山新区团结路二期（中储粮大道-南山大道）道路工程</t>
    <phoneticPr fontId="11" type="noConversion"/>
  </si>
  <si>
    <t>商丘胜利东路项目</t>
    <phoneticPr fontId="11" type="noConversion"/>
  </si>
  <si>
    <t>华祥公司</t>
    <phoneticPr fontId="1" type="noConversion"/>
  </si>
  <si>
    <t>重庆酉沿项目</t>
  </si>
  <si>
    <t>中国人民财产保险重庆分公司重庆分公司</t>
    <phoneticPr fontId="1" type="noConversion"/>
  </si>
  <si>
    <t>中国人民人寿保险股份有限公司河北省分公司</t>
  </si>
  <si>
    <t>2013.7.5</t>
  </si>
  <si>
    <t>大雨水损，工区各工点受不同程度损失</t>
  </si>
  <si>
    <t>2013.8.6</t>
  </si>
  <si>
    <t>重庆酉阳</t>
  </si>
  <si>
    <t>2014.2.17</t>
  </si>
  <si>
    <t>2014年2月17日晚11：00因大雪天气，导致我分部酉阳2号拌合站料仓彩钢棚收风雪天气坍塌，2号拌合站一个拌合罐倾斜变形，我分部将其卸下放置</t>
  </si>
  <si>
    <t>2014.2.24</t>
  </si>
  <si>
    <t>2013.9.27</t>
  </si>
  <si>
    <t xml:space="preserve">2013年9月27日11时30分，酉阳2#隧道左线输风管道爆裂，导致施工人员刘军双眼不同程度受伤。
</t>
  </si>
  <si>
    <t xml:space="preserve">2013年9月29日上午9时40分，在酉沿一分部一工区路基钻孔施工中，工人王世玖不慎摔倒，被倒下的钻机砸伤左脚脚掌。
</t>
  </si>
  <si>
    <t>2013.11.5</t>
  </si>
  <si>
    <t xml:space="preserve">施工人员高云富在施工过程中，不慎从2m高处掉落，摔倒在钢筋上，导致右耳及嘴唇受伤。
</t>
  </si>
  <si>
    <t>2013.11.11</t>
  </si>
  <si>
    <t xml:space="preserve">2013年11月11日晚20点20分左右，酉阳1#隧道进口施工人员吴丰均在处理隧道溶洞过程中，不慎被洞顶坠落的泥石砸伤，吴丰均被砸中右臂，伤势较重。
</t>
  </si>
  <si>
    <t>2013.12.29</t>
  </si>
  <si>
    <t xml:space="preserve">工人不慎从装载机上摔落受伤。
</t>
  </si>
  <si>
    <t>2014.11.24</t>
  </si>
  <si>
    <t>2013.12.31</t>
  </si>
  <si>
    <t>工人在挖桩是不慎坠入孔底受伤</t>
  </si>
  <si>
    <t>在吊装钢材是不慎摔倒受伤</t>
  </si>
  <si>
    <t>施工中不慎被挖掘机碰伤</t>
  </si>
  <si>
    <t>2014.3.25</t>
  </si>
  <si>
    <t>打钻时被风枪砸伤</t>
  </si>
  <si>
    <t>2014.5.14</t>
  </si>
  <si>
    <t>维修设备时被千斤顶砸伤右手中指</t>
  </si>
  <si>
    <t>2014.6.7</t>
  </si>
  <si>
    <t>电锯锯木头过程中右手食指受伤</t>
  </si>
  <si>
    <t>在互通桥施工中，不慎被铁片割伤了左脚</t>
  </si>
  <si>
    <t>2015.3.30</t>
  </si>
  <si>
    <t>拆卸二衬台车过程中，不慎右手上臂被撞击骨折</t>
  </si>
  <si>
    <t>2015.5.9</t>
  </si>
  <si>
    <t>拆卸桥梁支架过程时，不慎被倒下的支架砸中右脚，导致右脚大母脚趾及脚背不同程度受伤，其中脚趾受伤较重</t>
  </si>
  <si>
    <t>麻竹4标一分部一工区</t>
    <phoneticPr fontId="11" type="noConversion"/>
  </si>
  <si>
    <t>共同保险人（中国太平洋为首席保险人）</t>
    <phoneticPr fontId="11" type="noConversion"/>
  </si>
  <si>
    <t>共同保险人（中国人保为首席保险人）</t>
    <phoneticPr fontId="11" type="noConversion"/>
  </si>
  <si>
    <t>2013.08.22</t>
  </si>
  <si>
    <t>2013年8月22日，麻竹4标中交一公局项目部一分部一工区人工挖孔桩工人李兴良：512225195112042575施工时不小心从山坡滑下来，腰椎骨摔成压碎性、粉碎性骨折，事故发生后，现场施工队长向志兵迅速将受伤的李兴良送往保康县中医院进行救治。</t>
  </si>
  <si>
    <t>2013.10.08</t>
  </si>
  <si>
    <t>2013年10月8日早上6点左右，冯家梁子隧道施工队进行隧道弃渣施工，司机赵汉昂：452625199009171479 开着解放牌自卸车（车牌号：赣E86366）从洞内到弃渣场卸车，车辆开到弃渣场旁边停稳后，准备卸车时车辆出现滑动，最终导致人和车坠入山沟，造成车辆损坏和司机受伤，事故发生后，现场施工队长林腾飞迅速将受伤的赵汉昂从变形的驾驶室里救出，并送往保康县中医院进行救治。</t>
  </si>
  <si>
    <t>2013年11月8日下午5点，麻竹4标中交一公局项目部一分部一工区路基锚杆防护工人柏宗建420626196807107012施工时边坡时搭设钢管架子滑掉下来，右肋骨、胸骨骨折、头部摔伤，事故发生后，现场施工队长金中祥迅速将受伤的柏宗建送往保康县中医院进行救治。</t>
  </si>
  <si>
    <t>2013年12月6日10:20分，麻竹4标中交一公局项目部一分部一工区大坪1#隧道队伍工人在拼装台车模板时，吊车臂碰到高压线，把余德清422128196608113134击伤，随后送往保康中医院救治，当天晚上转到襄阳市中心医院救治，9号病情稳定后又转到保康中医院。</t>
  </si>
  <si>
    <t>2015.2.28</t>
  </si>
  <si>
    <t>2014.1.4</t>
  </si>
  <si>
    <t>2014年1月4日23:30分，麻竹4标中交一公局项目部一分部一工区大坪1#隧道队伍工人张光明420322195410191213在洞内喷浆时，风管爆裂，甩到手臂造成骨折，施工负责人陈建迅速把张光明送往保康中医院骨科救治。</t>
  </si>
  <si>
    <t>2014.1.9</t>
  </si>
  <si>
    <t>2014年1月9日15:20分，麻竹4标中交一公局项目部一分部一工区大坪1#隧道队伍工人刘道胜（身份证：421126196808033338）在左洞里搬模板时，被装载机压到食指，造成第一节的肉全挤压掉了，现已送到保康中医院治疗。</t>
  </si>
  <si>
    <t>2014.1.18</t>
  </si>
  <si>
    <t>2014年1月18日10：0分，麻竹4标中交一公局项目部一分部一工区大坪1#隧道队伍工人董治安421126196411203159在洞内切割板块时，把右手大拇指切断，施工负责人陈建迅速把董治安送往保康中医院骨科救治。</t>
  </si>
  <si>
    <t>2014.5.04</t>
  </si>
  <si>
    <t>2014年5月4日下午2点，大坪1号隧道进口工人余子桂（身份证号：421126196507143170）在洞口拆模板时左手中指第一节被钢丝绳拧断，现在襄阳市中心医院，外科骨伤科、五楼501一床住院。经救治，现截去左手中指第一节</t>
  </si>
  <si>
    <t>2014年6月20日晚11点，大坪一号隧道进口施工队工人刘大国（身份证号513022195808126815）在隧道内施工时，被装载机撞伤，施工队负责人迅速将刘大国送往南漳县人民医院抢救，由于伤势过重到医院后已经死亡，随后遗体送到襄阳市殡仪馆存放。</t>
  </si>
  <si>
    <t>2015.04.29</t>
  </si>
  <si>
    <t>2014年6月11日上午10:30，麻竹4标一分部一工区实验室主管陈庆松（身份证号372924198506013610）在T梁预制场制梁区台阶处搬砼试块时摔倒，右手食指被砸伤，工区派车把其送到长坪镇医院救治，诊断为骨折和肌腱断裂，然后为了获得家人照顾，回到家庭所在地成武县人民医院外科继续救治，目前处于观察期，等待做手术。</t>
  </si>
  <si>
    <t>2014.07.18</t>
  </si>
  <si>
    <t>2014年7月18日上午10点30左右，麻竹4标中交一公局项目部一分部一工区大坪2#隧道队伍工人吴本军（身份证号：420626197103277018）在上班时被电锯割伤将右手食指，造成食指指尖掉落，事发后，立即被送到保康县人民医院进行治疗，现已出院。</t>
  </si>
  <si>
    <t>2014.09.02</t>
  </si>
  <si>
    <t>2014年9月2日麻竹4标中交一公局项目部一分部一工区冯家梁子隧道支护班工人郭昌文（身份证号：522428197107231014）在进行隧道喷浆时，喷到眼睛，随后送往南漳县人民医院进行医治，后送往襄阳477医院医治，经诊断右眼视力0.1、左眼视力0.5，现已出院。</t>
  </si>
  <si>
    <t xml:space="preserve">2014年7月24日，麻竹4标中交一公局项目部一分部一工区副经理冉开亮（身份证号：410122196006100051）清早乘单位小车自工地出发去郑州出差，车子沿京珠高速过许昌后，因避让前方车辆采取急刹车，导致其身体前倾挤在车辆操作台上，致使其右臂损伤，随后到郑州市住进了河南省人民医院，经医院骨科诊断后为右臂鹰嘴骨粉碎性骨折，并于7月26日在该院做了伤骨复原手术，目前已出院。
</t>
  </si>
  <si>
    <t>2015.04.14</t>
  </si>
  <si>
    <t>2014.08.29</t>
  </si>
  <si>
    <t>2014年8月29日下午，麻竹四标中交一公局项目部一分部一工区界山坪大桥施工队工人李国华（身份证号：150426196908281179）在运送钢筋过程中，钢丝绳断裂，钢筋掉落激起木块砸到头部，造成昏迷，当即送到南漳县人民医院进行救治。</t>
  </si>
  <si>
    <t>2013.5.31</t>
  </si>
  <si>
    <t>三者事故（秦慈洋死亡及摩托车受损）</t>
  </si>
  <si>
    <t>2013.6.27</t>
  </si>
  <si>
    <t>三者事故（货车受损）</t>
  </si>
  <si>
    <t>麻竹4标一分部二工区</t>
    <phoneticPr fontId="11" type="noConversion"/>
  </si>
  <si>
    <t>2013.07.31</t>
  </si>
  <si>
    <t>2013年7月31日上午8点40分左右，陈勋：42052819910315185x在1#大桥施工拆除模版时不慎踩空跌倒，致使右腿膝盖骨粉碎性骨折，当天9点30分左右即送往保康县人民医院进行救治。</t>
  </si>
  <si>
    <t>2014.03.03</t>
  </si>
  <si>
    <t>2014年3月3日上午11点40许目击者和死者韩大学在工地（砟峪1#大桥）上工作，当时死者正在清理桩基钢筋笼内的石头，目击者在另一个桩基钢筋笼内工作。当死者（韩大学）掏完石头出来后，旁边的一块大约6平米左右的石板，从大约1.5米左右的高处滑下将死者韩大学压在了石板下面。由于石头太大，人搬不动，工友就叫旁边的挖机过来将石板拿开，并拨打120急救，后在石板移开后发现死者韩大学脑袋变形，且脑浆已流了出来，告诉120，120以不拉死人为由，并未到达事故现场。</t>
  </si>
  <si>
    <t>2014.3.28</t>
  </si>
  <si>
    <t>2014.06.11</t>
  </si>
  <si>
    <t>2014-6-11晚九点左右，刘吉发在峰儿垭隧道喷浆时，掌子面围岩塌落，被围岩压住，立即组织救援，在送往县医院后，因伤势过重，不治身亡。</t>
  </si>
  <si>
    <t>2014.2.22</t>
  </si>
  <si>
    <t>2014年2月22日陈发全不慎从盖梁上跌倒，致颈椎及头部受伤，当天送往保康县人民医院进行救治。</t>
  </si>
  <si>
    <t>2014.2.23</t>
  </si>
  <si>
    <t>2014年2月22日陈发权不慎从盖梁上跌倒，致腰部受伤，当天送往保康县人民医院进行救治。</t>
  </si>
  <si>
    <t>2014.9.23</t>
  </si>
  <si>
    <t>厨师在厨房压面机压面的过程中，右手意外卡在传送轴上，立即送往保康县人民医院救治</t>
  </si>
  <si>
    <t>2014年9月22日大屋场隧道出口吊装模板因装载机侧翻油管突然爆掉造成侧臂斗下掉，张松碧在斗下松钢丝绳砸到头部后左脸磕到喷浆机头，造成张松碧侧脸骨和下巴骨骨折，送到保康县县人民医院一天花费3188元后，因环境问题转院到保康县中医院骨科医生建议必须手术，于2014年9月29号2点多进行手术！手术后医生建议在医院观察治疗需两个月左右！</t>
  </si>
  <si>
    <t>2015.4.6</t>
  </si>
  <si>
    <t>2015年4月6日早上6点多，模板班组工人邓映瑜在拆触模板是不慎滑倒，致耳朵少量出血，立即送往保康县人民医院治疗。之后医生建议更高一级的脑科医院治疗观察。</t>
  </si>
  <si>
    <t>2015年4.15日下午两点多，当事人在隧道施工过程中用风枪在工作面上打眼时，由于岩石太硬，手握风枪反弹，导致手指骨折。</t>
  </si>
  <si>
    <t>2015.5.12</t>
  </si>
  <si>
    <t>工人在施工过程中，用风枪打眼，掌子面处石子反弹，正好打中眼部下方息肉，当时立即送往最近的当地黄保医院做应急处理，后转院到保康县人民医院五官科治疗。</t>
  </si>
  <si>
    <t>2015.5.26</t>
  </si>
  <si>
    <t>工人2015.5.26日在施工过程中，不慎从防水板台车上滑落，立即送往保康县中医院进行治疗，经检查结果显示，6跟肋骨骨折。</t>
  </si>
  <si>
    <t>2015.6.12</t>
  </si>
  <si>
    <t>当事人在修筑水沟的过程中，在施工现场受到滚落石头的挤压，导致左脚脚踝受伤，立即送往县中医院治疗，经检查骨折。</t>
  </si>
  <si>
    <t>2015.6.24</t>
  </si>
  <si>
    <t>当事人在峰儿垭隧道进口做护坡过程中，在施工现场被滚落石头砸中脚面，导致脚背及脚趾受伤，立即送往县中医院治疗，经检查骨折。</t>
  </si>
  <si>
    <t>在开工在长期施工工程中，由于长期放炮，导致峰儿垭隧道方圆的部分房屋受损，特别严重施明华一家住房已成危房，须拆除重建，项目部赔偿79960元。合计补偿。</t>
    <phoneticPr fontId="11" type="noConversion"/>
  </si>
  <si>
    <t>2015.6.14</t>
  </si>
  <si>
    <t>在开工在长期施工工程中，由于长期放炮，导致冯家梁子隧道方圆的部分房屋受损，合计补偿。</t>
    <phoneticPr fontId="11" type="noConversion"/>
  </si>
  <si>
    <t>2014.4.22</t>
  </si>
  <si>
    <t>2014年4月22日上午6点发现山体滑坡，滑坡体将30mT梁压损，施工现场被埋及龙门吊轨被埋。</t>
  </si>
  <si>
    <t>2015.1.2</t>
  </si>
  <si>
    <t>2015年1月28日下午14点，由于强降雪，导致拌合站仓库棚大量积雪，发生坍塌。</t>
  </si>
  <si>
    <t>2015年3月26日到香山隧道进口左洞第101期二级警报，因初支背后围岩渗水，导致泥岩软化，围岩强度、自稳能力降低，造成该段初支发生大面积侵陷。施工单位于2015年3月13日，开始对ZK85+029-ZK85+042段13m初期侵陷的段落进行处治。</t>
  </si>
  <si>
    <t>2015年4月24日到香山隧道进口左洞第104期二级警报，因初支背后围岩渗水，导致泥岩软化，围岩强度、自稳能力降低，造成该段初支发生大面积侵陷。施工单位开始对ZK85+052-ZK85+073段21m初期侵陷的段落进行处治。</t>
  </si>
  <si>
    <t>贵州沿德4标</t>
  </si>
  <si>
    <t>2014.5.23</t>
  </si>
  <si>
    <t>暴雨受损</t>
  </si>
  <si>
    <t>2015.1.12</t>
  </si>
  <si>
    <t>2014.7.14</t>
  </si>
  <si>
    <t>2014.8.11</t>
  </si>
  <si>
    <t>工人卸模板不慎摔伤</t>
  </si>
  <si>
    <t>贵州沿德5标</t>
  </si>
  <si>
    <t>中国人民财产保险重庆分公司</t>
  </si>
  <si>
    <t>2014.4.20</t>
  </si>
  <si>
    <t>4月20日上午11点，青龙隧道施工员杨波在焊接二衬防水布台车时，大钢管不慎掉落，砸伤左脚，造成左脚两脚趾骨折，现已送至官舟医院治疗。</t>
  </si>
  <si>
    <t xml:space="preserve">2014.5.8 </t>
  </si>
  <si>
    <t>5月7日下午5点,青龙隧道施工员田世红在拼装二衬台车工作时,台车横梁不慎掉落,砸伤双脚脚背,造成骨折,现已送至官舟医院治疗</t>
  </si>
  <si>
    <t>5月8日上午10点,在沿德五标青龙隧道施工现场,装载机在转运钢筋时,不慎将当地村民陈顺祥(年龄82岁)压伤,脚骨折,送至德江医院治疗完毕，已出院。</t>
  </si>
  <si>
    <t>爆破工冉井熙，钻机在施工过程中钻杆滑落，左手中指砸伤。</t>
  </si>
  <si>
    <t xml:space="preserve">2014.08.04 </t>
  </si>
  <si>
    <t>8月4日下午5点，在沿德五标防护一队施工员杨正乾在防护施工过程中从边坡上摔倒，导致左脚受伤，现已送至官舟医院治疗。</t>
  </si>
  <si>
    <t>2014.09.09</t>
  </si>
  <si>
    <t>41岁，胡川在官庄隧道打炮眼时，石头滑落砸伤肩膀，在德江医院治疗后已出院。</t>
  </si>
  <si>
    <t>2014.10.17</t>
  </si>
  <si>
    <t>10月17日下午5点，朱周发吊钢筋时钢筋脱落砸伤右手臂，现在沿河官舟医院就诊。</t>
  </si>
  <si>
    <t>11月28日下午17：30，许伟雄在施工过程中压浆搅拌机搅住手指了，左手4指断裂。目前在德江民族中医院就诊。</t>
  </si>
  <si>
    <t>2014.04.11</t>
  </si>
  <si>
    <t>4月11日，工人在施工过程中，跳蹬大桥4#墩国道边坡发生塌方</t>
  </si>
  <si>
    <t>2014.05.24</t>
  </si>
  <si>
    <t>5月23日,沿德五标段由于大暴雨导致全线大部分农田被淹没,青苗损失,加上部分房屋被淹没</t>
  </si>
  <si>
    <t>2014.08.18</t>
  </si>
  <si>
    <t>8月18日，沿德五标跳蹬大桥由于大暴雨导致</t>
  </si>
  <si>
    <t>4月12日晚上11:50因混凝土运输车故障造成何承军（52岁）右手大拇指骨折，神经裁断。现正转往重庆九龙坡区长城医院治疗</t>
  </si>
  <si>
    <t>2015.06.06</t>
  </si>
  <si>
    <t>6月06日下午4:00因混凝土运输车侧翻造成刘良俊（39岁）死亡。</t>
  </si>
  <si>
    <t>道安项目</t>
    <phoneticPr fontId="1" type="noConversion"/>
  </si>
  <si>
    <t>2014.7.16</t>
    <phoneticPr fontId="1" type="noConversion"/>
  </si>
  <si>
    <t>暴雨水毁</t>
    <phoneticPr fontId="1" type="noConversion"/>
  </si>
  <si>
    <t>沈铁项目</t>
    <phoneticPr fontId="1" type="noConversion"/>
  </si>
  <si>
    <t>中国大地财产保险股份有限公司</t>
    <phoneticPr fontId="1" type="noConversion"/>
  </si>
  <si>
    <t>太平财产保险有限公司陕西分公司</t>
    <phoneticPr fontId="1" type="noConversion"/>
  </si>
  <si>
    <t>太平财产保险有限公司宝鸡中心支公司</t>
    <phoneticPr fontId="1" type="noConversion"/>
  </si>
  <si>
    <t>关林子大桥桩基由于地下溶洞漏浆，采取回填土重新冲击的方式施工</t>
  </si>
  <si>
    <t>武关驿隧道右线进口图纸为粉沙土，且为浅埋地表，开挖中由于地质原因不慎洞顶坍塌</t>
  </si>
  <si>
    <t>2015.4.1</t>
  </si>
  <si>
    <t>由于工程施工所属境内强降雨导致河水上涨迅猛，河道施工作业面全部被淹没摧毁</t>
  </si>
  <si>
    <t>桩基人工挖孔作业过程中不慎受伤</t>
  </si>
  <si>
    <t>2015.3.10</t>
  </si>
  <si>
    <t>2015.3.15</t>
  </si>
  <si>
    <t>铁佛殿1号隧道施工中不慎从初支台车上摔下导致头部失血过多身亡</t>
  </si>
  <si>
    <t>2015.6.10</t>
  </si>
  <si>
    <t>2015.5.20</t>
  </si>
  <si>
    <t>桥梁下部结构施工过程中接电不慎将手烧伤</t>
  </si>
  <si>
    <t>铁佛殿特大桥人工挖孔施工过程中不慎将通信光缆挖断</t>
  </si>
  <si>
    <t>卸龙门吊被挤压，胸部受伤</t>
  </si>
  <si>
    <t>2015.6.23</t>
  </si>
  <si>
    <t>2014.11.14</t>
  </si>
  <si>
    <t>2014.11.13晚上9点卸墩柱模板，被模板打到了手</t>
  </si>
  <si>
    <t>2014.11.26</t>
  </si>
  <si>
    <t>2014.11.25晚上9点安装台车模板，被模板压到了脚</t>
  </si>
  <si>
    <t xml:space="preserve">2014.10.27 </t>
  </si>
  <si>
    <t>2014.10.25（20:00）台车砸伤左脚三根脚趾</t>
  </si>
  <si>
    <t>2015.1.28</t>
  </si>
  <si>
    <t xml:space="preserve">2015.1.25 </t>
  </si>
  <si>
    <t>2015.1.25（16.50）被吊车腿挤压到手部</t>
  </si>
  <si>
    <t>降雨导致河水位上升造成水毁</t>
  </si>
  <si>
    <t>2015.5.4</t>
  </si>
  <si>
    <t>2015年5月16日在哑姑山隧道拱顶排险过程中，因断面垮层受伤，造成 脸部、手部、右腿受伤</t>
  </si>
  <si>
    <t xml:space="preserve">2015年6月1日下午一点左右，沙河滩工地进行水磨钻施工中，卷扬机故障，导致机器和人同时坠入桩底，人员伤到生殖器。
</t>
  </si>
  <si>
    <t>2015.6.1</t>
  </si>
  <si>
    <t>2015.6.4下午3点水磨钻施工时，铁渣飞到膝盖肌肉里，在留坝县医院治疗</t>
  </si>
  <si>
    <t>二人在绑扎钢筋笼时被滑落的钢筋笼挤压造成工人受伤，在留坝县医院住院</t>
  </si>
  <si>
    <t>2015.6.26</t>
  </si>
  <si>
    <t>河水未退，暂无法估计</t>
  </si>
  <si>
    <t>安平路面2标</t>
  </si>
  <si>
    <t>中国人民财产保险股份有限公司陕西分公司</t>
  </si>
  <si>
    <t>永安财产保险股份有限公司安康中心支公司</t>
  </si>
  <si>
    <t>在施工现场不幸被施工车辆碾压致死</t>
    <phoneticPr fontId="1" type="noConversion"/>
  </si>
  <si>
    <t>天水山水大桥项目</t>
    <phoneticPr fontId="1" type="noConversion"/>
  </si>
  <si>
    <t>永安财产保险股份有限公司陕西分公司</t>
    <phoneticPr fontId="1" type="noConversion"/>
  </si>
  <si>
    <t>甘肃</t>
    <phoneticPr fontId="1" type="noConversion"/>
  </si>
  <si>
    <t>紫金财产保险</t>
  </si>
  <si>
    <t>总承包公司</t>
    <phoneticPr fontId="1" type="noConversion"/>
  </si>
  <si>
    <r>
      <rPr>
        <sz val="10"/>
        <rFont val="宋体"/>
        <family val="3"/>
        <charset val="134"/>
      </rPr>
      <t>江苏省临海高等级公路灌河大桥</t>
    </r>
    <r>
      <rPr>
        <sz val="10"/>
        <rFont val="Times New Roman"/>
        <family val="1"/>
      </rPr>
      <t>GH-2</t>
    </r>
    <r>
      <rPr>
        <sz val="10"/>
        <rFont val="宋体"/>
        <family val="3"/>
        <charset val="134"/>
      </rPr>
      <t>标</t>
    </r>
    <phoneticPr fontId="11" type="noConversion"/>
  </si>
  <si>
    <t>2012.10.28</t>
  </si>
  <si>
    <t>2012.11.16</t>
  </si>
  <si>
    <t>2012.12.5</t>
  </si>
  <si>
    <t>2012.12.12</t>
  </si>
  <si>
    <t>不小心跌倒摔伤</t>
  </si>
  <si>
    <t>2013.1.6</t>
  </si>
  <si>
    <t>2013.3.5</t>
  </si>
  <si>
    <t>清淤时将手指夹裂</t>
  </si>
  <si>
    <t>2013.1.17</t>
  </si>
  <si>
    <t>切木板时不小心切到右手大拇指</t>
  </si>
  <si>
    <r>
      <rPr>
        <sz val="10"/>
        <rFont val="宋体"/>
        <family val="3"/>
        <charset val="134"/>
      </rPr>
      <t>湖北保宜高速襄阳段</t>
    </r>
    <r>
      <rPr>
        <sz val="10"/>
        <rFont val="Times New Roman"/>
        <family val="1"/>
      </rPr>
      <t>BYXYTJ-1</t>
    </r>
    <r>
      <rPr>
        <sz val="10"/>
        <rFont val="宋体"/>
        <family val="3"/>
        <charset val="134"/>
      </rPr>
      <t>合同段</t>
    </r>
    <phoneticPr fontId="11" type="noConversion"/>
  </si>
  <si>
    <t>中国人民财产保险</t>
    <phoneticPr fontId="11" type="noConversion"/>
  </si>
  <si>
    <t>永诚保险</t>
    <phoneticPr fontId="11" type="noConversion"/>
  </si>
  <si>
    <t>2013.5.20</t>
    <phoneticPr fontId="11" type="noConversion"/>
  </si>
  <si>
    <t>河道涨水</t>
    <phoneticPr fontId="11" type="noConversion"/>
  </si>
  <si>
    <t>2015.2.18</t>
    <phoneticPr fontId="11" type="noConversion"/>
  </si>
  <si>
    <t>工人意外受伤</t>
    <phoneticPr fontId="11" type="noConversion"/>
  </si>
  <si>
    <t>河北省石家庄至磁县（冀豫界）改扩建工程KJ5标</t>
    <phoneticPr fontId="11" type="noConversion"/>
  </si>
  <si>
    <t>中国人民财产保险有限公司河北省分公司</t>
    <phoneticPr fontId="11" type="noConversion"/>
  </si>
  <si>
    <t>2013.1.15</t>
  </si>
  <si>
    <t>电缆线挖断</t>
  </si>
  <si>
    <t>2013.2.20</t>
  </si>
  <si>
    <t>中国人民财产保险有限公司河北省分公司</t>
  </si>
  <si>
    <t>2013.3.7</t>
  </si>
  <si>
    <t>4车沥青料</t>
  </si>
  <si>
    <t>2013.7.29</t>
  </si>
  <si>
    <t>2014.1.2</t>
  </si>
  <si>
    <t>2014.1.28</t>
  </si>
  <si>
    <t>2015.1.6</t>
  </si>
  <si>
    <t>2014年水毁</t>
  </si>
  <si>
    <t>2015.2.4</t>
  </si>
  <si>
    <r>
      <rPr>
        <sz val="10"/>
        <rFont val="宋体"/>
        <family val="3"/>
        <charset val="134"/>
      </rPr>
      <t>河北省高速公路石安改扩建</t>
    </r>
    <r>
      <rPr>
        <sz val="10"/>
        <rFont val="Times New Roman"/>
        <family val="1"/>
      </rPr>
      <t>XJ8</t>
    </r>
    <r>
      <rPr>
        <sz val="10"/>
        <rFont val="宋体"/>
        <family val="3"/>
        <charset val="134"/>
      </rPr>
      <t>项目经理部</t>
    </r>
    <phoneticPr fontId="11" type="noConversion"/>
  </si>
  <si>
    <t>2014.03.12</t>
  </si>
  <si>
    <t>水毁</t>
  </si>
  <si>
    <t>2014.03.18</t>
  </si>
  <si>
    <t>2015.02.10</t>
  </si>
  <si>
    <t>2015.02.15</t>
  </si>
  <si>
    <t>2013.7.</t>
    <phoneticPr fontId="11" type="noConversion"/>
  </si>
  <si>
    <t>甘肃陇南地区下暴雨</t>
  </si>
  <si>
    <t>20145.1.10</t>
  </si>
  <si>
    <t>甘肃省兰州新城至永靖沿黄河快速直通道LY6标项目经理部</t>
    <phoneticPr fontId="11" type="noConversion"/>
  </si>
  <si>
    <t>永安财产保险股份有限公司甘肃分公司</t>
    <phoneticPr fontId="11" type="noConversion"/>
  </si>
  <si>
    <t>北京京石二通道（大苑村-市界段）高速公路工程土建第 15 标段</t>
    <phoneticPr fontId="11" type="noConversion"/>
  </si>
  <si>
    <t>安徽省岳武高速公路YW-01合同</t>
    <phoneticPr fontId="11" type="noConversion"/>
  </si>
  <si>
    <r>
      <rPr>
        <sz val="10"/>
        <rFont val="宋体"/>
        <family val="3"/>
        <charset val="134"/>
      </rPr>
      <t>京石改扩建工程</t>
    </r>
    <r>
      <rPr>
        <sz val="10"/>
        <rFont val="Times New Roman"/>
        <family val="1"/>
      </rPr>
      <t>JS7</t>
    </r>
    <r>
      <rPr>
        <sz val="10"/>
        <rFont val="宋体"/>
        <family val="3"/>
        <charset val="134"/>
      </rPr>
      <t>项目</t>
    </r>
    <phoneticPr fontId="11" type="noConversion"/>
  </si>
  <si>
    <t>中国太平洋保险保险股份有限公司河北分公司</t>
    <phoneticPr fontId="11" type="noConversion"/>
  </si>
  <si>
    <t>永安财产保险股份有限公司河北分公司</t>
    <phoneticPr fontId="11" type="noConversion"/>
  </si>
  <si>
    <t>2013.07.04</t>
  </si>
  <si>
    <t>2013年7月4日下午17时左右，保定市天气变化，瞬时刮风下雨，风力较大，项目部房屋出现晃动，垃圾箱被刮翻，造成拌合站钢筋加工棚、砂石料料棚被刮翻。</t>
  </si>
  <si>
    <t>2014.04.17</t>
  </si>
  <si>
    <t>2013.07.09</t>
  </si>
  <si>
    <t>2013年7月9日，凌晨2时左右，保定市出现大范围强降雨，造成我项目部钻孔灌注桩无法连续灌注，3根钻孔灌注桩出现断桩，路基积水严重，部分路基受雨水浸泡出现反弹现象，桥梁基坑、涵洞积水严重，施工便道被雨水冲毁。</t>
  </si>
  <si>
    <t>2013.09.11</t>
  </si>
  <si>
    <t>2013.08.13</t>
  </si>
  <si>
    <t>2013年8月13日出现大范围的降雨天气，雨量较大，造成路基被浸泡、基坑积水、钻孔灌注桩断桩三者等损失。</t>
  </si>
  <si>
    <t>2014.9.1</t>
    <phoneticPr fontId="11" type="noConversion"/>
  </si>
  <si>
    <t>天气突然下暴雨，导致农田被淹，村名要求赔偿。</t>
    <phoneticPr fontId="11" type="noConversion"/>
  </si>
  <si>
    <t>2013.5.13</t>
  </si>
  <si>
    <t>人身意外伤害</t>
  </si>
  <si>
    <t>2014.05.26</t>
  </si>
  <si>
    <t>2014.3.12</t>
  </si>
  <si>
    <t>2014.07.09</t>
  </si>
  <si>
    <t>2014.07.28</t>
  </si>
  <si>
    <t>2014.9.4</t>
  </si>
  <si>
    <t>2014.12.19</t>
  </si>
  <si>
    <t>2013.08.27</t>
  </si>
  <si>
    <t>2013.6.24</t>
  </si>
  <si>
    <t>暴雨损毁</t>
  </si>
  <si>
    <t>2013.10.31</t>
  </si>
  <si>
    <t>暴风损毁</t>
  </si>
  <si>
    <t>2014.07.30</t>
  </si>
  <si>
    <t>暴雨造成三者农田受损</t>
  </si>
  <si>
    <t>2014.08.15</t>
  </si>
  <si>
    <t>2014.6.8</t>
  </si>
  <si>
    <t>2014.11.27</t>
  </si>
  <si>
    <t>201.12.19</t>
  </si>
  <si>
    <t>永诚财产保险股份有限公司</t>
  </si>
  <si>
    <t>麻竹项目四标四分部一工区</t>
    <phoneticPr fontId="11" type="noConversion"/>
  </si>
  <si>
    <r>
      <t>2014.4.25</t>
    </r>
    <r>
      <rPr>
        <sz val="12"/>
        <rFont val="宋体"/>
        <family val="3"/>
        <charset val="134"/>
      </rPr>
      <t/>
    </r>
  </si>
  <si>
    <r>
      <t>2014.7.11</t>
    </r>
    <r>
      <rPr>
        <sz val="12"/>
        <rFont val="宋体"/>
        <family val="3"/>
        <charset val="134"/>
      </rPr>
      <t/>
    </r>
  </si>
  <si>
    <t>2013.9.19仙鹤施工队熊尚军身份证号：422826196311115011在施工过程中切钢筋时，不慎被切断机打伤造成左大腿下段软组织损伤。</t>
  </si>
  <si>
    <t>2013.10.2仙鹤施工队熊尚军身份证号：422826196311115011在施工过程中吊水沟模板时，不慎右手拇指被钢模板夹伤造成右手拇指末节指骨粉碎性开放性骨折。</t>
  </si>
  <si>
    <t>2013.7.12仙鹤施工队陈国钧身份证号：420302199106080714在施工过程中洞内立钢拱架时，不慎被钢拱架夹伤造成左手食指中节指骨粉碎性骨折。</t>
  </si>
  <si>
    <t>2014.8.8中午11点多仙鹤出口施工队施工人员陈端瑜：350128198203083212在隧道被挖机铲斗子撞上导致头部流血腰部受伤，即使送往保康县人民医院救治。</t>
  </si>
  <si>
    <t>2014.6.3早上7点多保康进口施工队施工人员张帮双在因抬二衬台车混凝土输送泵时导致右手食指第一个指关节缺失和中指受伤，即使送往保康县人民医院救治。</t>
  </si>
  <si>
    <t>2014.7.25上午8点多保康进口拌合站施工人员邵百安:422121197107297318在进口拌合站清理料斗时意外受伤，在送往医院后经抢救无效死亡。</t>
  </si>
  <si>
    <t>2013.10.11</t>
  </si>
  <si>
    <t>萍洪高速总承包一分部（13年复工）</t>
    <phoneticPr fontId="11" type="noConversion"/>
  </si>
  <si>
    <t>2014.05.04</t>
  </si>
  <si>
    <t>2014.08.31</t>
  </si>
  <si>
    <r>
      <rPr>
        <sz val="10"/>
        <rFont val="宋体"/>
        <family val="3"/>
        <charset val="134"/>
      </rPr>
      <t>广东汕湛项目揭博</t>
    </r>
    <r>
      <rPr>
        <sz val="10"/>
        <rFont val="Times New Roman"/>
        <family val="1"/>
      </rPr>
      <t>T</t>
    </r>
    <r>
      <rPr>
        <sz val="10"/>
        <rFont val="宋体"/>
        <family val="3"/>
        <charset val="134"/>
      </rPr>
      <t>7标</t>
    </r>
    <phoneticPr fontId="11" type="noConversion"/>
  </si>
  <si>
    <r>
      <rPr>
        <sz val="10"/>
        <rFont val="宋体"/>
        <family val="3"/>
        <charset val="134"/>
      </rPr>
      <t>广东连平</t>
    </r>
    <r>
      <rPr>
        <sz val="10"/>
        <rFont val="Times New Roman"/>
        <family val="1"/>
      </rPr>
      <t>S5</t>
    </r>
    <r>
      <rPr>
        <sz val="10"/>
        <rFont val="宋体"/>
        <family val="3"/>
        <charset val="134"/>
      </rPr>
      <t>标项目</t>
    </r>
    <phoneticPr fontId="11" type="noConversion"/>
  </si>
  <si>
    <t>桥隧公司贵州沿德一分部</t>
    <phoneticPr fontId="11" type="noConversion"/>
  </si>
  <si>
    <t>桥隧公司贵州沿德二分部</t>
    <phoneticPr fontId="11" type="noConversion"/>
  </si>
  <si>
    <t>中国太平洋保险</t>
  </si>
  <si>
    <r>
      <rPr>
        <sz val="10"/>
        <rFont val="宋体"/>
        <family val="3"/>
        <charset val="134"/>
      </rPr>
      <t>宜昌至张家界高速</t>
    </r>
    <r>
      <rPr>
        <sz val="10"/>
        <rFont val="Times New Roman"/>
        <family val="1"/>
      </rPr>
      <t>YZTJ-2</t>
    </r>
    <r>
      <rPr>
        <sz val="10"/>
        <rFont val="宋体"/>
        <family val="3"/>
        <charset val="134"/>
      </rPr>
      <t>标</t>
    </r>
    <phoneticPr fontId="11" type="noConversion"/>
  </si>
  <si>
    <t>2014.7.10</t>
  </si>
  <si>
    <t>暴雨冲毁便桥、便道、等其他工程</t>
  </si>
  <si>
    <t>2014.8.9</t>
  </si>
  <si>
    <t>2015.1.1</t>
  </si>
  <si>
    <t>施工意外</t>
  </si>
  <si>
    <t>2015.2.10</t>
  </si>
  <si>
    <t>永诚财产保险</t>
  </si>
  <si>
    <t>江北二标</t>
  </si>
  <si>
    <t>2015.2.5</t>
  </si>
  <si>
    <t>2014.12.13</t>
  </si>
  <si>
    <t>暂未核定</t>
  </si>
  <si>
    <t>2014.12.23</t>
  </si>
  <si>
    <t>闫加安在K34+513.5沧湖渔场特大桥，现场施工时被钢管砸伤右脚中间3脚趾，2断1伤。</t>
  </si>
  <si>
    <t>2014.11.3</t>
  </si>
  <si>
    <t>刘来庄在磅房前涵洞基坑边摔下受伤。（造成脾脏受伤，已经做了脾脏切割手术），伤残鉴定等级七级。</t>
  </si>
  <si>
    <t>沪昆三分部</t>
    <phoneticPr fontId="11" type="noConversion"/>
  </si>
  <si>
    <t>2011年“6.15”暴雨损失</t>
  </si>
  <si>
    <t>2013.8.21</t>
  </si>
  <si>
    <t>2012.6.30</t>
  </si>
  <si>
    <t>红岭隧道“6.30”塌方</t>
  </si>
  <si>
    <t>沪昆四分部</t>
    <phoneticPr fontId="11" type="noConversion"/>
  </si>
  <si>
    <t>桥隧公司</t>
    <phoneticPr fontId="1" type="noConversion"/>
  </si>
  <si>
    <t>序号</t>
    <phoneticPr fontId="1" type="noConversion"/>
  </si>
  <si>
    <t>三公司</t>
    <phoneticPr fontId="1" type="noConversion"/>
  </si>
  <si>
    <t>项目实际损失合计</t>
    <phoneticPr fontId="1" type="noConversion"/>
  </si>
  <si>
    <t>保险公司赔付合计</t>
    <phoneticPr fontId="1" type="noConversion"/>
  </si>
  <si>
    <t>项目合计保险公司赔付金额/实际损失金额</t>
    <phoneticPr fontId="1" type="noConversion"/>
  </si>
  <si>
    <t>保险公司赔付金额/实际损失金额</t>
    <phoneticPr fontId="1" type="noConversion"/>
  </si>
  <si>
    <t>项目合计保险公司赔付金额/投保金额</t>
    <phoneticPr fontId="1" type="noConversion"/>
  </si>
  <si>
    <t>内蒙古张呼铁路哈风井制梁场</t>
    <phoneticPr fontId="11" type="noConversion"/>
  </si>
  <si>
    <t>保险理赔情况</t>
    <phoneticPr fontId="1" type="noConversion"/>
  </si>
  <si>
    <r>
      <rPr>
        <sz val="10"/>
        <rFont val="宋体"/>
        <family val="3"/>
        <charset val="134"/>
      </rPr>
      <t>温州绕城</t>
    </r>
    <r>
      <rPr>
        <sz val="10"/>
        <rFont val="Times New Roman"/>
        <family val="1"/>
      </rPr>
      <t>8</t>
    </r>
    <r>
      <rPr>
        <sz val="10"/>
        <rFont val="宋体"/>
        <family val="3"/>
        <charset val="134"/>
      </rPr>
      <t>标项目</t>
    </r>
    <phoneticPr fontId="1" type="noConversion"/>
  </si>
  <si>
    <r>
      <rPr>
        <sz val="10"/>
        <rFont val="宋体"/>
        <family val="3"/>
        <charset val="134"/>
      </rPr>
      <t>温州绕城</t>
    </r>
    <r>
      <rPr>
        <sz val="10"/>
        <rFont val="Times New Roman"/>
        <family val="1"/>
      </rPr>
      <t>4</t>
    </r>
    <r>
      <rPr>
        <sz val="10"/>
        <rFont val="宋体"/>
        <family val="3"/>
        <charset val="134"/>
      </rPr>
      <t>标</t>
    </r>
    <phoneticPr fontId="1" type="noConversion"/>
  </si>
  <si>
    <r>
      <rPr>
        <sz val="10"/>
        <rFont val="宋体"/>
        <family val="3"/>
        <charset val="134"/>
      </rPr>
      <t>武义</t>
    </r>
    <r>
      <rPr>
        <sz val="10"/>
        <rFont val="Times New Roman"/>
        <family val="1"/>
      </rPr>
      <t>2</t>
    </r>
    <r>
      <rPr>
        <sz val="10"/>
        <rFont val="宋体"/>
        <family val="3"/>
        <charset val="134"/>
      </rPr>
      <t>标项目</t>
    </r>
    <phoneticPr fontId="1" type="noConversion"/>
  </si>
  <si>
    <r>
      <t>延延</t>
    </r>
    <r>
      <rPr>
        <sz val="10"/>
        <rFont val="Times New Roman"/>
        <family val="1"/>
      </rPr>
      <t>11</t>
    </r>
    <r>
      <rPr>
        <sz val="10"/>
        <rFont val="宋体"/>
        <family val="3"/>
        <charset val="134"/>
      </rPr>
      <t>标</t>
    </r>
  </si>
  <si>
    <t>重庆永川双石至江津第二合同</t>
    <phoneticPr fontId="1" type="noConversion"/>
  </si>
  <si>
    <t>营城子至松江河高速公路靖宇至抚松段YS08标段</t>
    <phoneticPr fontId="11" type="noConversion"/>
  </si>
  <si>
    <t>济祁高速永城至利辛安徽段第二合同段</t>
    <phoneticPr fontId="1" type="noConversion"/>
  </si>
  <si>
    <t>张呼铁路ZHZQ-5标段三分部</t>
    <phoneticPr fontId="11" type="noConversion"/>
  </si>
  <si>
    <t>沿德高速公路施工第三合同段</t>
    <phoneticPr fontId="11" type="noConversion"/>
  </si>
  <si>
    <r>
      <t>XX</t>
    </r>
    <r>
      <rPr>
        <b/>
        <sz val="16"/>
        <rFont val="宋体"/>
        <family val="2"/>
        <charset val="134"/>
      </rPr>
      <t>公司</t>
    </r>
    <r>
      <rPr>
        <b/>
        <sz val="16"/>
        <rFont val="Times New Roman"/>
        <family val="1"/>
      </rPr>
      <t>XX</t>
    </r>
    <r>
      <rPr>
        <b/>
        <sz val="16"/>
        <rFont val="宋体"/>
        <family val="2"/>
        <charset val="134"/>
      </rPr>
      <t>季度在建项目保险理赔情况统计季报</t>
    </r>
    <phoneticPr fontId="1" type="noConversion"/>
  </si>
  <si>
    <r>
      <rPr>
        <b/>
        <sz val="10"/>
        <rFont val="宋体"/>
        <family val="2"/>
        <charset val="134"/>
      </rPr>
      <t>序号</t>
    </r>
    <phoneticPr fontId="1" type="noConversion"/>
  </si>
  <si>
    <r>
      <rPr>
        <b/>
        <sz val="10"/>
        <rFont val="宋体"/>
        <family val="2"/>
        <charset val="134"/>
      </rPr>
      <t>项目名称</t>
    </r>
    <phoneticPr fontId="1" type="noConversion"/>
  </si>
  <si>
    <r>
      <rPr>
        <sz val="10"/>
        <rFont val="宋体"/>
        <family val="3"/>
        <charset val="134"/>
      </rPr>
      <t>乐清湾</t>
    </r>
    <r>
      <rPr>
        <sz val="10"/>
        <rFont val="Times New Roman"/>
        <family val="1"/>
      </rPr>
      <t>1</t>
    </r>
    <r>
      <rPr>
        <sz val="10"/>
        <rFont val="宋体"/>
        <family val="3"/>
        <charset val="134"/>
      </rPr>
      <t>号桥项目</t>
    </r>
    <phoneticPr fontId="1" type="noConversion"/>
  </si>
  <si>
    <t>十堰至天水甘肃段徽县（大石碑）至天水ST07标段</t>
    <phoneticPr fontId="1" type="noConversion"/>
  </si>
  <si>
    <t>铜陵～南陵～宣城高速公路第LJ-13标段</t>
    <phoneticPr fontId="1" type="noConversion"/>
  </si>
  <si>
    <r>
      <rPr>
        <sz val="10"/>
        <rFont val="宋体"/>
        <family val="3"/>
        <charset val="134"/>
      </rPr>
      <t>三明湄渝高速</t>
    </r>
    <r>
      <rPr>
        <sz val="10"/>
        <rFont val="Times New Roman"/>
        <family val="1"/>
      </rPr>
      <t>A1</t>
    </r>
    <r>
      <rPr>
        <sz val="10"/>
        <rFont val="宋体"/>
        <family val="3"/>
        <charset val="134"/>
      </rPr>
      <t>项目</t>
    </r>
  </si>
  <si>
    <r>
      <rPr>
        <sz val="10"/>
        <rFont val="宋体"/>
        <family val="3"/>
        <charset val="134"/>
      </rPr>
      <t>福寿</t>
    </r>
    <r>
      <rPr>
        <sz val="10"/>
        <rFont val="Times New Roman"/>
        <family val="1"/>
      </rPr>
      <t>A3</t>
    </r>
    <r>
      <rPr>
        <sz val="10"/>
        <rFont val="宋体"/>
        <family val="3"/>
        <charset val="134"/>
      </rPr>
      <t>项目</t>
    </r>
  </si>
  <si>
    <r>
      <rPr>
        <sz val="10"/>
        <rFont val="宋体"/>
        <family val="3"/>
        <charset val="134"/>
      </rPr>
      <t>福寿</t>
    </r>
    <r>
      <rPr>
        <sz val="10"/>
        <rFont val="Times New Roman"/>
        <family val="1"/>
      </rPr>
      <t>A1</t>
    </r>
    <r>
      <rPr>
        <sz val="10"/>
        <rFont val="宋体"/>
        <family val="3"/>
        <charset val="134"/>
      </rPr>
      <t>项目</t>
    </r>
  </si>
  <si>
    <r>
      <rPr>
        <sz val="10"/>
        <rFont val="宋体"/>
        <family val="3"/>
        <charset val="134"/>
      </rPr>
      <t>南平延顺高速</t>
    </r>
    <r>
      <rPr>
        <sz val="10"/>
        <rFont val="Times New Roman"/>
        <family val="1"/>
      </rPr>
      <t>A5</t>
    </r>
    <r>
      <rPr>
        <sz val="10"/>
        <rFont val="宋体"/>
        <family val="3"/>
        <charset val="134"/>
      </rPr>
      <t>项目</t>
    </r>
  </si>
  <si>
    <r>
      <rPr>
        <sz val="10"/>
        <rFont val="宋体"/>
        <family val="3"/>
        <charset val="134"/>
      </rPr>
      <t>漳州漳永</t>
    </r>
    <r>
      <rPr>
        <sz val="10"/>
        <rFont val="Times New Roman"/>
        <family val="1"/>
      </rPr>
      <t>B2</t>
    </r>
    <r>
      <rPr>
        <sz val="10"/>
        <rFont val="宋体"/>
        <family val="3"/>
        <charset val="134"/>
      </rPr>
      <t>项目</t>
    </r>
  </si>
  <si>
    <r>
      <rPr>
        <sz val="10"/>
        <rFont val="宋体"/>
        <family val="3"/>
        <charset val="134"/>
      </rPr>
      <t>福州绕城</t>
    </r>
    <r>
      <rPr>
        <sz val="10"/>
        <rFont val="Times New Roman"/>
        <family val="1"/>
      </rPr>
      <t>A2</t>
    </r>
    <r>
      <rPr>
        <sz val="10"/>
        <rFont val="宋体"/>
        <family val="3"/>
        <charset val="134"/>
      </rPr>
      <t>项目</t>
    </r>
  </si>
  <si>
    <r>
      <rPr>
        <sz val="10"/>
        <rFont val="宋体"/>
        <family val="3"/>
        <charset val="134"/>
      </rPr>
      <t>海南西线</t>
    </r>
    <r>
      <rPr>
        <sz val="10"/>
        <rFont val="Times New Roman"/>
        <family val="1"/>
      </rPr>
      <t>A2</t>
    </r>
  </si>
  <si>
    <r>
      <rPr>
        <sz val="10"/>
        <rFont val="宋体"/>
        <family val="3"/>
        <charset val="134"/>
      </rPr>
      <t>三明厦沙</t>
    </r>
    <r>
      <rPr>
        <sz val="10"/>
        <rFont val="Times New Roman"/>
        <family val="1"/>
      </rPr>
      <t>A7</t>
    </r>
    <r>
      <rPr>
        <sz val="10"/>
        <rFont val="宋体"/>
        <family val="3"/>
        <charset val="134"/>
      </rPr>
      <t>项目</t>
    </r>
  </si>
  <si>
    <r>
      <rPr>
        <sz val="10"/>
        <rFont val="宋体"/>
        <family val="3"/>
        <charset val="134"/>
      </rPr>
      <t>海南中线</t>
    </r>
    <r>
      <rPr>
        <sz val="10"/>
        <rFont val="Times New Roman"/>
        <family val="1"/>
      </rPr>
      <t>A1</t>
    </r>
    <r>
      <rPr>
        <sz val="10"/>
        <rFont val="宋体"/>
        <family val="3"/>
        <charset val="134"/>
      </rPr>
      <t>项目</t>
    </r>
  </si>
  <si>
    <r>
      <rPr>
        <sz val="10"/>
        <rFont val="宋体"/>
        <family val="3"/>
        <charset val="134"/>
      </rPr>
      <t>十堰至天水甘肃段徽县（大石碑）至天水公路土建工程</t>
    </r>
    <r>
      <rPr>
        <sz val="10"/>
        <rFont val="Times New Roman"/>
        <family val="1"/>
      </rPr>
      <t>ST08</t>
    </r>
    <r>
      <rPr>
        <sz val="10"/>
        <rFont val="宋体"/>
        <family val="3"/>
        <charset val="134"/>
      </rPr>
      <t>标段</t>
    </r>
    <phoneticPr fontId="11" type="noConversion"/>
  </si>
  <si>
    <r>
      <rPr>
        <sz val="10"/>
        <rFont val="宋体"/>
        <family val="3"/>
        <charset val="134"/>
      </rPr>
      <t>河北省承德至张家口承德段丰宁互通至承张界主体土建工程施工</t>
    </r>
    <r>
      <rPr>
        <sz val="10"/>
        <rFont val="Times New Roman"/>
        <family val="1"/>
      </rPr>
      <t>TJ8</t>
    </r>
    <r>
      <rPr>
        <sz val="10"/>
        <rFont val="宋体"/>
        <family val="3"/>
        <charset val="134"/>
      </rPr>
      <t>标</t>
    </r>
    <phoneticPr fontId="11" type="noConversion"/>
  </si>
  <si>
    <r>
      <rPr>
        <b/>
        <sz val="16"/>
        <color theme="1"/>
        <rFont val="宋体"/>
        <family val="2"/>
        <charset val="134"/>
      </rPr>
      <t>一公局</t>
    </r>
    <r>
      <rPr>
        <b/>
        <sz val="16"/>
        <color theme="1"/>
        <rFont val="Times New Roman"/>
        <family val="1"/>
      </rPr>
      <t>2015</t>
    </r>
    <r>
      <rPr>
        <b/>
        <sz val="16"/>
        <color theme="1"/>
        <rFont val="宋体"/>
        <family val="2"/>
        <charset val="134"/>
      </rPr>
      <t>年</t>
    </r>
    <r>
      <rPr>
        <b/>
        <sz val="16"/>
        <color theme="1"/>
        <rFont val="Times New Roman"/>
        <family val="1"/>
      </rPr>
      <t>2</t>
    </r>
    <r>
      <rPr>
        <b/>
        <sz val="16"/>
        <color theme="1"/>
        <rFont val="宋体"/>
        <family val="2"/>
        <charset val="134"/>
      </rPr>
      <t>季度在建项目保险理赔情况统计季报</t>
    </r>
    <phoneticPr fontId="1" type="noConversion"/>
  </si>
  <si>
    <t>编制：向启源</t>
    <phoneticPr fontId="1" type="noConversion"/>
  </si>
  <si>
    <t>复核：张良荣</t>
    <phoneticPr fontId="1" type="noConversion"/>
  </si>
  <si>
    <t>工期起止时间（2000.1.1~2002.2.1）</t>
    <phoneticPr fontId="1" type="noConversion"/>
  </si>
  <si>
    <t>事件发生时间</t>
    <phoneticPr fontId="1" type="noConversion"/>
  </si>
  <si>
    <t>序号</t>
    <phoneticPr fontId="1" type="noConversion"/>
  </si>
  <si>
    <t>项目名称</t>
    <phoneticPr fontId="1" type="noConversion"/>
  </si>
  <si>
    <t>项目所在省份</t>
    <phoneticPr fontId="1" type="noConversion"/>
  </si>
  <si>
    <t>保险公司赔付时间</t>
    <phoneticPr fontId="1" type="noConversion"/>
  </si>
  <si>
    <t>2013年12月19日在麻竹高速公路保康段K93+390涵洞盖板浇筑过程中，脚手架发生倒塌，致使现场施工人员李以根跟随坠落，头部受伤，及时送往保康县中医院医治。</t>
  </si>
  <si>
    <t>在2013年9月29日下午8点在钢筋场加班制作桩基钢筋笼时，因钢筋笼突然滑落将其脚砸伤，当时足部只是肿痛，两个小时后疼痛难忍经项目部人员送往保康县中医院救治，诊断高光明足部骨折，法医鉴定为九级伤残。</t>
  </si>
  <si>
    <t>张雄雄是麻竹四标中交一公局员工，担任三溪沟1号桥技术员，在现场施工程中受伤，经工友及时送往医院治疗，</t>
  </si>
  <si>
    <t>在我项目三溪沟1号桥施工过程中  受伤，</t>
  </si>
  <si>
    <t>在2013年10月24日下午4点在孙家湾大桥0#桥台施工时，模板倒塌被砸伤，经项目部人员送往保康县中医院救治，诊断齐建华腰椎骨折，法医鉴定为八级伤残。</t>
  </si>
  <si>
    <t>在2013年11月20日三溪沟1号桥施工，吊车在吊桩基钢筋龙准备浇筑桩时，钢筋笼子忽然晃动了一下，何银东不慎被一根钢筋撞击了他的头部，造成眼睛鼻子流血，及时送往保康县中医院救治。</t>
  </si>
  <si>
    <t>在2013年11月11日三溪沟1号桥14号桩挖桩作业时，当挖到3米深时，山体突然倒塌（由于桩上面是便道），造成李月汉被埋在孔桩里面，经数十人在约一小时内及时抢救被救出洞口，送往保康县中医院救治。</t>
  </si>
  <si>
    <t>在2013年11月13日三溪沟1号桥5号墩地面给模板刷油漆时，旁边的模板突然滑落，来不及避让，致使包兴枝右脚被伤，及时送往保康县中医院救治。</t>
  </si>
  <si>
    <t>2014年5月9日上午在孙家湾大桥现浇箱梁段碗扣架拆卸过程中钢管不慎掉落砸伤袁德刚头部，</t>
  </si>
  <si>
    <t>2014年5月9日上午在孙家湾大桥现浇箱梁段碗扣架拆卸过程中钢管不慎掉落砸伤田德权，</t>
  </si>
  <si>
    <t>砂压农田1051㎡、边坡防护冲毁18368.61方</t>
  </si>
  <si>
    <t>砂压农田3396.6㎡、边坡防护冲毁1606.68方</t>
  </si>
  <si>
    <t>砂压农田9.6亩、边坡防护冲毁9100方</t>
  </si>
  <si>
    <t>砂压农田6.3、边坡防护冲毁7800方</t>
  </si>
  <si>
    <t>砂压农田4.2亩、边坡防护冲毁6300方</t>
  </si>
  <si>
    <t>三里畈镇袁家畈村由于水毁损失田地6.12亩</t>
  </si>
  <si>
    <t>三里畈镇黄土坳村由于施工放炮房屋损失5所</t>
  </si>
  <si>
    <t>三里畈镇黄泥磅村由于水毁损失田地10亩</t>
  </si>
  <si>
    <t>三里畈镇黄泥磅村由于放炮损失房屋3所</t>
  </si>
  <si>
    <t>张家畈镇敢鱼咀村由于放炮房屋损失8所</t>
  </si>
  <si>
    <t>三里畈镇黄土坳村由于水毁损失田地12亩</t>
  </si>
  <si>
    <t>三里畈镇朱元洞村由于放炮损失49户</t>
  </si>
  <si>
    <t>三里畈镇宜林村由于放炮损失78户</t>
  </si>
  <si>
    <t>三里畈镇车潭畈村由于放炮损失103户</t>
  </si>
  <si>
    <t>三里畈镇车潭畈村由于水毁青苗压伤42亩、果树压死510棵、清砂6500方</t>
  </si>
  <si>
    <t>三里畈镇朱元洞村由于水毁青苗压伤48亩、果树压死780棵、清砂4400方</t>
  </si>
  <si>
    <t>三里畈镇宜林村由于水毁清砂4500方</t>
  </si>
  <si>
    <t>三里畈镇宜林村由于水毁青苗压伤32亩、果树压死650棵、清砂3800方</t>
  </si>
  <si>
    <t>三里畈镇朱元洞村由于水毁青苗压伤53亩、清砂20364方，浆砌片石挡墙1989.02方</t>
  </si>
  <si>
    <t>刘开胜：搬运模板时，把脚趾砸断3根</t>
  </si>
  <si>
    <t>湖南永吉4标</t>
    <phoneticPr fontId="11" type="noConversion"/>
  </si>
  <si>
    <t>工人在18#墩打砼放灰，泵车爆管将(马正军)头部炸伤晕倒</t>
    <phoneticPr fontId="11" type="noConversion"/>
  </si>
  <si>
    <t>温州绕城8标项目</t>
    <phoneticPr fontId="1" type="noConversion"/>
  </si>
  <si>
    <t>“菲特”台风理赔</t>
    <phoneticPr fontId="1" type="noConversion"/>
  </si>
  <si>
    <t>乐清湾1号桥项目</t>
    <phoneticPr fontId="1" type="noConversion"/>
  </si>
  <si>
    <r>
      <t>中交第二公路工程局有限公司江西资溪高速公路</t>
    </r>
    <r>
      <rPr>
        <sz val="10"/>
        <rFont val="宋体"/>
        <family val="3"/>
        <charset val="134"/>
        <scheme val="minor"/>
      </rPr>
      <t>SG-1合同段</t>
    </r>
    <phoneticPr fontId="1" type="noConversion"/>
  </si>
  <si>
    <t>2014年5月28日下午王宇学在保康北互通现浇箱梁意外被电锯锯掉2个脚趾</t>
    <phoneticPr fontId="11" type="noConversion"/>
  </si>
  <si>
    <t>2014年6月7日上午唐显龙在罗家湾2号大桥被掉下的钢模砸到，造成左肋骨骨折</t>
    <phoneticPr fontId="11" type="noConversion"/>
  </si>
  <si>
    <t>2014年6月28日晚19时，黄先武在A匝道桥现浇箱梁施工时左手食指被工字钢砸骨折</t>
    <phoneticPr fontId="1" type="noConversion"/>
  </si>
  <si>
    <t>2014年7月22日因铲车刹车意外失灵，吴世兵从铲车上跳下来摔伤，造成腰部骨折</t>
    <phoneticPr fontId="11" type="noConversion"/>
  </si>
  <si>
    <t>温州绕城4标</t>
    <phoneticPr fontId="1" type="noConversion"/>
  </si>
  <si>
    <t>武义2标项目</t>
    <phoneticPr fontId="1" type="noConversion"/>
  </si>
  <si>
    <t>贵州沿德10标</t>
    <phoneticPr fontId="1" type="noConversion"/>
  </si>
  <si>
    <r>
      <t>2013.09.18</t>
    </r>
    <r>
      <rPr>
        <sz val="9"/>
        <rFont val="宋体"/>
        <family val="3"/>
        <charset val="134"/>
      </rPr>
      <t/>
    </r>
    <phoneticPr fontId="11" type="noConversion"/>
  </si>
  <si>
    <r>
      <t>2014.5.17</t>
    </r>
    <r>
      <rPr>
        <sz val="9"/>
        <rFont val="宋体"/>
        <family val="3"/>
        <charset val="134"/>
      </rPr>
      <t/>
    </r>
    <phoneticPr fontId="11" type="noConversion"/>
  </si>
  <si>
    <t>“菲特”台风损失</t>
  </si>
  <si>
    <t>中交第一公路工程局有限公司乐清湾大桥及接线工程乐清湾2号桥项目部</t>
    <phoneticPr fontId="1" type="noConversion"/>
  </si>
  <si>
    <t xml:space="preserve"> 2015年3月22日早晨7点25分左右，一艘货运平板驳船从澳力船厂装运材料，计划往主塔新增栈桥处卸料，此时海面能见度不足50米，并伴随有东南方向吹来的4~5级大风，当船体行进至栈桥附近时，驳船顺水向前，船头不受控制，导致船体侧面与栈桥导向架相撞，将一整跨栈桥撞垮。</t>
    <phoneticPr fontId="1" type="noConversion"/>
  </si>
  <si>
    <t>2012.12.30.14：30</t>
    <phoneticPr fontId="11" type="noConversion"/>
  </si>
  <si>
    <t>由于免赔10万元，所有不具备索赔条件</t>
    <phoneticPr fontId="11" type="noConversion"/>
  </si>
  <si>
    <r>
      <t>开民高速1标项目</t>
    </r>
    <r>
      <rPr>
        <sz val="9"/>
        <rFont val="Times New Roman"/>
        <family val="1"/>
      </rPr>
      <t/>
    </r>
    <phoneticPr fontId="11" type="noConversion"/>
  </si>
  <si>
    <r>
      <t xml:space="preserve"> </t>
    </r>
    <r>
      <rPr>
        <sz val="10"/>
        <rFont val="宋体"/>
        <family val="3"/>
        <charset val="134"/>
        <scheme val="minor"/>
      </rPr>
      <t>由于该月雨水较多，发洪水将项目的一些模板、工具、砼等冲毁、浸泡</t>
    </r>
    <phoneticPr fontId="1" type="noConversion"/>
  </si>
  <si>
    <t>毕都高速房建39标</t>
  </si>
  <si>
    <t>创文明大道2标</t>
  </si>
  <si>
    <t>贵州凯羊5标</t>
    <phoneticPr fontId="1" type="noConversion"/>
  </si>
  <si>
    <t>贵州余凯高速YT9项目</t>
    <phoneticPr fontId="1" type="noConversion"/>
  </si>
  <si>
    <t>梧柳2标</t>
  </si>
  <si>
    <t>惠罗交安20标</t>
  </si>
  <si>
    <t>陕西延延14标</t>
  </si>
  <si>
    <t>延安地区2013年7、8月份遭遇百年洪涝灾害，造成项目施工水毁严重</t>
  </si>
  <si>
    <t>在挡墙施工过程中从4米高处坠落，右手鹰嘴骨骨折及大小手臂严重肿胀</t>
  </si>
  <si>
    <t>延延11标</t>
  </si>
  <si>
    <t>施工过程中因意外被重物从10米高的地方落下砸伤，当时昏迷，丧失意识，造成全身多处受伤，创伤流血休克，椎体棘突骨折，肋骨骨折、双肺下叶创伤性湿肺并双侧血胸</t>
  </si>
  <si>
    <t>0（赠送）</t>
  </si>
  <si>
    <t>河北省京石改扩建19标项目</t>
    <phoneticPr fontId="1" type="noConversion"/>
  </si>
  <si>
    <t xml:space="preserve"> 队伍工人杜思朋 意外电伤 </t>
    <phoneticPr fontId="1" type="noConversion"/>
  </si>
  <si>
    <t xml:space="preserve"> 队伍工人张军平 意外摔伤 </t>
    <phoneticPr fontId="1" type="noConversion"/>
  </si>
  <si>
    <t>2014.6-9月</t>
    <phoneticPr fontId="1" type="noConversion"/>
  </si>
  <si>
    <t>厦沙A3项目</t>
  </si>
  <si>
    <t>厦漳B3</t>
  </si>
  <si>
    <t>纵五线大田A2项目</t>
  </si>
  <si>
    <t>2014年3月14日早上9点工人黄志伟在涵洞内施工模版掉下来把手砸伤</t>
  </si>
  <si>
    <t>2014年5月2日晚上8点半工人汪华国在涵洞内施工时锁骨中骨骨折。</t>
  </si>
  <si>
    <t>2014年8月12日下午工人李军在施工时手被隧道内落石砸伤，右手粉碎性骨折。</t>
  </si>
  <si>
    <t>2014年11月13日下午5点40分工人翟从发在施工时不慎从梁盖上掉落，导致腰部骨折。</t>
  </si>
  <si>
    <t>三明湄渝高速A1项目</t>
  </si>
  <si>
    <t>卸模板从4m高处滑落</t>
  </si>
  <si>
    <t>盖梁钢筋施工中从8m高处坠落</t>
  </si>
  <si>
    <t>2014年5月份，三明地区降暴雨，导致工地附近多处农田淹没，部分正在施工工程损毁</t>
  </si>
  <si>
    <t>三明长深B1</t>
  </si>
  <si>
    <t>福寿A3项目</t>
  </si>
  <si>
    <t>黄明保、隧道施工过程中掉落石头不慎砸伤背部，造成颅椎骨骨折,并在斜滩镇医院简单处理后转院到福安市闽东医院住院治疗。</t>
  </si>
  <si>
    <t>孙德昌、施工过程中掉落石头不慎砸伤，造成骨折,并在斜滩镇医院简单处理后转院到福安市闽东医院住院治疗。</t>
  </si>
  <si>
    <t>混凝土运输车司机（朱明兴），倾倒混凝土时被上方掉下的铁架砸到，造成手指骨折,并在福安市闽东医院住院治疗。</t>
  </si>
  <si>
    <t>曾凤国、挡土墙施工过程中不慎被落石砸伤腰部，造成骨折,并在福安市闽东医院住院治疗。</t>
  </si>
  <si>
    <t>因受第23号超强台风“菲特”的影响，造成我部活动板房遭受严重损害、项目部围墙倒塌、路基土石方流失、施工便道被冲毁以及多种标示标牌尽数摧毁</t>
  </si>
  <si>
    <t>高杨彪、隧道施工过程中，操作机械不慎坠落沟底,并在寿宁县医院简单处理后转院到福安市闽东医院住院治疗。</t>
  </si>
  <si>
    <t xml:space="preserve"> 冉隆富、隧道施工过程中，被落石砸伤手臂,送往福安市闽东医院住院治疗。</t>
  </si>
  <si>
    <t>蒋军科、隧道开挖时、风管爆裂导致头部受伤、肋骨3根骨折、遂送往寿宁县医院进行住院治疗</t>
  </si>
  <si>
    <t>崔树成、工地施工过程中，不慎从高处跌落致腰部受伤,遂送往寿宁县医院进行住院治疗。</t>
  </si>
  <si>
    <t>黄达淼、元潭1#桥施工过程中，不慎从高处坠落,致右腿受伤，遂送往寿宁县医院进行住院治疗。</t>
  </si>
  <si>
    <t>余登甫、现场施工过程中，不慎从高处坠落（高度约7m）致头部出血、腰部受伤。遂送往闽东医院进行住院治疗。</t>
  </si>
  <si>
    <t>2014年5月21日～25日多次降大暴雨。暴雨造成我标段路基边坡、隧道洞口坡面塌方，施工便道被冲毁，临时设施损坏，桥梁未灌注桩基被掩埋，同时标段红线外农田及茶园被流失的淤泥污染覆盖。</t>
  </si>
  <si>
    <t>受暴雨天气的影响，造成宁德福寿高速公路福安至寿宁段路基土建施工A3合同段钢筋加工棚垮塌、活动板房吊顶脱落、彩钢板围挡倒塌、桥梁桩基被泥沙埋盖、施工便道及钢筋加工棚场地滑坡塌方</t>
  </si>
  <si>
    <t>胡华福、白日潭1#大桥施工过程中，不慎被高处坠落的石头砸伤左臂、颈部,遂送往闽东医院进行住院治疗。</t>
  </si>
  <si>
    <t>史海华、隧道施工过程中，不慎被高处坠落的石头砸伤右脚,遂送往寿宁县医院进行住院治疗。</t>
  </si>
  <si>
    <t>受暴雨天气的影响，造成宁德福寿高速公路福安至寿宁段路基土建施工A3合同白日潭1#大桥桥梁承台钢筋报废、施工便道冲毁及下马岭特大桥1#钢栈桥钢管桩和栈桥桥台锥坡土石方流失等</t>
  </si>
  <si>
    <t>福寿A1项目</t>
  </si>
  <si>
    <t>K3+750路基段落现场土石方施工， 挖机司机违在自卸车开出挖掘机作业半径前清理土堆致机斗刮蹭挡板挤压现场管理人员至人员伤亡</t>
  </si>
  <si>
    <t>下大雨导致酉阳2#隧道洞口滑坡</t>
  </si>
  <si>
    <t>暴雨导致铜鼓大桥承台、便道、磨石溪大桥、S210跨线桥桩基被淤泥冲毁填满</t>
  </si>
  <si>
    <t>暴雨导致铜鼓大桥便道、2#梁场便道防护工程被冲毁</t>
  </si>
  <si>
    <t>张富洪在酉阳2#隧道开挖过程中导致手指指尖断裂</t>
  </si>
  <si>
    <t>李元开在酉阳2#隧道施工过程中导致被炸伤</t>
  </si>
  <si>
    <t>浙江温岭81省道项目</t>
  </si>
  <si>
    <t>2014年5月3日，龙头岭隧道右洞掌子面塌方，造成6人死亡、2人受伤。</t>
  </si>
  <si>
    <t>2014年5月3日，龙头岭隧道右洞掌子面塌方，造成现场开挖台车及相关施工机具被埋。</t>
  </si>
  <si>
    <t>2014年7月26日，受台风“麦德姆”登陆影响，池州出现强降雨，我标段所在地山洪暴发，生活区、边坡、河道、施工便道、钢便桥、现场施工设备及材料等均造成不同程度损毁。</t>
  </si>
  <si>
    <t>2014年8月6日，龙头岭隧道左洞掌子面塌方，造成现场相关施工机具及材料被埋。</t>
  </si>
  <si>
    <t>南平延顺A4项目</t>
  </si>
  <si>
    <t>特太暴雨至山体滑坡，导致4名工人死亡</t>
  </si>
  <si>
    <t>南平延顺高速A5项目</t>
  </si>
  <si>
    <t>因特大暴雨影响造成隧道工区活动板房、1#拌合站变压器损毁，路基施工便道及浆砌片石水沟被冲毁</t>
  </si>
  <si>
    <t>海南中线路面B1项目</t>
  </si>
  <si>
    <t>浙江20省道</t>
  </si>
  <si>
    <t>湄渝A6项目</t>
  </si>
  <si>
    <t>台风“麦德姆”造成涵洞冲毁及活动板房损坏</t>
  </si>
  <si>
    <t>2014年10月29日下午工人在清龙东大桥3号墩孔桩时，护壁掉落石头砸伤头部。</t>
  </si>
  <si>
    <t>漳州漳永B2项目</t>
  </si>
  <si>
    <t>福州绕城A2项目</t>
  </si>
  <si>
    <t>受“麦德姆”台风影响</t>
  </si>
  <si>
    <t>正常施工，从钻机上摔伤(朱清超)</t>
  </si>
  <si>
    <t>被石渣砸中，头部手部脚部多处受伤(谭天平)</t>
  </si>
  <si>
    <t>海南西线A1</t>
  </si>
  <si>
    <t>海南西线A2</t>
  </si>
  <si>
    <t>2014年9月16日，受台风“海鸥”影响，我项目在乐东尖峰镇岭头村拌合站受损严重，拌合站内3个料仓遮雨棚（约4500平米）被暴风吹倒，料仓隔墙倾倒，料仓内堆放的沥青路面用0-3粉料亦受雨淋</t>
  </si>
  <si>
    <t>孔桩跌落,身故</t>
  </si>
  <si>
    <t>龙岩漳永高速B2合同段</t>
  </si>
  <si>
    <r>
      <rPr>
        <sz val="10"/>
        <color indexed="10"/>
        <rFont val="宋体"/>
        <family val="3"/>
        <charset val="134"/>
        <scheme val="minor"/>
      </rPr>
      <t>福寿B1项目</t>
    </r>
  </si>
  <si>
    <t>三明厦沙A7项目</t>
  </si>
  <si>
    <t>南平京台B标</t>
  </si>
  <si>
    <t>厦蓉漳州A1项目</t>
  </si>
  <si>
    <t>厦沙德化A6合同</t>
  </si>
  <si>
    <t>龙岩厦蓉扩建A1</t>
  </si>
  <si>
    <t>厦漳B1路面</t>
  </si>
  <si>
    <t>厦成A6项目</t>
  </si>
  <si>
    <t>海南中线A1项目</t>
  </si>
  <si>
    <t>慈溪盛陆LJ5项目</t>
  </si>
  <si>
    <t>桩基一队1人被车辆碾压至死死</t>
  </si>
  <si>
    <t>瑶北互通A项目</t>
  </si>
  <si>
    <t>瑶北互通B项目</t>
  </si>
  <si>
    <t>施工员曾振文因搬运钢管时不慎摔倒导致大腿被钢筋插入3cm左右，且伤到动脉</t>
  </si>
  <si>
    <t>海翔大道A标</t>
  </si>
  <si>
    <t>G324复线同安凤南项目</t>
  </si>
  <si>
    <t>穗莞深SZH-5标</t>
  </si>
  <si>
    <t>孚莲路II标</t>
  </si>
  <si>
    <t>海翔V标</t>
  </si>
  <si>
    <t>G324分离桥</t>
  </si>
  <si>
    <t>福清市龙江南路B段</t>
  </si>
  <si>
    <r>
      <t>济祁</t>
    </r>
    <r>
      <rPr>
        <sz val="10"/>
        <color indexed="8"/>
        <rFont val="宋体"/>
        <family val="3"/>
        <charset val="134"/>
        <scheme val="minor"/>
      </rPr>
      <t>LJ06标</t>
    </r>
  </si>
  <si>
    <r>
      <t>50</t>
    </r>
    <r>
      <rPr>
        <sz val="10"/>
        <color indexed="8"/>
        <rFont val="宋体"/>
        <family val="3"/>
        <charset val="134"/>
        <scheme val="minor"/>
      </rPr>
      <t>万/人</t>
    </r>
    <phoneticPr fontId="11" type="noConversion"/>
  </si>
  <si>
    <t>安徽省G312六安段改建工程三期第二标</t>
    <phoneticPr fontId="11" type="noConversion"/>
  </si>
  <si>
    <t>安徽省S351六舒路改建一期工程三标段</t>
    <phoneticPr fontId="11" type="noConversion"/>
  </si>
  <si>
    <t>宝汉9标</t>
    <phoneticPr fontId="1" type="noConversion"/>
  </si>
  <si>
    <t>宝汉11标</t>
    <phoneticPr fontId="1" type="noConversion"/>
  </si>
  <si>
    <t>安徽六安5标</t>
    <phoneticPr fontId="1" type="noConversion"/>
  </si>
  <si>
    <t>报废3片箱梁</t>
  </si>
  <si>
    <t>2013年水毁</t>
  </si>
  <si>
    <t>K30+976.5陈黄村2号桥浇筑桩基时，由于中间塌孔，导致无法继续浇筑形成断桩，无法补救只能重新清空，将已灌注的28米桩身混凝土采用冲击钻处理（锤至设计标高），重新进行桩身施工。</t>
  </si>
  <si>
    <t>EK0+228.916匝道桥，桩基2-0设计35米桩径1.5米，成孔35米后塌孔。</t>
  </si>
  <si>
    <t>K34+513.5沧湖渔场特大桥，桩基48-1设计53米桩径1.5米，成孔53米后钢筋笼下好后塌孔。</t>
  </si>
  <si>
    <t>K34+513.5沧湖渔场特大桥，桩基45-0设计50米桩径1.5米，成孔50米，钢筋笼下好后塌孔。钢筋笼已经拿出。</t>
  </si>
  <si>
    <r>
      <t>桃园</t>
    </r>
    <r>
      <rPr>
        <sz val="10"/>
        <color indexed="8"/>
        <rFont val="宋体"/>
        <family val="3"/>
        <charset val="134"/>
        <scheme val="minor"/>
      </rPr>
      <t>1#隧道塌方</t>
    </r>
    <phoneticPr fontId="11" type="noConversion"/>
  </si>
  <si>
    <r>
      <rPr>
        <sz val="10"/>
        <color indexed="8"/>
        <rFont val="宋体"/>
        <family val="3"/>
        <charset val="134"/>
        <scheme val="minor"/>
      </rPr>
      <t>高沁2标</t>
    </r>
    <phoneticPr fontId="11" type="noConversion"/>
  </si>
  <si>
    <r>
      <rPr>
        <sz val="10"/>
        <color indexed="8"/>
        <rFont val="宋体"/>
        <family val="3"/>
        <charset val="134"/>
        <scheme val="minor"/>
      </rPr>
      <t>于2014年9月连续强降雨造成路基边坡滑塌，部分防护工程已垮塌。</t>
    </r>
    <phoneticPr fontId="11" type="noConversion"/>
  </si>
  <si>
    <t>2014.10.10-2015.11.10</t>
  </si>
  <si>
    <t>2014.9.3-2017.9.2</t>
  </si>
  <si>
    <t>2013.6.1-2015.1.30</t>
  </si>
  <si>
    <t>2013.6.16-2015.4.30</t>
  </si>
  <si>
    <t>2013.3.30-2015.9.30</t>
  </si>
  <si>
    <t>2013.3.20-2015.11.30</t>
  </si>
  <si>
    <t>2013.5.1-2015.10.31</t>
  </si>
  <si>
    <t>37982.8768</t>
  </si>
  <si>
    <t>2013.11.27-2016.05.27</t>
  </si>
  <si>
    <t>2011.5.1-2013.12.30</t>
  </si>
  <si>
    <t>2013.3.1-2015.11.30</t>
  </si>
  <si>
    <t>65644.8359</t>
  </si>
  <si>
    <t>2013.09.15--2015.09.14</t>
  </si>
  <si>
    <t>2012.11.10-2015.11.30</t>
  </si>
  <si>
    <t>2014.3.12-2015.12.20</t>
  </si>
  <si>
    <t>2014.12.1~2016.11.30</t>
    <phoneticPr fontId="1" type="noConversion"/>
  </si>
  <si>
    <t>2014.04.01-2017.6.30</t>
  </si>
  <si>
    <t>2014.4.1-2018.3.31</t>
  </si>
  <si>
    <t>合同额(万元)</t>
    <phoneticPr fontId="1" type="noConversion"/>
  </si>
  <si>
    <t>2013.1.1-2015.6.30</t>
    <phoneticPr fontId="11" type="noConversion"/>
  </si>
  <si>
    <t>2013.10.1~2015.10.31</t>
    <phoneticPr fontId="42" type="noConversion"/>
  </si>
  <si>
    <t>2014.7.29-2017.7.28</t>
    <phoneticPr fontId="11" type="noConversion"/>
  </si>
  <si>
    <t>2014.1.1-2015.12.31</t>
  </si>
  <si>
    <t>2013.09.04-2015.09.03</t>
    <phoneticPr fontId="11" type="noConversion"/>
  </si>
  <si>
    <t>2013.1.30-2015.11.25</t>
    <phoneticPr fontId="11" type="noConversion"/>
  </si>
  <si>
    <t>2013.10.31--2016.4.29</t>
    <phoneticPr fontId="11" type="noConversion"/>
  </si>
  <si>
    <t>2012.8.20-
2014.8.21</t>
  </si>
  <si>
    <t>2013.9.15-2015.9.14</t>
    <phoneticPr fontId="11" type="noConversion"/>
  </si>
  <si>
    <t>2012.7.1-2015.3.1</t>
  </si>
  <si>
    <t>2014.4.23-2016.10.9</t>
    <phoneticPr fontId="11" type="noConversion"/>
  </si>
  <si>
    <t>2013.4.1-2014.7.31</t>
  </si>
  <si>
    <t>2014.10.25-2017.10.24</t>
    <phoneticPr fontId="11" type="noConversion"/>
  </si>
  <si>
    <t>2012.12.31-2015.10.14</t>
  </si>
  <si>
    <t>2011.11.1-2015.11.1</t>
  </si>
  <si>
    <t>2011.10.1-
2015.10.1</t>
  </si>
  <si>
    <t>2012.8.15-2014.12.15</t>
  </si>
  <si>
    <t>2012.08.30-2015.6.30</t>
  </si>
  <si>
    <t>2013.4.1-2014.8.1</t>
  </si>
  <si>
    <t>2013.03.30-2015.09.31</t>
  </si>
  <si>
    <t>2014.03.25-2015.09.30</t>
  </si>
  <si>
    <t>2013.6.30-2016.9.30</t>
  </si>
  <si>
    <t>2014.4-2016.12</t>
  </si>
  <si>
    <t>2014.4.28-2018.4.27</t>
  </si>
  <si>
    <t>2010.10.12-2015.9.30</t>
  </si>
  <si>
    <r>
      <t>2011.11.3</t>
    </r>
    <r>
      <rPr>
        <sz val="9"/>
        <rFont val="宋体"/>
        <family val="3"/>
        <charset val="134"/>
      </rPr>
      <t>～</t>
    </r>
    <r>
      <rPr>
        <sz val="9"/>
        <rFont val="Times New Roman"/>
        <family val="1"/>
      </rPr>
      <t>2012.12.31</t>
    </r>
  </si>
  <si>
    <t>2014.10.31-2015.12.31</t>
  </si>
  <si>
    <t>2013.10.31-2016.3.31</t>
  </si>
  <si>
    <t>2014.4.16-2014.8.31</t>
  </si>
  <si>
    <t>2014.8.30-2015.11.30</t>
  </si>
  <si>
    <t>2014.6.10-2016.6.9</t>
  </si>
  <si>
    <t>2014.12.1-2016.06.30</t>
  </si>
  <si>
    <t>2014.6-2015.7</t>
  </si>
  <si>
    <t>2013.3.1-2016.5.30</t>
  </si>
  <si>
    <t>2014.05.23-2015.10.31</t>
  </si>
  <si>
    <t>2014.06.15-2015.09.30</t>
  </si>
  <si>
    <t>2014.11.08-2015.08.25</t>
  </si>
  <si>
    <t>2015.03.10-2015.08.10</t>
  </si>
  <si>
    <t>2013.11.21-2016.03.20</t>
  </si>
  <si>
    <t>2013.4.1-2015.7.31</t>
  </si>
  <si>
    <t>2012.9.28-2014.8.28</t>
  </si>
  <si>
    <t>2009.09.20-2015.06.30</t>
  </si>
  <si>
    <t>2013.2.21-2015.2.20</t>
  </si>
  <si>
    <t>2014.06.05-2015.11.05</t>
  </si>
  <si>
    <t>2013.12.28-2015.04.28</t>
  </si>
  <si>
    <t>2014.6.9-2016.1.10</t>
  </si>
  <si>
    <t>2014.02.28-2014.10.30</t>
  </si>
  <si>
    <t>2014.11.01-2016.11.01</t>
  </si>
  <si>
    <t>2014/10/20-2015-12-30</t>
    <phoneticPr fontId="1" type="noConversion"/>
  </si>
  <si>
    <t>2013.7.1-2015.06.30</t>
  </si>
  <si>
    <t>2013.03.06-2015.03.06</t>
  </si>
  <si>
    <t>2013.03.05-2014.12.01</t>
  </si>
  <si>
    <t>2013.9.15-2015.09.14</t>
  </si>
  <si>
    <t>2014.08.11-2016.08.11</t>
  </si>
  <si>
    <t>2012.7.29-2015.1.29</t>
  </si>
  <si>
    <t>贵州毕都10标</t>
    <phoneticPr fontId="1" type="noConversion"/>
  </si>
  <si>
    <t>2012.9.20~2014.10.20</t>
  </si>
  <si>
    <t>2014.04.01~2015.07.01</t>
  </si>
  <si>
    <t>2013.06.27~2014.02.17</t>
  </si>
  <si>
    <t>2012.09.01~2014.05.31</t>
  </si>
  <si>
    <t>2012.12.20~2014.12.20</t>
  </si>
  <si>
    <t>2012.12.20~2014.12.19</t>
  </si>
  <si>
    <t>2013.02.01~2015.12.31</t>
  </si>
  <si>
    <t>2013.02.28~2015.02.28</t>
  </si>
  <si>
    <t>2011.11.25~2014.06~25</t>
  </si>
  <si>
    <t>2013.11.19~2014.11.20</t>
  </si>
  <si>
    <t>2013.9.01~2014.08.31</t>
  </si>
  <si>
    <t>2013.07.31~2015.03.16</t>
  </si>
  <si>
    <t>2012.05.20~2015.01.20</t>
  </si>
  <si>
    <t>2012.08.01~2014.12.31</t>
  </si>
  <si>
    <t>2013.12.28~2016.12.30</t>
  </si>
  <si>
    <t>2013.04.28~2014.12.27</t>
  </si>
  <si>
    <t>2013.05.01~2014.12.01</t>
  </si>
  <si>
    <t>2014.03.01~2017.02.28</t>
  </si>
  <si>
    <t>2014.05.01~2017.12.30</t>
  </si>
  <si>
    <t>2014.05.01~2017.04.30</t>
  </si>
  <si>
    <t>2014.1.26~2014.12.31</t>
  </si>
  <si>
    <t>2011.12.20~2013.10.20</t>
  </si>
  <si>
    <t>2013.03.15~2015.03.04</t>
  </si>
  <si>
    <t>2013.05.15~2015.5.15</t>
  </si>
  <si>
    <t>2013.7.1~2014.12.30</t>
  </si>
  <si>
    <t>2013.12.1~2016.8.31</t>
  </si>
  <si>
    <t>2014.03.20~2014.12.15</t>
  </si>
  <si>
    <t>2014.05.20~2015.12.31</t>
  </si>
  <si>
    <t>2014.06.10~2015.05.10</t>
  </si>
  <si>
    <t>2014.04.30~2015.08.31</t>
  </si>
  <si>
    <t>2014.07.01~2016.10.01</t>
  </si>
  <si>
    <t>2015.01.07~2016.01.06</t>
  </si>
  <si>
    <t>2014.09.10~2015.05.10</t>
  </si>
  <si>
    <t>2011.08.29~2011.10.31</t>
  </si>
  <si>
    <t>2013.09.20~2015.09.30</t>
  </si>
  <si>
    <t>2013.11.20~2014.11.19</t>
  </si>
  <si>
    <t>2014.12.15~2016.10.31</t>
  </si>
  <si>
    <t>2014.06.01~2015.01.31</t>
  </si>
  <si>
    <t>2013.09.10~2014.07.30</t>
  </si>
  <si>
    <t xml:space="preserve">2014.07.31~2015.12.31
</t>
  </si>
  <si>
    <t>2014.12.30~2016.12.31</t>
  </si>
  <si>
    <t>2015.07.01~2016.07.01</t>
  </si>
  <si>
    <t>2012.12.27.～2014.12.27</t>
    <phoneticPr fontId="1" type="noConversion"/>
  </si>
  <si>
    <t>2010.10.10~2012.04.30</t>
    <phoneticPr fontId="1" type="noConversion"/>
  </si>
  <si>
    <t>2011.6.9~2014.6.9</t>
    <phoneticPr fontId="1" type="noConversion"/>
  </si>
  <si>
    <t>2012.6.15~2014.12.31</t>
    <phoneticPr fontId="1" type="noConversion"/>
  </si>
  <si>
    <t>2013.1.1.~2015.7.6</t>
    <phoneticPr fontId="1" type="noConversion"/>
  </si>
  <si>
    <t>2012.12.30~2015.6.30</t>
    <phoneticPr fontId="1" type="noConversion"/>
  </si>
  <si>
    <t>2012.11.30~2014.4.30</t>
    <phoneticPr fontId="1" type="noConversion"/>
  </si>
  <si>
    <t>2013.1.16~2014.8.16</t>
    <phoneticPr fontId="1" type="noConversion"/>
  </si>
  <si>
    <t>2013.6.3~2015.9.3</t>
    <phoneticPr fontId="1" type="noConversion"/>
  </si>
  <si>
    <t>2013.10.16~2014.11.15</t>
    <phoneticPr fontId="1" type="noConversion"/>
  </si>
  <si>
    <t>2013.7.1~2015.6.30</t>
    <phoneticPr fontId="1" type="noConversion"/>
  </si>
  <si>
    <t>2012.11.10~2015.11.10</t>
    <phoneticPr fontId="1" type="noConversion"/>
  </si>
  <si>
    <t>2012.11.10~2015.11.30</t>
    <phoneticPr fontId="1" type="noConversion"/>
  </si>
  <si>
    <t>2013.9.15~2015.9.14</t>
    <phoneticPr fontId="1" type="noConversion"/>
  </si>
  <si>
    <t>2014.9.1~2015.9.1</t>
    <phoneticPr fontId="1" type="noConversion"/>
  </si>
  <si>
    <t>2014.5.5~2016.11</t>
    <phoneticPr fontId="1" type="noConversion"/>
  </si>
  <si>
    <t>2013.6.25~2014.9.30</t>
    <phoneticPr fontId="1" type="noConversion"/>
  </si>
  <si>
    <t>2013.5.20~2014.9.30</t>
    <phoneticPr fontId="1" type="noConversion"/>
  </si>
  <si>
    <t>2012.10.30~2015.6.30</t>
    <phoneticPr fontId="1" type="noConversion"/>
  </si>
  <si>
    <t>2014.9.1~2015.7.31</t>
    <phoneticPr fontId="1" type="noConversion"/>
  </si>
  <si>
    <t>2014.11.17~2015.11.15</t>
    <phoneticPr fontId="1" type="noConversion"/>
  </si>
  <si>
    <t>2015.3.1~2015.7.31</t>
    <phoneticPr fontId="1" type="noConversion"/>
  </si>
  <si>
    <t>2014.12.29~2015.9.15</t>
    <phoneticPr fontId="1" type="noConversion"/>
  </si>
  <si>
    <t>2015.1.10~2015.11.30</t>
    <phoneticPr fontId="1" type="noConversion"/>
  </si>
  <si>
    <t>2014.12-2018.12</t>
    <phoneticPr fontId="11" type="noConversion"/>
  </si>
  <si>
    <t>2013.12.10-2015.5.31</t>
  </si>
  <si>
    <t>2013.12.4-2015.12.4</t>
    <phoneticPr fontId="11" type="noConversion"/>
  </si>
  <si>
    <t>2013.12.25-2014.9.25</t>
    <phoneticPr fontId="11" type="noConversion"/>
  </si>
  <si>
    <t>2014.9.25-2016.9.25</t>
    <phoneticPr fontId="11" type="noConversion"/>
  </si>
  <si>
    <t>2013.4-2015.6</t>
    <phoneticPr fontId="11" type="noConversion"/>
  </si>
  <si>
    <t>2012.11.23-2015.1.20</t>
  </si>
  <si>
    <t>2013.6.26－2015.6.25</t>
    <phoneticPr fontId="11" type="noConversion"/>
  </si>
  <si>
    <t>2014.5.1-2015.4.30</t>
  </si>
  <si>
    <t>2013.3.31-2015.6.30</t>
    <phoneticPr fontId="11" type="noConversion"/>
  </si>
  <si>
    <t>2013.3.31-2015.3.31</t>
    <phoneticPr fontId="11" type="noConversion"/>
  </si>
  <si>
    <t>2013.4.28~2015.12.28</t>
    <phoneticPr fontId="11" type="noConversion"/>
  </si>
  <si>
    <t>2014.6.1-2016.8.31</t>
    <phoneticPr fontId="11" type="noConversion"/>
  </si>
  <si>
    <t>2013.05.01-2016.04.30</t>
    <phoneticPr fontId="11" type="noConversion"/>
  </si>
  <si>
    <t>2013.6.25-2015.8.24</t>
    <phoneticPr fontId="11" type="noConversion"/>
  </si>
  <si>
    <t>2013.8.21～2015.5.20</t>
  </si>
  <si>
    <t>2013.8.21-2015.5.20</t>
    <phoneticPr fontId="11" type="noConversion"/>
  </si>
  <si>
    <t>2014.1.18-2014.11.19</t>
  </si>
  <si>
    <t>2013.9.1-2015.8.31</t>
    <phoneticPr fontId="11" type="noConversion"/>
  </si>
  <si>
    <t>2013.11.1-2016.3.1</t>
  </si>
  <si>
    <t>2013.11.18-2015.11.17</t>
    <phoneticPr fontId="11" type="noConversion"/>
  </si>
  <si>
    <t>2014.06.16-2015.06.16</t>
  </si>
  <si>
    <t>2014.01.10-2016.01.09</t>
    <phoneticPr fontId="11" type="noConversion"/>
  </si>
  <si>
    <t>2015.1-2017.11</t>
  </si>
  <si>
    <t>2013.9.15-2015.9.14</t>
  </si>
  <si>
    <t>2014.1.10-2015.1.9</t>
  </si>
  <si>
    <t>2014.1.10-2015.1.10</t>
    <phoneticPr fontId="11" type="noConversion"/>
  </si>
  <si>
    <t>2014.7.10-2017.3.9</t>
  </si>
  <si>
    <t>2014.07.18-2015.07.17</t>
  </si>
  <si>
    <t>2014.05.30-2015.08.30</t>
  </si>
  <si>
    <t>2014.12.16-2016.12.15</t>
    <phoneticPr fontId="11" type="noConversion"/>
  </si>
  <si>
    <t>2014.9.1-2015.8.31</t>
    <phoneticPr fontId="11" type="noConversion"/>
  </si>
  <si>
    <t>2015.4.1-2017.3.31</t>
    <phoneticPr fontId="11" type="noConversion"/>
  </si>
  <si>
    <t>2014.12.19-2016.12.18</t>
  </si>
  <si>
    <t>暂定2015.4.1-2017.3.31</t>
  </si>
  <si>
    <t>2011.8.9-2012.8.9</t>
    <phoneticPr fontId="11" type="noConversion"/>
  </si>
  <si>
    <t>2010.4.29-2012.4.28</t>
  </si>
  <si>
    <t>2012.5.30-2014.5.29</t>
    <phoneticPr fontId="11" type="noConversion"/>
  </si>
  <si>
    <t>2013.02.28-2014.10.31</t>
  </si>
  <si>
    <t>2013.4.26-2014.8.26</t>
  </si>
  <si>
    <t>2013.4.26-2014.7.26</t>
  </si>
  <si>
    <t>2009.9.18-2015.10.26</t>
    <phoneticPr fontId="11" type="noConversion"/>
  </si>
  <si>
    <t>2013.5.1-2014.4.30</t>
    <phoneticPr fontId="11" type="noConversion"/>
  </si>
  <si>
    <t>2013.11.18-2014.5.17</t>
    <phoneticPr fontId="11" type="noConversion"/>
  </si>
  <si>
    <t>2013.11.16-2015.9.11</t>
    <phoneticPr fontId="11" type="noConversion"/>
  </si>
  <si>
    <t>2014.4.28-2015.10.19</t>
  </si>
  <si>
    <t>2014.12.21-2016.9.16</t>
  </si>
  <si>
    <t>2014.03.20-2016.05.31</t>
    <phoneticPr fontId="11" type="noConversion"/>
  </si>
  <si>
    <t>2013.10.20-2016.02.29</t>
    <phoneticPr fontId="11" type="noConversion"/>
  </si>
  <si>
    <t>2014.2.20-2016.6.20</t>
    <phoneticPr fontId="11" type="noConversion"/>
  </si>
  <si>
    <t>2011.12.1-2012.12.1</t>
  </si>
  <si>
    <t>2011.11-2012.11</t>
  </si>
  <si>
    <t>2011.2-2012.5</t>
  </si>
  <si>
    <t>2013.10-2013.12</t>
    <phoneticPr fontId="11" type="noConversion"/>
  </si>
  <si>
    <t>2013.4-2014.4</t>
  </si>
  <si>
    <t>2012.8.8-2013.2.5</t>
  </si>
  <si>
    <t>2014.5.16-2014.11.12</t>
    <phoneticPr fontId="11" type="noConversion"/>
  </si>
  <si>
    <t>2012.10.1-2014.3.1</t>
  </si>
  <si>
    <t>2010.10.01-2014.09.30</t>
    <phoneticPr fontId="11" type="noConversion"/>
  </si>
  <si>
    <t>2013.12.15~2015.8.30</t>
    <phoneticPr fontId="1" type="noConversion"/>
  </si>
  <si>
    <t>2013.5.1~2015.7.30</t>
    <phoneticPr fontId="1" type="noConversion"/>
  </si>
  <si>
    <t>2014.04.01-2015.11.30</t>
    <phoneticPr fontId="1" type="noConversion"/>
  </si>
  <si>
    <t>2014.04.01-2015.11.1</t>
    <phoneticPr fontId="1" type="noConversion"/>
  </si>
  <si>
    <t>2013.06.01-2015.08.30</t>
    <phoneticPr fontId="1" type="noConversion"/>
  </si>
  <si>
    <t>2013.5.1~2015.8.30</t>
    <phoneticPr fontId="1" type="noConversion"/>
  </si>
  <si>
    <t>2011.02.05-2013.12.30</t>
  </si>
  <si>
    <t>2013.09.01~2015.12.30</t>
    <phoneticPr fontId="1" type="noConversion"/>
  </si>
  <si>
    <t>2014.06.09-2016.06.08</t>
    <phoneticPr fontId="11" type="noConversion"/>
  </si>
  <si>
    <t>2014.04.28-2016.12.09</t>
    <phoneticPr fontId="1" type="noConversion"/>
  </si>
  <si>
    <t>2014.04.01-2016.03.31</t>
  </si>
  <si>
    <t>2009.07-2015.06</t>
    <phoneticPr fontId="1" type="noConversion"/>
  </si>
  <si>
    <t>2010.10-2014.09</t>
    <phoneticPr fontId="1" type="noConversion"/>
  </si>
  <si>
    <t>2014.05-2016.08</t>
    <phoneticPr fontId="1" type="noConversion"/>
  </si>
  <si>
    <t>2014.06-2017.06</t>
    <phoneticPr fontId="1" type="noConversion"/>
  </si>
  <si>
    <t>2013.09-2015.09</t>
    <phoneticPr fontId="1" type="noConversion"/>
  </si>
  <si>
    <t>2013.12-20150.09</t>
    <phoneticPr fontId="1" type="noConversion"/>
  </si>
  <si>
    <r>
      <t>2013.</t>
    </r>
    <r>
      <rPr>
        <sz val="9"/>
        <rFont val="宋体"/>
        <family val="3"/>
        <charset val="134"/>
      </rPr>
      <t>04-2015.10</t>
    </r>
    <phoneticPr fontId="1" type="noConversion"/>
  </si>
  <si>
    <t>2012.05-2014.10</t>
    <phoneticPr fontId="1" type="noConversion"/>
  </si>
  <si>
    <t>2012.05-2014.05</t>
    <phoneticPr fontId="1" type="noConversion"/>
  </si>
  <si>
    <t>2013.04-2015.09</t>
    <phoneticPr fontId="1" type="noConversion"/>
  </si>
  <si>
    <t xml:space="preserve">35635.84
</t>
  </si>
  <si>
    <t>2013.11-2015.10</t>
    <phoneticPr fontId="1" type="noConversion"/>
  </si>
  <si>
    <t>2014.02-2017.02</t>
    <phoneticPr fontId="1" type="noConversion"/>
  </si>
  <si>
    <r>
      <t>201</t>
    </r>
    <r>
      <rPr>
        <sz val="9"/>
        <rFont val="宋体"/>
        <family val="3"/>
        <charset val="134"/>
      </rPr>
      <t>3.09-2014.12</t>
    </r>
    <phoneticPr fontId="1" type="noConversion"/>
  </si>
  <si>
    <r>
      <t>201</t>
    </r>
    <r>
      <rPr>
        <sz val="9"/>
        <rFont val="宋体"/>
        <family val="3"/>
        <charset val="134"/>
      </rPr>
      <t>4.03-2014.12</t>
    </r>
    <phoneticPr fontId="1" type="noConversion"/>
  </si>
  <si>
    <t>2013.04-2014.10</t>
    <phoneticPr fontId="1" type="noConversion"/>
  </si>
  <si>
    <t>2014.07-2014.12</t>
    <phoneticPr fontId="1" type="noConversion"/>
  </si>
  <si>
    <r>
      <t>2014.04-2015.0</t>
    </r>
    <r>
      <rPr>
        <sz val="9"/>
        <rFont val="宋体"/>
        <family val="3"/>
        <charset val="134"/>
      </rPr>
      <t>1</t>
    </r>
    <phoneticPr fontId="1" type="noConversion"/>
  </si>
  <si>
    <t>2012.09-2014.01</t>
    <phoneticPr fontId="1" type="noConversion"/>
  </si>
  <si>
    <t>2014.09-2015.09</t>
    <phoneticPr fontId="1" type="noConversion"/>
  </si>
  <si>
    <t>2014.03-2014.12</t>
    <phoneticPr fontId="1" type="noConversion"/>
  </si>
  <si>
    <t>2014.04-2015.01</t>
    <phoneticPr fontId="1" type="noConversion"/>
  </si>
  <si>
    <t>2013.11-2014.04</t>
    <phoneticPr fontId="1" type="noConversion"/>
  </si>
  <si>
    <t>2013.4.28-2015.5.17</t>
    <phoneticPr fontId="11" type="noConversion"/>
  </si>
  <si>
    <t>2013.4.28-2016.10.28</t>
  </si>
  <si>
    <r>
      <t>2013.9.15</t>
    </r>
    <r>
      <rPr>
        <sz val="9"/>
        <rFont val="宋体"/>
        <family val="3"/>
        <charset val="134"/>
      </rPr>
      <t>～</t>
    </r>
    <r>
      <rPr>
        <sz val="9"/>
        <rFont val="Times New Roman"/>
        <family val="1"/>
      </rPr>
      <t>2015.9.14</t>
    </r>
    <phoneticPr fontId="51" type="noConversion"/>
  </si>
  <si>
    <t>2014.3.1-2015.8.31</t>
    <phoneticPr fontId="1" type="noConversion"/>
  </si>
  <si>
    <t>2014.4.29~2015.9.30</t>
  </si>
  <si>
    <t>2014.7.1-2016.8.31</t>
  </si>
  <si>
    <t>2014.5.1-2015.10.31</t>
  </si>
  <si>
    <r>
      <t>2013.03.01</t>
    </r>
    <r>
      <rPr>
        <sz val="9"/>
        <rFont val="宋体"/>
        <family val="3"/>
        <charset val="134"/>
      </rPr>
      <t>～</t>
    </r>
    <r>
      <rPr>
        <sz val="9"/>
        <rFont val="Times New Roman"/>
        <family val="1"/>
      </rPr>
      <t>2014.09.30</t>
    </r>
  </si>
  <si>
    <t>2014.10.16-2016.9.15</t>
    <phoneticPr fontId="1" type="noConversion"/>
  </si>
  <si>
    <t>2012.6-2015.6</t>
  </si>
  <si>
    <t>2012.12.16-2014.12.15</t>
  </si>
  <si>
    <t>2011.12-2014.12</t>
  </si>
  <si>
    <t>2013.3-2015.10</t>
  </si>
  <si>
    <t>2012.05.01-2014.12.31</t>
  </si>
  <si>
    <t>2011.3.13-待定</t>
  </si>
  <si>
    <t>2012.7.20~2014.11.20</t>
  </si>
  <si>
    <t>2013.03.20-2013.10.31</t>
  </si>
  <si>
    <t>2012.10.28-2015.10.28</t>
  </si>
  <si>
    <t>2013.5.1-2014.7.31</t>
    <phoneticPr fontId="11" type="noConversion"/>
  </si>
  <si>
    <t>2013.5.1-2014.7.31</t>
  </si>
  <si>
    <t>2012.10.28-2014.10.31</t>
  </si>
  <si>
    <t>2010.6.1-2015.1.31</t>
  </si>
  <si>
    <t>2013.06.01-2016.06.01</t>
  </si>
  <si>
    <t>2013.04.28-2015.10.30</t>
    <phoneticPr fontId="11" type="noConversion"/>
  </si>
  <si>
    <t>2013.04.28-2015.10.30</t>
  </si>
  <si>
    <t>2013.5.30-2015.5.30</t>
  </si>
  <si>
    <t>2013.10.26-2015.9.14</t>
    <phoneticPr fontId="11" type="noConversion"/>
  </si>
  <si>
    <t>2013.10.26-2015.9.14</t>
  </si>
  <si>
    <t>2013.10.26-2014.09.14</t>
    <phoneticPr fontId="11" type="noConversion"/>
  </si>
  <si>
    <t>2013.10.26-2014.09.14</t>
  </si>
  <si>
    <t>2013.12.15-2016.6.15</t>
    <phoneticPr fontId="11" type="noConversion"/>
  </si>
  <si>
    <t>2013.12.15-2016.6.15</t>
  </si>
  <si>
    <t>2014.6.1-2015.12.31</t>
  </si>
  <si>
    <t>2014.6.24-2016.4.24</t>
  </si>
  <si>
    <t>2013.07.01-2015.06.20</t>
  </si>
  <si>
    <t>2014.07.01-2016.11.29</t>
  </si>
  <si>
    <t>2010.9.1-2013.12.31</t>
    <phoneticPr fontId="11" type="noConversion"/>
  </si>
  <si>
    <t>2014.4.1-2018.3.31</t>
    <phoneticPr fontId="11" type="noConversion"/>
  </si>
  <si>
    <t>江苏省临海高等级公路灌河大桥GH-2标</t>
    <phoneticPr fontId="11" type="noConversion"/>
  </si>
  <si>
    <t>2012.6.10-2015.6.9</t>
    <phoneticPr fontId="11" type="noConversion"/>
  </si>
  <si>
    <t>主墩施工时被钢护筒角钢割伤大腿</t>
    <phoneticPr fontId="11" type="noConversion"/>
  </si>
  <si>
    <t>2012.12.15</t>
    <phoneticPr fontId="11" type="noConversion"/>
  </si>
  <si>
    <t>江苏</t>
    <phoneticPr fontId="11" type="noConversion"/>
  </si>
  <si>
    <t>被钢筋笼戳伤左腿</t>
    <phoneticPr fontId="11" type="noConversion"/>
  </si>
  <si>
    <t>2013.1.22</t>
    <phoneticPr fontId="11" type="noConversion"/>
  </si>
  <si>
    <t>切割钢筋时，不小心被机器切到左手手背</t>
    <phoneticPr fontId="11" type="noConversion"/>
  </si>
  <si>
    <t>2013.3.2</t>
    <phoneticPr fontId="11" type="noConversion"/>
  </si>
  <si>
    <t>2013.3.16</t>
    <phoneticPr fontId="11" type="noConversion"/>
  </si>
  <si>
    <t>不小心从水泥罐上摔下</t>
    <phoneticPr fontId="11" type="noConversion"/>
  </si>
  <si>
    <t>2013.4.8</t>
    <phoneticPr fontId="11" type="noConversion"/>
  </si>
  <si>
    <t>2013.5.9</t>
    <phoneticPr fontId="11" type="noConversion"/>
  </si>
  <si>
    <t>头部不小心撞上钢吊箱</t>
    <phoneticPr fontId="11" type="noConversion"/>
  </si>
  <si>
    <t>2013.4.22</t>
    <phoneticPr fontId="11" type="noConversion"/>
  </si>
  <si>
    <r>
      <t>2013.5.12</t>
    </r>
    <r>
      <rPr>
        <sz val="11"/>
        <color indexed="8"/>
        <rFont val="宋体"/>
        <family val="3"/>
        <charset val="134"/>
      </rPr>
      <t/>
    </r>
    <phoneticPr fontId="11" type="noConversion"/>
  </si>
  <si>
    <t>搭脚手架时，不小心摔伤腹部</t>
    <phoneticPr fontId="11" type="noConversion"/>
  </si>
  <si>
    <r>
      <t>2013.7.13</t>
    </r>
    <r>
      <rPr>
        <sz val="11"/>
        <color indexed="8"/>
        <rFont val="宋体"/>
        <family val="3"/>
        <charset val="134"/>
      </rPr>
      <t/>
    </r>
    <phoneticPr fontId="11" type="noConversion"/>
  </si>
  <si>
    <t>被钢筋绊倒，摔伤脸部</t>
    <phoneticPr fontId="11" type="noConversion"/>
  </si>
  <si>
    <t>2013.9.16</t>
    <phoneticPr fontId="11" type="noConversion"/>
  </si>
  <si>
    <r>
      <t>2013.8.16</t>
    </r>
    <r>
      <rPr>
        <sz val="11"/>
        <color indexed="8"/>
        <rFont val="宋体"/>
        <family val="3"/>
        <charset val="134"/>
      </rPr>
      <t/>
    </r>
    <phoneticPr fontId="11" type="noConversion"/>
  </si>
  <si>
    <t>被垫钢板的槽钢砸断左脚第四个脚趾。</t>
    <phoneticPr fontId="11" type="noConversion"/>
  </si>
  <si>
    <t>2013.10.11</t>
    <phoneticPr fontId="11" type="noConversion"/>
  </si>
  <si>
    <t>2013.8.19</t>
    <phoneticPr fontId="11" type="noConversion"/>
  </si>
  <si>
    <t>被模板砸伤</t>
    <phoneticPr fontId="11" type="noConversion"/>
  </si>
  <si>
    <t>2013.10.25</t>
    <phoneticPr fontId="11" type="noConversion"/>
  </si>
  <si>
    <t>2013.8.24</t>
    <phoneticPr fontId="11" type="noConversion"/>
  </si>
  <si>
    <t>手被钢管砸伤，右手无名指被据掉两节。</t>
    <phoneticPr fontId="11" type="noConversion"/>
  </si>
  <si>
    <r>
      <t>2013.10.2</t>
    </r>
    <r>
      <rPr>
        <sz val="11"/>
        <color indexed="8"/>
        <rFont val="宋体"/>
        <family val="3"/>
        <charset val="134"/>
      </rPr>
      <t/>
    </r>
    <phoneticPr fontId="11" type="noConversion"/>
  </si>
  <si>
    <t>堆钢管时，钢管突然倒塌，撞伤腰部</t>
    <phoneticPr fontId="11" type="noConversion"/>
  </si>
  <si>
    <r>
      <t>2013.12.13</t>
    </r>
    <r>
      <rPr>
        <sz val="11"/>
        <color indexed="8"/>
        <rFont val="宋体"/>
        <family val="3"/>
        <charset val="134"/>
      </rPr>
      <t/>
    </r>
    <phoneticPr fontId="11" type="noConversion"/>
  </si>
  <si>
    <t>吊模板穿钢丝绳时，右手食指被夹伤</t>
    <phoneticPr fontId="11" type="noConversion"/>
  </si>
  <si>
    <t>2014.3.18</t>
    <phoneticPr fontId="11" type="noConversion"/>
  </si>
  <si>
    <t>2014.4.20</t>
    <phoneticPr fontId="11" type="noConversion"/>
  </si>
  <si>
    <t>吊钢板钩突然侧滑，砸断右手大拇指</t>
    <phoneticPr fontId="11" type="noConversion"/>
  </si>
  <si>
    <t>2015.1.23</t>
    <phoneticPr fontId="11" type="noConversion"/>
  </si>
  <si>
    <t>2014.4.21</t>
    <phoneticPr fontId="11" type="noConversion"/>
  </si>
  <si>
    <t>箱梁预制施工时，被钢材砸伤右脚大拇指</t>
    <phoneticPr fontId="11" type="noConversion"/>
  </si>
  <si>
    <t>2015.1.28</t>
    <phoneticPr fontId="11" type="noConversion"/>
  </si>
  <si>
    <t>2014.5.6</t>
    <phoneticPr fontId="11" type="noConversion"/>
  </si>
  <si>
    <t>吊车小勾突然滑落，砸伤腰部</t>
    <phoneticPr fontId="11" type="noConversion"/>
  </si>
  <si>
    <t>2015.2.4</t>
    <phoneticPr fontId="11" type="noConversion"/>
  </si>
  <si>
    <t>制作钢筋时，左手小手指不小心被机械夹伤</t>
    <phoneticPr fontId="11" type="noConversion"/>
  </si>
  <si>
    <t>2015.2.6</t>
    <phoneticPr fontId="11" type="noConversion"/>
  </si>
  <si>
    <t>2014.8.31</t>
    <phoneticPr fontId="11" type="noConversion"/>
  </si>
  <si>
    <t>2015.3.28</t>
    <phoneticPr fontId="11" type="noConversion"/>
  </si>
  <si>
    <r>
      <t>2014.9.21.</t>
    </r>
    <r>
      <rPr>
        <sz val="11"/>
        <color indexed="8"/>
        <rFont val="宋体"/>
        <family val="3"/>
        <charset val="134"/>
      </rPr>
      <t/>
    </r>
    <phoneticPr fontId="11" type="noConversion"/>
  </si>
  <si>
    <t>下班途中不小心摔倒，导致左膝盖受伤</t>
    <phoneticPr fontId="11" type="noConversion"/>
  </si>
  <si>
    <t>2015.4.20</t>
    <phoneticPr fontId="11" type="noConversion"/>
  </si>
  <si>
    <t>2013.8.2</t>
    <phoneticPr fontId="11" type="noConversion"/>
  </si>
  <si>
    <t>当地村民（孕妇）晚上骑车撞上路边运输车辆，腹部受伤导致流产</t>
    <phoneticPr fontId="11" type="noConversion"/>
  </si>
  <si>
    <t>2013.9.22</t>
    <phoneticPr fontId="11" type="noConversion"/>
  </si>
  <si>
    <t>2013.6.10</t>
    <phoneticPr fontId="11" type="noConversion"/>
  </si>
  <si>
    <t>4#墩承台封底后出现漏水现象</t>
    <phoneticPr fontId="11" type="noConversion"/>
  </si>
  <si>
    <t>温州市大门大桥一期工程第2施工标段</t>
    <phoneticPr fontId="11" type="noConversion"/>
  </si>
  <si>
    <t>2010.2.6-2015.3.5</t>
    <phoneticPr fontId="11" type="noConversion"/>
  </si>
  <si>
    <t>湖北保宜高速襄阳段BYXYTJ-1合同段</t>
    <phoneticPr fontId="11" type="noConversion"/>
  </si>
  <si>
    <t>2012.12.16-2014.12.15</t>
    <phoneticPr fontId="11" type="noConversion"/>
  </si>
  <si>
    <t>开工-至今</t>
    <phoneticPr fontId="11" type="noConversion"/>
  </si>
  <si>
    <t>2011.12.10-2014.12.9</t>
    <phoneticPr fontId="11" type="noConversion"/>
  </si>
  <si>
    <t>河北省高速公路石安改扩建XJ8项目经理部</t>
    <phoneticPr fontId="11" type="noConversion"/>
  </si>
  <si>
    <t>2013.3.26-2015.10.25</t>
    <phoneticPr fontId="11" type="noConversion"/>
  </si>
  <si>
    <t>十堰至天水国家高速公路甘肃段徽县（大石碑）至天水公路土建工程ST08标段</t>
    <phoneticPr fontId="11" type="noConversion"/>
  </si>
  <si>
    <t>2013.03.31-2014.12.31</t>
    <phoneticPr fontId="11" type="noConversion"/>
  </si>
  <si>
    <t>内蒙古省道305线内蒙省道305线甘旗卡至库伦公路补充工程库伦至平安地段公路</t>
    <phoneticPr fontId="11" type="noConversion"/>
  </si>
  <si>
    <t>京石改扩建工程JS7项目</t>
    <phoneticPr fontId="11" type="noConversion"/>
  </si>
  <si>
    <t>2012.10.28-2015.10.28</t>
    <phoneticPr fontId="11" type="noConversion"/>
  </si>
  <si>
    <t>河北省张承高速公路崇礼至张承界段主体土建工程D标合同段</t>
    <phoneticPr fontId="11" type="noConversion"/>
  </si>
  <si>
    <t>2012.12.23-2015.8.23</t>
    <phoneticPr fontId="11" type="noConversion"/>
  </si>
  <si>
    <t>河北省承德至张家口高速公路承德段丰宁互通至承张界主体土建工程施工TJ8标</t>
    <phoneticPr fontId="11" type="noConversion"/>
  </si>
  <si>
    <t>京石22标项目</t>
    <phoneticPr fontId="11" type="noConversion"/>
  </si>
  <si>
    <t>张承高速承德段TJ13标</t>
    <phoneticPr fontId="11" type="noConversion"/>
  </si>
  <si>
    <t>中国太平洋</t>
    <phoneticPr fontId="11" type="noConversion"/>
  </si>
  <si>
    <t>河北省承德至张家口高速公路承德段单塔子至丰宁互通主体工程施工TJ-19合同段</t>
    <phoneticPr fontId="11" type="noConversion"/>
  </si>
  <si>
    <t>2014.4.25</t>
    <phoneticPr fontId="11" type="noConversion"/>
  </si>
  <si>
    <t>2014.4.25保康隧道进口左幅施工人员伍辉山：42282319641016387X 隧道发生岩爆，造成面部、腹部受伤，送往保康县人民医院救治</t>
    <phoneticPr fontId="11" type="noConversion"/>
  </si>
  <si>
    <t>2014.7.11</t>
    <phoneticPr fontId="11" type="noConversion"/>
  </si>
  <si>
    <t>2014.4.25保康隧道进口左幅施工人员邓明凤：422823196911173670 隧道发生岩爆，造成面部、腹部受伤，送往保康县人民医院救治</t>
    <phoneticPr fontId="11" type="noConversion"/>
  </si>
  <si>
    <t>2014.4.25保康隧道进口左幅施工人员易祖艾：422823198211262735 隧道发生岩爆，造成右手肘关节、面部受伤，送往保康县人民医院救治</t>
    <phoneticPr fontId="11" type="noConversion"/>
  </si>
  <si>
    <t>2014.4.25保康隧道进口左幅施工人员赵年芳：420528197112063510 隧道发生岩爆，造成左眼球、面部受伤，送往保康县人民医院救治</t>
    <phoneticPr fontId="11" type="noConversion"/>
  </si>
  <si>
    <t>2013.9.19</t>
    <phoneticPr fontId="11" type="noConversion"/>
  </si>
  <si>
    <t>2014.7.21</t>
    <phoneticPr fontId="11" type="noConversion"/>
  </si>
  <si>
    <t>2014.7.28</t>
    <phoneticPr fontId="11" type="noConversion"/>
  </si>
  <si>
    <t>2013.7.12</t>
    <phoneticPr fontId="11" type="noConversion"/>
  </si>
  <si>
    <t>2014.8.22</t>
    <phoneticPr fontId="11" type="noConversion"/>
  </si>
  <si>
    <t>2014.8.8</t>
    <phoneticPr fontId="11" type="noConversion"/>
  </si>
  <si>
    <t>2014.6.3</t>
    <phoneticPr fontId="11" type="noConversion"/>
  </si>
  <si>
    <t>2015.1.12</t>
    <phoneticPr fontId="11" type="noConversion"/>
  </si>
  <si>
    <t>2014.4.28</t>
    <phoneticPr fontId="11" type="noConversion"/>
  </si>
  <si>
    <t>2014.4.28仙鹤隧道施工人员韩明星：422626197611127018隧道内爆破排险中，不慎发生意外被石头砸伤脚，导致左腿骨折，送往保康县人民医院救治</t>
    <phoneticPr fontId="11" type="noConversion"/>
  </si>
  <si>
    <t>2014.7.25</t>
    <phoneticPr fontId="11" type="noConversion"/>
  </si>
  <si>
    <t>2014.6.2</t>
    <phoneticPr fontId="11" type="noConversion"/>
  </si>
  <si>
    <t>2014.6.2金峰隧道出口施工人员王彬：522121198607100612 施工过程中吊装工字钢时不慎被砸伤，导致右腿骨折受伤，及时送往保康县人民医院骨科救治。</t>
    <phoneticPr fontId="11" type="noConversion"/>
  </si>
  <si>
    <t>2015.1.16</t>
    <phoneticPr fontId="11" type="noConversion"/>
  </si>
  <si>
    <t>仙鹤隧道YK106+116-YK106+128二衬混凝土塌方事故，台车损坏影响施工进度。</t>
    <phoneticPr fontId="11" type="noConversion"/>
  </si>
  <si>
    <t>2013.12.28</t>
    <phoneticPr fontId="11" type="noConversion"/>
  </si>
  <si>
    <t>2013.4.1-2014.8.1</t>
    <phoneticPr fontId="11" type="noConversion"/>
  </si>
  <si>
    <t>中国平安养老</t>
    <phoneticPr fontId="11" type="noConversion"/>
  </si>
  <si>
    <t>广东汕湛项目揭博T7标</t>
    <phoneticPr fontId="11" type="noConversion"/>
  </si>
  <si>
    <t>2013.5.30-2015.5.30</t>
    <phoneticPr fontId="11" type="noConversion"/>
  </si>
  <si>
    <t>中国平安财产保险股份有限公司</t>
    <phoneticPr fontId="11" type="noConversion"/>
  </si>
  <si>
    <t>2013.8.17</t>
    <phoneticPr fontId="11" type="noConversion"/>
  </si>
  <si>
    <t>“尤特”台风</t>
    <phoneticPr fontId="11" type="noConversion"/>
  </si>
  <si>
    <t>广东</t>
    <phoneticPr fontId="11" type="noConversion"/>
  </si>
  <si>
    <r>
      <rPr>
        <sz val="10"/>
        <rFont val="宋体"/>
        <family val="3"/>
        <charset val="134"/>
        <scheme val="minor"/>
      </rPr>
      <t>广东连平S5标项目</t>
    </r>
    <phoneticPr fontId="11" type="noConversion"/>
  </si>
  <si>
    <t>2013.7.25-2015.3.25</t>
    <phoneticPr fontId="11" type="noConversion"/>
  </si>
  <si>
    <t>天安保险</t>
    <phoneticPr fontId="11" type="noConversion"/>
  </si>
  <si>
    <t>2014.7.20</t>
    <phoneticPr fontId="11" type="noConversion"/>
  </si>
  <si>
    <t>隧道塌方</t>
    <phoneticPr fontId="11" type="noConversion"/>
  </si>
  <si>
    <t>2014.11.30</t>
    <phoneticPr fontId="11" type="noConversion"/>
  </si>
  <si>
    <t>中国人民财产保险公司</t>
    <phoneticPr fontId="11" type="noConversion"/>
  </si>
  <si>
    <t>永安保险公司</t>
    <phoneticPr fontId="11" type="noConversion"/>
  </si>
  <si>
    <t>暴雨造成工程主体及第三者受损</t>
    <phoneticPr fontId="11" type="noConversion"/>
  </si>
  <si>
    <t>2014.7.15</t>
    <phoneticPr fontId="11" type="noConversion"/>
  </si>
  <si>
    <t>中国人财保险重庆分公司</t>
    <phoneticPr fontId="11" type="noConversion"/>
  </si>
  <si>
    <t>2014.2.17</t>
    <phoneticPr fontId="11" type="noConversion"/>
  </si>
  <si>
    <t>雪灾造成彩钢棚受损</t>
    <phoneticPr fontId="11" type="noConversion"/>
  </si>
  <si>
    <t>-</t>
    <phoneticPr fontId="11" type="noConversion"/>
  </si>
  <si>
    <t>2014.5.17</t>
    <phoneticPr fontId="11" type="noConversion"/>
  </si>
  <si>
    <t>暴雨造成工程主体损失</t>
    <phoneticPr fontId="11" type="noConversion"/>
  </si>
  <si>
    <t>2014.10.17</t>
    <phoneticPr fontId="11" type="noConversion"/>
  </si>
  <si>
    <t>2014.3.28</t>
    <phoneticPr fontId="11" type="noConversion"/>
  </si>
  <si>
    <t>窄岩隧道洞口滑坡</t>
    <phoneticPr fontId="11" type="noConversion"/>
  </si>
  <si>
    <t>施工造成第三者地方氧气乙炔设备受损</t>
    <phoneticPr fontId="11" type="noConversion"/>
  </si>
  <si>
    <t>2014.10.28</t>
    <phoneticPr fontId="11" type="noConversion"/>
  </si>
  <si>
    <t>2015.1.17</t>
    <phoneticPr fontId="11" type="noConversion"/>
  </si>
  <si>
    <t>南昌至宁都C6标</t>
    <phoneticPr fontId="11" type="noConversion"/>
  </si>
  <si>
    <t>2013.12.16-2015.12.15</t>
    <phoneticPr fontId="11" type="noConversion"/>
  </si>
  <si>
    <t>宜昌至张家界高速YZTJ-2标</t>
    <phoneticPr fontId="11" type="noConversion"/>
  </si>
  <si>
    <t>天安财产保险股份有限公司宜昌中心支公司</t>
    <phoneticPr fontId="11" type="noConversion"/>
  </si>
  <si>
    <t>渤海财产保险股份有限公司湖北分公司</t>
    <phoneticPr fontId="11" type="noConversion"/>
  </si>
  <si>
    <t>泰州至高港高速公路TG-3标</t>
    <phoneticPr fontId="11" type="noConversion"/>
  </si>
  <si>
    <t>武汉地铁6号线</t>
    <phoneticPr fontId="11" type="noConversion"/>
  </si>
  <si>
    <t>中国太平洋人寿保险</t>
    <phoneticPr fontId="11" type="noConversion"/>
  </si>
  <si>
    <t>武汉地铁7号线13标</t>
    <phoneticPr fontId="11" type="noConversion"/>
  </si>
  <si>
    <t>中国人民财产保险股份有限公司西安市高新开发区支公司</t>
    <phoneticPr fontId="11" type="noConversion"/>
  </si>
  <si>
    <t>中国太平洋人寿保险股份有限公司湖州中心支公司</t>
    <phoneticPr fontId="11" type="noConversion"/>
  </si>
  <si>
    <t>2011.10.1</t>
    <phoneticPr fontId="11" type="noConversion"/>
  </si>
  <si>
    <t>暴雨塌方</t>
    <phoneticPr fontId="11" type="noConversion"/>
  </si>
  <si>
    <t>2014.5.1</t>
    <phoneticPr fontId="11" type="noConversion"/>
  </si>
  <si>
    <t>张呼铁路</t>
    <phoneticPr fontId="11" type="noConversion"/>
  </si>
  <si>
    <t>2014.9.17</t>
    <phoneticPr fontId="11" type="noConversion"/>
  </si>
  <si>
    <t>左环指砸伤</t>
    <phoneticPr fontId="11" type="noConversion"/>
  </si>
  <si>
    <t>第五跖骨骨折</t>
    <phoneticPr fontId="11" type="noConversion"/>
  </si>
  <si>
    <t>双手烧伤</t>
    <phoneticPr fontId="11" type="noConversion"/>
  </si>
  <si>
    <t>肝内血肿</t>
    <phoneticPr fontId="11" type="noConversion"/>
  </si>
  <si>
    <t>骨科</t>
    <phoneticPr fontId="11" type="noConversion"/>
  </si>
  <si>
    <t>2014.6.5</t>
    <phoneticPr fontId="11" type="noConversion"/>
  </si>
  <si>
    <t>头部砸伤</t>
    <phoneticPr fontId="11" type="noConversion"/>
  </si>
  <si>
    <t>骨折</t>
    <phoneticPr fontId="11" type="noConversion"/>
  </si>
  <si>
    <t>2014.12.21</t>
    <phoneticPr fontId="11" type="noConversion"/>
  </si>
  <si>
    <t>2014.12.5</t>
    <phoneticPr fontId="11" type="noConversion"/>
  </si>
  <si>
    <t>2014.12.9</t>
    <phoneticPr fontId="11" type="noConversion"/>
  </si>
  <si>
    <t>右手大拇指砸断</t>
    <phoneticPr fontId="11" type="noConversion"/>
  </si>
  <si>
    <t>2014.11.11</t>
    <phoneticPr fontId="11" type="noConversion"/>
  </si>
  <si>
    <t>左环指小指压砸伤</t>
    <phoneticPr fontId="11" type="noConversion"/>
  </si>
  <si>
    <t>二公司</t>
    <phoneticPr fontId="1" type="noConversion"/>
  </si>
  <si>
    <t>三公司</t>
    <phoneticPr fontId="1" type="noConversion"/>
  </si>
  <si>
    <t>四公司</t>
    <phoneticPr fontId="1" type="noConversion"/>
  </si>
  <si>
    <t>五公司</t>
    <phoneticPr fontId="1" type="noConversion"/>
  </si>
  <si>
    <t>六公司</t>
    <phoneticPr fontId="1" type="noConversion"/>
  </si>
  <si>
    <t>一公司</t>
    <phoneticPr fontId="1" type="noConversion"/>
  </si>
  <si>
    <t>二公司</t>
    <phoneticPr fontId="1" type="noConversion"/>
  </si>
  <si>
    <t>三公司</t>
    <phoneticPr fontId="1" type="noConversion"/>
  </si>
  <si>
    <t>五公司</t>
    <phoneticPr fontId="1" type="noConversion"/>
  </si>
  <si>
    <t>六公司</t>
    <phoneticPr fontId="1" type="noConversion"/>
  </si>
  <si>
    <r>
      <t>XX</t>
    </r>
    <r>
      <rPr>
        <b/>
        <sz val="16"/>
        <color theme="1"/>
        <rFont val="宋体"/>
        <family val="2"/>
        <charset val="134"/>
      </rPr>
      <t>公司ＸＸ年ＸＸ季度在建项目保险理赔情况统计季报</t>
    </r>
    <phoneticPr fontId="1" type="noConversion"/>
  </si>
  <si>
    <t>合同额(万美元)</t>
    <phoneticPr fontId="1" type="noConversion"/>
  </si>
  <si>
    <t>单位：万美元</t>
    <phoneticPr fontId="1" type="noConversion"/>
  </si>
</sst>
</file>

<file path=xl/styles.xml><?xml version="1.0" encoding="utf-8"?>
<styleSheet xmlns="http://schemas.openxmlformats.org/spreadsheetml/2006/main">
  <numFmts count="25">
    <numFmt numFmtId="43" formatCode="_ * #,##0.00_ ;_ * \-#,##0.00_ ;_ * &quot;-&quot;??_ ;_ @_ "/>
    <numFmt numFmtId="176" formatCode="0.0%"/>
    <numFmt numFmtId="177" formatCode="0_ "/>
    <numFmt numFmtId="178" formatCode="0.00_ "/>
    <numFmt numFmtId="179" formatCode="0.0_ "/>
    <numFmt numFmtId="180" formatCode="0.0000_ "/>
    <numFmt numFmtId="181" formatCode="#,##0.00_);[Red]\(#,##0.00\)"/>
    <numFmt numFmtId="182" formatCode="0.00;_"/>
    <numFmt numFmtId="183" formatCode="#,##0.00;\-#,##0.00;__"/>
    <numFmt numFmtId="184" formatCode="0.00_ ;[Red]\-0.00\ "/>
    <numFmt numFmtId="185" formatCode="0.00_);[Red]\(0.00\)"/>
    <numFmt numFmtId="186" formatCode="yyyy&quot;年&quot;m&quot;月&quot;d&quot;日&quot;;@"/>
    <numFmt numFmtId="187" formatCode="0.0000_);[Red]\(0.0000\)"/>
    <numFmt numFmtId="188" formatCode="yyyy/m/d;@"/>
    <numFmt numFmtId="189" formatCode="0.00;[Red]0.00"/>
    <numFmt numFmtId="190" formatCode="0.00_);\(0.00\)"/>
    <numFmt numFmtId="191" formatCode="#,##0.00_ "/>
    <numFmt numFmtId="192" formatCode="0.0_ ;[Red]\-0.0\ "/>
    <numFmt numFmtId="193" formatCode="0_ ;[Red]\-0\ "/>
    <numFmt numFmtId="194" formatCode="0.0000_ ;[Red]\-0.0000\ "/>
    <numFmt numFmtId="195" formatCode="0.0000;[Red]0.0000"/>
    <numFmt numFmtId="196" formatCode="0.00&quot; &quot;;[Red]&quot;(&quot;0.00&quot;)&quot;"/>
    <numFmt numFmtId="197" formatCode="0.0000&quot; &quot;"/>
    <numFmt numFmtId="198" formatCode="0.0_);[Red]\(0.0\)"/>
    <numFmt numFmtId="199" formatCode="0.0"/>
  </numFmts>
  <fonts count="53">
    <font>
      <sz val="11"/>
      <color theme="1"/>
      <name val="宋体"/>
      <family val="2"/>
      <charset val="134"/>
      <scheme val="minor"/>
    </font>
    <font>
      <sz val="9"/>
      <name val="宋体"/>
      <family val="2"/>
      <charset val="134"/>
      <scheme val="minor"/>
    </font>
    <font>
      <sz val="11"/>
      <color theme="1"/>
      <name val="Times New Roman"/>
      <family val="1"/>
    </font>
    <font>
      <b/>
      <sz val="16"/>
      <color theme="1"/>
      <name val="Times New Roman"/>
      <family val="1"/>
    </font>
    <font>
      <b/>
      <sz val="16"/>
      <color theme="1"/>
      <name val="宋体"/>
      <family val="2"/>
      <charset val="134"/>
    </font>
    <font>
      <sz val="11"/>
      <color theme="1"/>
      <name val="宋体"/>
      <family val="3"/>
      <charset val="134"/>
    </font>
    <font>
      <b/>
      <sz val="11"/>
      <color theme="1"/>
      <name val="宋体"/>
      <family val="3"/>
      <charset val="134"/>
    </font>
    <font>
      <sz val="10"/>
      <color theme="1"/>
      <name val="Times New Roman"/>
      <family val="1"/>
    </font>
    <font>
      <sz val="11"/>
      <color theme="1"/>
      <name val="宋体"/>
      <family val="2"/>
      <charset val="134"/>
      <scheme val="minor"/>
    </font>
    <font>
      <sz val="10"/>
      <name val="Times New Roman"/>
      <family val="1"/>
    </font>
    <font>
      <sz val="10"/>
      <name val="宋体"/>
      <family val="3"/>
      <charset val="134"/>
    </font>
    <font>
      <sz val="9"/>
      <name val="宋体"/>
      <family val="3"/>
      <charset val="134"/>
    </font>
    <font>
      <sz val="9"/>
      <name val="Times New Roman"/>
      <family val="1"/>
    </font>
    <font>
      <b/>
      <sz val="10"/>
      <name val="宋体"/>
      <family val="3"/>
      <charset val="134"/>
    </font>
    <font>
      <sz val="10"/>
      <name val="Helv"/>
      <family val="2"/>
    </font>
    <font>
      <sz val="10"/>
      <name val="宋体"/>
      <family val="3"/>
      <charset val="134"/>
      <scheme val="minor"/>
    </font>
    <font>
      <sz val="9"/>
      <color indexed="81"/>
      <name val="宋体"/>
      <family val="3"/>
      <charset val="134"/>
    </font>
    <font>
      <b/>
      <sz val="9"/>
      <color indexed="81"/>
      <name val="宋体"/>
      <family val="3"/>
      <charset val="134"/>
    </font>
    <font>
      <sz val="9"/>
      <color indexed="81"/>
      <name val="Tahoma"/>
      <family val="2"/>
    </font>
    <font>
      <b/>
      <sz val="9"/>
      <color indexed="81"/>
      <name val="Tahoma"/>
      <family val="2"/>
    </font>
    <font>
      <b/>
      <sz val="9"/>
      <name val="宋体"/>
      <family val="3"/>
      <charset val="134"/>
    </font>
    <font>
      <sz val="11"/>
      <name val="Times New Roman"/>
      <family val="1"/>
    </font>
    <font>
      <sz val="12"/>
      <name val="宋体"/>
      <family val="3"/>
      <charset val="134"/>
    </font>
    <font>
      <sz val="11"/>
      <color theme="1"/>
      <name val="宋体"/>
      <family val="3"/>
      <charset val="134"/>
      <scheme val="minor"/>
    </font>
    <font>
      <sz val="11"/>
      <color indexed="8"/>
      <name val="宋体"/>
      <family val="3"/>
      <charset val="134"/>
    </font>
    <font>
      <b/>
      <sz val="10"/>
      <name val="Times New Roman"/>
      <family val="1"/>
    </font>
    <font>
      <sz val="8"/>
      <color indexed="81"/>
      <name val="宋体"/>
      <family val="3"/>
      <charset val="134"/>
    </font>
    <font>
      <sz val="9"/>
      <color theme="1"/>
      <name val="宋体"/>
      <family val="2"/>
      <charset val="134"/>
      <scheme val="minor"/>
    </font>
    <font>
      <b/>
      <sz val="16"/>
      <name val="Times New Roman"/>
      <family val="1"/>
    </font>
    <font>
      <b/>
      <sz val="16"/>
      <name val="宋体"/>
      <family val="2"/>
      <charset val="134"/>
    </font>
    <font>
      <b/>
      <sz val="11"/>
      <name val="宋体"/>
      <family val="3"/>
      <charset val="134"/>
    </font>
    <font>
      <b/>
      <sz val="10"/>
      <name val="宋体"/>
      <family val="2"/>
      <charset val="134"/>
    </font>
    <font>
      <b/>
      <sz val="11"/>
      <name val="宋体"/>
      <family val="2"/>
      <charset val="134"/>
    </font>
    <font>
      <sz val="10"/>
      <color theme="1"/>
      <name val="宋体"/>
      <family val="3"/>
      <charset val="134"/>
      <scheme val="minor"/>
    </font>
    <font>
      <sz val="10"/>
      <color indexed="8"/>
      <name val="宋体"/>
      <family val="3"/>
      <charset val="134"/>
      <scheme val="minor"/>
    </font>
    <font>
      <b/>
      <sz val="10"/>
      <name val="宋体"/>
      <family val="3"/>
      <charset val="134"/>
      <scheme val="minor"/>
    </font>
    <font>
      <b/>
      <sz val="10"/>
      <color theme="1"/>
      <name val="宋体"/>
      <family val="3"/>
      <charset val="134"/>
      <scheme val="minor"/>
    </font>
    <font>
      <sz val="10"/>
      <color rgb="FFFF0000"/>
      <name val="宋体"/>
      <family val="3"/>
      <charset val="134"/>
      <scheme val="minor"/>
    </font>
    <font>
      <sz val="10"/>
      <color indexed="10"/>
      <name val="宋体"/>
      <family val="3"/>
      <charset val="134"/>
      <scheme val="minor"/>
    </font>
    <font>
      <b/>
      <sz val="10"/>
      <color indexed="8"/>
      <name val="宋体"/>
      <family val="3"/>
      <charset val="134"/>
      <scheme val="minor"/>
    </font>
    <font>
      <sz val="9"/>
      <name val="宋体"/>
      <family val="3"/>
      <charset val="134"/>
      <scheme val="minor"/>
    </font>
    <font>
      <sz val="9"/>
      <color theme="1"/>
      <name val="宋体"/>
      <family val="3"/>
      <charset val="134"/>
      <scheme val="minor"/>
    </font>
    <font>
      <sz val="12"/>
      <color indexed="52"/>
      <name val="宋体"/>
      <family val="3"/>
      <charset val="134"/>
    </font>
    <font>
      <sz val="9"/>
      <name val="楷体_GB2312"/>
      <charset val="134"/>
    </font>
    <font>
      <sz val="10"/>
      <color indexed="8"/>
      <name val="宋体"/>
      <family val="3"/>
      <charset val="134"/>
    </font>
    <font>
      <sz val="9"/>
      <color theme="1"/>
      <name val="Times New Roman"/>
      <family val="1"/>
    </font>
    <font>
      <sz val="9"/>
      <color theme="1"/>
      <name val="宋体"/>
      <family val="3"/>
      <charset val="134"/>
    </font>
    <font>
      <sz val="9"/>
      <color indexed="8"/>
      <name val="宋体"/>
      <family val="3"/>
      <charset val="134"/>
    </font>
    <font>
      <sz val="10"/>
      <color theme="1"/>
      <name val="宋体"/>
      <family val="3"/>
      <charset val="134"/>
    </font>
    <font>
      <sz val="10"/>
      <color theme="1"/>
      <name val="华文楷体"/>
      <family val="3"/>
      <charset val="134"/>
    </font>
    <font>
      <sz val="10"/>
      <name val="华文楷体"/>
      <family val="3"/>
      <charset val="134"/>
    </font>
    <font>
      <sz val="11"/>
      <color indexed="9"/>
      <name val="宋体"/>
      <family val="3"/>
      <charset val="134"/>
    </font>
    <font>
      <sz val="9"/>
      <color indexed="8"/>
      <name val="宋体"/>
      <family val="3"/>
      <charset val="134"/>
      <scheme val="minor"/>
    </font>
  </fonts>
  <fills count="9">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bgColor indexed="9"/>
      </patternFill>
    </fill>
    <fill>
      <patternFill patternType="solid">
        <fgColor rgb="FF00B0F0"/>
        <bgColor indexed="64"/>
      </patternFill>
    </fill>
    <fill>
      <patternFill patternType="solid">
        <fgColor theme="0"/>
        <bgColor rgb="FFFFFFFF"/>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s>
  <cellStyleXfs count="14">
    <xf numFmtId="0" fontId="0" fillId="0" borderId="0">
      <alignment vertical="center"/>
    </xf>
    <xf numFmtId="9" fontId="8" fillId="0" borderId="0" applyFont="0" applyFill="0" applyBorder="0" applyAlignment="0" applyProtection="0">
      <alignment vertical="center"/>
    </xf>
    <xf numFmtId="0" fontId="14" fillId="0" borderId="0"/>
    <xf numFmtId="0" fontId="22" fillId="0" borderId="0">
      <alignment vertical="center"/>
    </xf>
    <xf numFmtId="0" fontId="23" fillId="0" borderId="0">
      <alignment vertical="center"/>
    </xf>
    <xf numFmtId="0" fontId="22" fillId="0" borderId="0"/>
    <xf numFmtId="0" fontId="24" fillId="0" borderId="0">
      <alignment vertical="center"/>
    </xf>
    <xf numFmtId="0" fontId="22" fillId="0" borderId="0">
      <alignment vertical="center"/>
    </xf>
    <xf numFmtId="43" fontId="8" fillId="0" borderId="0" applyFont="0" applyFill="0" applyBorder="0" applyAlignment="0" applyProtection="0">
      <alignment vertical="center"/>
    </xf>
    <xf numFmtId="0" fontId="24" fillId="0" borderId="0"/>
    <xf numFmtId="0" fontId="22" fillId="0" borderId="0"/>
    <xf numFmtId="0" fontId="22" fillId="0" borderId="0"/>
    <xf numFmtId="0" fontId="22" fillId="0" borderId="0"/>
    <xf numFmtId="0" fontId="22" fillId="0" borderId="0"/>
  </cellStyleXfs>
  <cellXfs count="907">
    <xf numFmtId="0" fontId="0" fillId="0" borderId="0" xfId="0">
      <alignment vertical="center"/>
    </xf>
    <xf numFmtId="0" fontId="2" fillId="0" borderId="0" xfId="0" applyFont="1" applyAlignment="1">
      <alignment horizontal="center" vertical="center" wrapText="1"/>
    </xf>
    <xf numFmtId="0" fontId="7" fillId="0" borderId="0" xfId="0" applyFont="1" applyAlignment="1">
      <alignment horizontal="center" vertical="center" wrapText="1"/>
    </xf>
    <xf numFmtId="0" fontId="9" fillId="0" borderId="1" xfId="0" applyFont="1" applyFill="1" applyBorder="1" applyAlignment="1">
      <alignment horizontal="center" vertical="center" wrapText="1"/>
    </xf>
    <xf numFmtId="0" fontId="21" fillId="0" borderId="0" xfId="0" applyFont="1" applyFill="1" applyAlignment="1">
      <alignment horizontal="center" vertical="center" wrapText="1"/>
    </xf>
    <xf numFmtId="176" fontId="15" fillId="0" borderId="1" xfId="0" applyNumberFormat="1" applyFont="1" applyBorder="1" applyAlignment="1">
      <alignment horizontal="center" vertical="center" wrapText="1"/>
    </xf>
    <xf numFmtId="1" fontId="15" fillId="0" borderId="1" xfId="0" applyNumberFormat="1" applyFont="1" applyBorder="1" applyAlignment="1">
      <alignment horizontal="center" vertical="center" wrapText="1"/>
    </xf>
    <xf numFmtId="0" fontId="10" fillId="0" borderId="1" xfId="0" applyFont="1" applyFill="1" applyBorder="1" applyAlignment="1">
      <alignment horizontal="center" vertical="center" wrapText="1"/>
    </xf>
    <xf numFmtId="178" fontId="15" fillId="0" borderId="1" xfId="2" applyNumberFormat="1" applyFont="1" applyFill="1" applyBorder="1" applyAlignment="1">
      <alignment horizontal="center" vertical="center" wrapText="1"/>
    </xf>
    <xf numFmtId="0" fontId="15" fillId="0" borderId="3" xfId="0" applyFont="1" applyFill="1" applyBorder="1" applyAlignment="1">
      <alignment vertical="center" wrapText="1"/>
    </xf>
    <xf numFmtId="0" fontId="15" fillId="0" borderId="1" xfId="0" applyFont="1" applyFill="1" applyBorder="1" applyAlignment="1">
      <alignment horizontal="center" vertical="center" wrapText="1"/>
    </xf>
    <xf numFmtId="185" fontId="15" fillId="0" borderId="1" xfId="0" applyNumberFormat="1" applyFont="1" applyFill="1" applyBorder="1" applyAlignment="1">
      <alignment horizontal="center" vertical="center" wrapText="1"/>
    </xf>
    <xf numFmtId="49" fontId="15" fillId="0" borderId="1" xfId="0" applyNumberFormat="1" applyFont="1" applyFill="1" applyBorder="1" applyAlignment="1">
      <alignment horizontal="center" vertical="center"/>
    </xf>
    <xf numFmtId="49" fontId="15" fillId="0" borderId="1" xfId="0" applyNumberFormat="1" applyFont="1" applyFill="1" applyBorder="1" applyAlignment="1">
      <alignment horizontal="left" vertical="center" wrapText="1"/>
    </xf>
    <xf numFmtId="49" fontId="15" fillId="0" borderId="1" xfId="0" applyNumberFormat="1" applyFont="1" applyFill="1" applyBorder="1" applyAlignment="1">
      <alignment horizontal="left" vertical="center"/>
    </xf>
    <xf numFmtId="178" fontId="15" fillId="0" borderId="1" xfId="0" applyNumberFormat="1" applyFont="1" applyFill="1" applyBorder="1" applyAlignment="1">
      <alignment horizontal="center" vertical="center"/>
    </xf>
    <xf numFmtId="176" fontId="15" fillId="0" borderId="1" xfId="0" applyNumberFormat="1" applyFont="1" applyFill="1" applyBorder="1" applyAlignment="1">
      <alignment horizontal="center" vertical="center" wrapText="1"/>
    </xf>
    <xf numFmtId="184" fontId="15" fillId="0" borderId="1" xfId="0" applyNumberFormat="1" applyFont="1" applyFill="1" applyBorder="1" applyAlignment="1">
      <alignment horizontal="center" vertical="center" wrapText="1"/>
    </xf>
    <xf numFmtId="10" fontId="15" fillId="0" borderId="1" xfId="0" applyNumberFormat="1" applyFont="1" applyFill="1" applyBorder="1" applyAlignment="1">
      <alignment horizontal="center" vertical="center" wrapText="1"/>
    </xf>
    <xf numFmtId="0" fontId="15" fillId="0" borderId="8"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27" fillId="0" borderId="1" xfId="0" applyFont="1" applyFill="1" applyBorder="1" applyAlignment="1">
      <alignment horizontal="center" vertical="center"/>
    </xf>
    <xf numFmtId="184" fontId="10" fillId="0" borderId="3" xfId="0" applyNumberFormat="1" applyFont="1" applyFill="1" applyBorder="1" applyAlignment="1">
      <alignment horizontal="center" vertical="center" wrapText="1"/>
    </xf>
    <xf numFmtId="184" fontId="9" fillId="0" borderId="3" xfId="0" applyNumberFormat="1" applyFont="1" applyFill="1" applyBorder="1" applyAlignment="1">
      <alignment horizontal="center" vertical="center" wrapText="1"/>
    </xf>
    <xf numFmtId="0" fontId="15" fillId="0" borderId="1" xfId="0" applyNumberFormat="1" applyFont="1" applyBorder="1" applyAlignment="1">
      <alignment horizontal="center" vertical="center" wrapText="1"/>
    </xf>
    <xf numFmtId="0" fontId="15" fillId="0" borderId="1" xfId="0" applyNumberFormat="1" applyFont="1" applyFill="1" applyBorder="1" applyAlignment="1">
      <alignment horizontal="center" vertical="center" wrapText="1"/>
    </xf>
    <xf numFmtId="0" fontId="2" fillId="0" borderId="0" xfId="0" applyNumberFormat="1" applyFont="1" applyAlignment="1">
      <alignment horizontal="center" vertical="center" wrapText="1"/>
    </xf>
    <xf numFmtId="176" fontId="15" fillId="0" borderId="1" xfId="1" applyNumberFormat="1" applyFont="1" applyBorder="1" applyAlignment="1">
      <alignment horizontal="center" vertical="center" wrapText="1"/>
    </xf>
    <xf numFmtId="176" fontId="9" fillId="0" borderId="3" xfId="1" applyNumberFormat="1" applyFont="1" applyFill="1" applyBorder="1" applyAlignment="1">
      <alignment horizontal="center" vertical="center" wrapText="1"/>
    </xf>
    <xf numFmtId="177" fontId="9" fillId="0" borderId="8" xfId="0" applyNumberFormat="1" applyFont="1" applyFill="1" applyBorder="1" applyAlignment="1">
      <alignment horizontal="center" vertical="center"/>
    </xf>
    <xf numFmtId="176" fontId="9" fillId="0" borderId="1" xfId="1" applyNumberFormat="1" applyFont="1" applyFill="1" applyBorder="1" applyAlignment="1">
      <alignment horizontal="center" vertical="center" wrapText="1"/>
    </xf>
    <xf numFmtId="0" fontId="10" fillId="0" borderId="8" xfId="0" applyFont="1" applyFill="1" applyBorder="1" applyAlignment="1">
      <alignment horizontal="center" vertical="center" wrapText="1"/>
    </xf>
    <xf numFmtId="178" fontId="10" fillId="0" borderId="1" xfId="3" applyNumberFormat="1" applyFont="1" applyFill="1" applyBorder="1" applyAlignment="1">
      <alignment horizontal="center" vertical="center" wrapText="1"/>
    </xf>
    <xf numFmtId="176" fontId="10" fillId="0" borderId="1" xfId="1" applyNumberFormat="1" applyFont="1" applyFill="1" applyBorder="1" applyAlignment="1">
      <alignment horizontal="center" vertical="center" wrapText="1"/>
    </xf>
    <xf numFmtId="181" fontId="9" fillId="0" borderId="1" xfId="0" applyNumberFormat="1" applyFont="1" applyFill="1" applyBorder="1" applyAlignment="1">
      <alignment horizontal="center" vertical="center" wrapText="1"/>
    </xf>
    <xf numFmtId="177" fontId="10" fillId="0" borderId="1" xfId="0" applyNumberFormat="1" applyFont="1" applyFill="1" applyBorder="1" applyAlignment="1">
      <alignment horizontal="center" vertical="center" wrapText="1"/>
    </xf>
    <xf numFmtId="0" fontId="10" fillId="0" borderId="1" xfId="3" applyFont="1" applyFill="1" applyBorder="1" applyAlignment="1">
      <alignment horizontal="center" vertical="center" wrapText="1"/>
    </xf>
    <xf numFmtId="184" fontId="9" fillId="0" borderId="1" xfId="0" applyNumberFormat="1" applyFont="1" applyFill="1" applyBorder="1" applyAlignment="1">
      <alignment horizontal="center" vertical="center" wrapText="1"/>
    </xf>
    <xf numFmtId="184" fontId="10" fillId="0" borderId="1" xfId="0" applyNumberFormat="1" applyFont="1" applyFill="1" applyBorder="1" applyAlignment="1">
      <alignment horizontal="center" vertical="center" wrapText="1"/>
    </xf>
    <xf numFmtId="177" fontId="9" fillId="0" borderId="12" xfId="0" applyNumberFormat="1" applyFont="1" applyFill="1" applyBorder="1" applyAlignment="1">
      <alignment horizontal="center" vertical="center" wrapText="1"/>
    </xf>
    <xf numFmtId="177" fontId="9" fillId="0" borderId="3" xfId="0" applyNumberFormat="1" applyFont="1" applyFill="1" applyBorder="1" applyAlignment="1">
      <alignment horizontal="center" vertical="center" wrapText="1"/>
    </xf>
    <xf numFmtId="0" fontId="10" fillId="0" borderId="3" xfId="0" applyFont="1" applyFill="1" applyBorder="1" applyAlignment="1">
      <alignment horizontal="center" vertical="center" wrapText="1"/>
    </xf>
    <xf numFmtId="178" fontId="9" fillId="0" borderId="3" xfId="0" applyNumberFormat="1" applyFont="1" applyFill="1" applyBorder="1" applyAlignment="1">
      <alignment horizontal="center" vertical="center" wrapText="1"/>
    </xf>
    <xf numFmtId="177" fontId="9" fillId="0" borderId="8" xfId="0" applyNumberFormat="1" applyFont="1" applyFill="1" applyBorder="1" applyAlignment="1">
      <alignment horizontal="center" vertical="center" wrapText="1"/>
    </xf>
    <xf numFmtId="0" fontId="10" fillId="0" borderId="1" xfId="2" applyFont="1" applyFill="1" applyBorder="1" applyAlignment="1">
      <alignment horizontal="center" vertical="center" wrapText="1"/>
    </xf>
    <xf numFmtId="9" fontId="9" fillId="0" borderId="1" xfId="1" applyFont="1" applyFill="1" applyBorder="1" applyAlignment="1">
      <alignment horizontal="center" vertical="center" wrapText="1"/>
    </xf>
    <xf numFmtId="176" fontId="15" fillId="0" borderId="1" xfId="1" applyNumberFormat="1" applyFont="1" applyFill="1" applyBorder="1" applyAlignment="1">
      <alignment horizontal="center" vertical="center" wrapText="1"/>
    </xf>
    <xf numFmtId="176" fontId="15" fillId="0" borderId="3" xfId="1" applyNumberFormat="1" applyFont="1" applyFill="1" applyBorder="1" applyAlignment="1">
      <alignment horizontal="center" vertical="center" wrapText="1"/>
    </xf>
    <xf numFmtId="177" fontId="15" fillId="0" borderId="3" xfId="0" applyNumberFormat="1" applyFont="1" applyFill="1" applyBorder="1" applyAlignment="1">
      <alignment horizontal="center" vertical="center" wrapText="1"/>
    </xf>
    <xf numFmtId="0" fontId="10" fillId="0" borderId="1" xfId="6" applyFont="1" applyFill="1" applyBorder="1" applyAlignment="1">
      <alignment horizontal="center" vertical="center" wrapText="1"/>
    </xf>
    <xf numFmtId="180" fontId="15" fillId="0" borderId="1" xfId="0" applyNumberFormat="1" applyFont="1" applyFill="1" applyBorder="1" applyAlignment="1" applyProtection="1">
      <alignment horizontal="center" vertical="center" wrapText="1"/>
      <protection locked="0"/>
    </xf>
    <xf numFmtId="176" fontId="10" fillId="0" borderId="3" xfId="1" applyNumberFormat="1" applyFont="1" applyFill="1" applyBorder="1" applyAlignment="1">
      <alignment horizontal="center" vertical="center" wrapText="1"/>
    </xf>
    <xf numFmtId="0" fontId="9" fillId="0" borderId="3" xfId="0" applyFont="1" applyFill="1" applyBorder="1" applyAlignment="1">
      <alignment horizontal="center" vertical="center" wrapText="1"/>
    </xf>
    <xf numFmtId="0" fontId="25" fillId="0" borderId="1" xfId="0" applyFont="1" applyFill="1" applyBorder="1" applyAlignment="1">
      <alignment horizontal="center" vertical="center" wrapText="1"/>
    </xf>
    <xf numFmtId="0" fontId="28" fillId="0" borderId="0" xfId="0" applyFont="1" applyFill="1" applyAlignment="1">
      <alignment horizontal="center" vertical="center" wrapText="1"/>
    </xf>
    <xf numFmtId="0" fontId="9" fillId="0" borderId="0" xfId="0" applyFont="1" applyFill="1" applyAlignment="1">
      <alignment horizontal="center" vertical="center" wrapText="1"/>
    </xf>
    <xf numFmtId="177" fontId="9" fillId="0" borderId="12" xfId="7" applyNumberFormat="1" applyFont="1" applyFill="1" applyBorder="1" applyAlignment="1" applyProtection="1">
      <alignment horizontal="center" vertical="center" wrapText="1"/>
      <protection locked="0"/>
    </xf>
    <xf numFmtId="178" fontId="9" fillId="0" borderId="3" xfId="7" applyNumberFormat="1" applyFont="1" applyFill="1" applyBorder="1" applyAlignment="1" applyProtection="1">
      <alignment horizontal="center" vertical="center" wrapText="1"/>
      <protection locked="0"/>
    </xf>
    <xf numFmtId="9" fontId="9" fillId="0" borderId="3" xfId="1" applyFont="1" applyFill="1" applyBorder="1" applyAlignment="1">
      <alignment horizontal="center" vertical="center" wrapText="1"/>
    </xf>
    <xf numFmtId="178" fontId="9" fillId="0" borderId="1" xfId="7" applyNumberFormat="1" applyFont="1" applyFill="1" applyBorder="1" applyAlignment="1" applyProtection="1">
      <alignment horizontal="center" vertical="center" wrapText="1"/>
      <protection locked="0"/>
    </xf>
    <xf numFmtId="184" fontId="9" fillId="0" borderId="3" xfId="0" applyNumberFormat="1" applyFont="1" applyFill="1" applyBorder="1" applyAlignment="1">
      <alignment horizontal="center" vertical="center"/>
    </xf>
    <xf numFmtId="176" fontId="9" fillId="0" borderId="2" xfId="1" applyNumberFormat="1"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1" fillId="0" borderId="0" xfId="0" applyNumberFormat="1" applyFont="1" applyFill="1" applyAlignment="1">
      <alignment horizontal="center" vertical="center" wrapText="1"/>
    </xf>
    <xf numFmtId="177" fontId="9" fillId="0" borderId="1" xfId="0" applyNumberFormat="1" applyFont="1" applyFill="1" applyBorder="1" applyAlignment="1">
      <alignment horizontal="center" vertical="center" wrapText="1"/>
    </xf>
    <xf numFmtId="177" fontId="15" fillId="0" borderId="1" xfId="0" applyNumberFormat="1" applyFont="1" applyFill="1" applyBorder="1" applyAlignment="1">
      <alignment horizontal="center" vertical="center" wrapText="1"/>
    </xf>
    <xf numFmtId="177" fontId="10" fillId="0" borderId="1" xfId="3" applyNumberFormat="1" applyFont="1" applyFill="1" applyBorder="1" applyAlignment="1">
      <alignment horizontal="center" vertical="center" wrapText="1"/>
    </xf>
    <xf numFmtId="177" fontId="9" fillId="0" borderId="3" xfId="1" applyNumberFormat="1" applyFont="1" applyFill="1" applyBorder="1" applyAlignment="1">
      <alignment horizontal="center" vertical="center" wrapText="1"/>
    </xf>
    <xf numFmtId="177" fontId="9" fillId="0" borderId="3" xfId="7" applyNumberFormat="1" applyFont="1" applyFill="1" applyBorder="1" applyAlignment="1" applyProtection="1">
      <alignment horizontal="center" vertical="center" wrapText="1"/>
      <protection locked="0"/>
    </xf>
    <xf numFmtId="177" fontId="9" fillId="0" borderId="2" xfId="0" applyNumberFormat="1" applyFont="1" applyFill="1" applyBorder="1" applyAlignment="1">
      <alignment horizontal="center" vertical="center" wrapText="1"/>
    </xf>
    <xf numFmtId="177" fontId="10" fillId="0" borderId="3" xfId="0" applyNumberFormat="1" applyFont="1" applyFill="1" applyBorder="1" applyAlignment="1">
      <alignment horizontal="center" vertical="center" wrapText="1"/>
    </xf>
    <xf numFmtId="177" fontId="15" fillId="0" borderId="1" xfId="0" applyNumberFormat="1" applyFont="1" applyFill="1" applyBorder="1" applyAlignment="1">
      <alignment horizontal="right" vertical="center" wrapText="1"/>
    </xf>
    <xf numFmtId="177" fontId="15" fillId="0" borderId="1" xfId="0" applyNumberFormat="1" applyFont="1" applyFill="1" applyBorder="1" applyAlignment="1" applyProtection="1">
      <alignment horizontal="right" vertical="center" wrapText="1"/>
      <protection locked="0"/>
    </xf>
    <xf numFmtId="0" fontId="5" fillId="0" borderId="0" xfId="0" applyFont="1" applyAlignment="1">
      <alignment horizontal="center" vertical="center" wrapText="1"/>
    </xf>
    <xf numFmtId="178" fontId="15" fillId="0" borderId="1" xfId="0" applyNumberFormat="1" applyFont="1" applyFill="1" applyBorder="1" applyAlignment="1">
      <alignment vertical="center" wrapText="1"/>
    </xf>
    <xf numFmtId="0" fontId="3" fillId="4" borderId="0" xfId="0" applyFont="1" applyFill="1" applyAlignment="1">
      <alignment horizontal="center" vertical="center" wrapText="1"/>
    </xf>
    <xf numFmtId="0" fontId="15" fillId="4" borderId="1" xfId="0" applyFont="1" applyFill="1" applyBorder="1" applyAlignment="1">
      <alignment horizontal="center" vertical="center" wrapText="1"/>
    </xf>
    <xf numFmtId="0" fontId="5" fillId="4" borderId="0" xfId="0" applyFont="1" applyFill="1" applyAlignment="1">
      <alignment horizontal="center" vertical="center" wrapText="1"/>
    </xf>
    <xf numFmtId="0" fontId="2" fillId="4" borderId="0" xfId="0" applyFont="1" applyFill="1" applyAlignment="1">
      <alignment horizontal="center" vertical="center" wrapText="1"/>
    </xf>
    <xf numFmtId="178" fontId="15" fillId="5" borderId="1" xfId="0" applyNumberFormat="1" applyFont="1" applyFill="1" applyBorder="1" applyAlignment="1">
      <alignment horizontal="center" vertical="center" wrapText="1"/>
    </xf>
    <xf numFmtId="0" fontId="15" fillId="5" borderId="1" xfId="0" applyFont="1" applyFill="1" applyBorder="1" applyAlignment="1">
      <alignment horizontal="center" vertical="center" wrapText="1"/>
    </xf>
    <xf numFmtId="180" fontId="15" fillId="5" borderId="1" xfId="0" applyNumberFormat="1" applyFont="1" applyFill="1" applyBorder="1" applyAlignment="1">
      <alignment vertical="center" wrapText="1"/>
    </xf>
    <xf numFmtId="10" fontId="15" fillId="5" borderId="1" xfId="0" applyNumberFormat="1" applyFont="1" applyFill="1" applyBorder="1" applyAlignment="1">
      <alignment horizontal="right" vertical="center" wrapText="1"/>
    </xf>
    <xf numFmtId="0" fontId="15" fillId="5" borderId="1" xfId="0" applyFont="1" applyFill="1" applyBorder="1" applyAlignment="1">
      <alignment vertical="center" wrapText="1"/>
    </xf>
    <xf numFmtId="0" fontId="34" fillId="0" borderId="1" xfId="0" applyFont="1" applyBorder="1" applyAlignment="1">
      <alignment horizontal="center" vertical="center" wrapText="1"/>
    </xf>
    <xf numFmtId="0" fontId="15" fillId="5" borderId="1" xfId="0" applyNumberFormat="1" applyFont="1" applyFill="1" applyBorder="1" applyAlignment="1">
      <alignment horizontal="right" vertical="center" wrapText="1"/>
    </xf>
    <xf numFmtId="176" fontId="33" fillId="5" borderId="1" xfId="0" applyNumberFormat="1" applyFont="1" applyFill="1" applyBorder="1" applyAlignment="1">
      <alignment horizontal="center" vertical="center" wrapText="1"/>
    </xf>
    <xf numFmtId="0" fontId="15" fillId="5" borderId="1" xfId="0" applyNumberFormat="1" applyFont="1" applyFill="1" applyBorder="1" applyAlignment="1">
      <alignment horizontal="center" vertical="center" wrapText="1"/>
    </xf>
    <xf numFmtId="180" fontId="34" fillId="5" borderId="1" xfId="0" applyNumberFormat="1" applyFont="1" applyFill="1" applyBorder="1" applyAlignment="1">
      <alignment horizontal="left" vertical="center" wrapText="1"/>
    </xf>
    <xf numFmtId="0" fontId="34" fillId="0" borderId="1" xfId="0" applyFont="1" applyFill="1" applyBorder="1" applyAlignment="1">
      <alignment horizontal="center" vertical="center"/>
    </xf>
    <xf numFmtId="187" fontId="15" fillId="0" borderId="1" xfId="0" applyNumberFormat="1" applyFont="1" applyFill="1" applyBorder="1" applyAlignment="1">
      <alignment horizontal="center" vertical="center" wrapText="1"/>
    </xf>
    <xf numFmtId="14"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34" fillId="0" borderId="1" xfId="0" applyFont="1" applyFill="1" applyBorder="1" applyAlignment="1">
      <alignment horizontal="left" vertical="center" wrapText="1"/>
    </xf>
    <xf numFmtId="0" fontId="34" fillId="0" borderId="1" xfId="0" applyFont="1" applyFill="1" applyBorder="1" applyAlignment="1">
      <alignment horizontal="center" vertical="center" wrapText="1"/>
    </xf>
    <xf numFmtId="178" fontId="34" fillId="0" borderId="1" xfId="0" applyNumberFormat="1" applyFont="1" applyFill="1" applyBorder="1" applyAlignment="1">
      <alignment horizontal="center" vertical="center" wrapText="1"/>
    </xf>
    <xf numFmtId="187" fontId="34" fillId="0" borderId="1" xfId="0" applyNumberFormat="1" applyFont="1" applyFill="1" applyBorder="1" applyAlignment="1">
      <alignment horizontal="center" vertical="center" wrapText="1"/>
    </xf>
    <xf numFmtId="190" fontId="15" fillId="0" borderId="1" xfId="0" applyNumberFormat="1" applyFont="1" applyFill="1" applyBorder="1" applyAlignment="1">
      <alignment horizontal="left" vertical="center" wrapText="1"/>
    </xf>
    <xf numFmtId="0" fontId="33" fillId="0" borderId="0" xfId="0" applyFont="1" applyAlignment="1">
      <alignment horizontal="center" vertical="center" wrapText="1"/>
    </xf>
    <xf numFmtId="0" fontId="15" fillId="2" borderId="1" xfId="0" applyFont="1" applyFill="1" applyBorder="1" applyAlignment="1">
      <alignment horizontal="left" vertical="center" wrapText="1"/>
    </xf>
    <xf numFmtId="178" fontId="33" fillId="2" borderId="1" xfId="0" applyNumberFormat="1" applyFont="1" applyFill="1" applyBorder="1" applyAlignment="1">
      <alignment horizontal="center" vertical="center" wrapText="1"/>
    </xf>
    <xf numFmtId="0" fontId="15" fillId="2" borderId="1" xfId="0" applyNumberFormat="1" applyFont="1" applyFill="1" applyBorder="1" applyAlignment="1">
      <alignment horizontal="center" vertical="center" wrapText="1"/>
    </xf>
    <xf numFmtId="178" fontId="15" fillId="2" borderId="1" xfId="0" applyNumberFormat="1" applyFont="1" applyFill="1" applyBorder="1" applyAlignment="1">
      <alignment horizontal="center" vertical="center" wrapText="1"/>
    </xf>
    <xf numFmtId="176" fontId="15" fillId="2" borderId="1" xfId="1" applyNumberFormat="1" applyFont="1" applyFill="1" applyBorder="1" applyAlignment="1">
      <alignment horizontal="center" vertical="center" wrapText="1"/>
    </xf>
    <xf numFmtId="2" fontId="34" fillId="2" borderId="1" xfId="0" applyNumberFormat="1" applyFont="1" applyFill="1" applyBorder="1" applyAlignment="1">
      <alignment horizontal="center" vertical="center" wrapText="1"/>
    </xf>
    <xf numFmtId="178" fontId="34" fillId="2" borderId="1" xfId="0" applyNumberFormat="1" applyFont="1" applyFill="1" applyBorder="1" applyAlignment="1">
      <alignment horizontal="center" vertical="center" wrapText="1"/>
    </xf>
    <xf numFmtId="0" fontId="15" fillId="2" borderId="1" xfId="0" applyFont="1" applyFill="1" applyBorder="1" applyAlignment="1">
      <alignment horizontal="center" vertical="center"/>
    </xf>
    <xf numFmtId="14" fontId="34" fillId="2" borderId="3" xfId="0" applyNumberFormat="1" applyFont="1" applyFill="1" applyBorder="1" applyAlignment="1">
      <alignment horizontal="center" vertical="center"/>
    </xf>
    <xf numFmtId="14" fontId="34" fillId="2" borderId="1" xfId="0" applyNumberFormat="1" applyFont="1" applyFill="1" applyBorder="1" applyAlignment="1">
      <alignment horizontal="center" vertical="center"/>
    </xf>
    <xf numFmtId="0" fontId="33" fillId="2" borderId="3" xfId="0" applyFont="1" applyFill="1" applyBorder="1" applyAlignment="1">
      <alignment vertical="center" wrapText="1"/>
    </xf>
    <xf numFmtId="0" fontId="34" fillId="2" borderId="2" xfId="0" applyFont="1" applyFill="1" applyBorder="1" applyAlignment="1">
      <alignment horizontal="center" vertical="center" wrapText="1"/>
    </xf>
    <xf numFmtId="0" fontId="15" fillId="2" borderId="2" xfId="0" applyFont="1" applyFill="1" applyBorder="1" applyAlignment="1">
      <alignment horizontal="center" vertical="center" wrapText="1"/>
    </xf>
    <xf numFmtId="10" fontId="34" fillId="2" borderId="1" xfId="0" applyNumberFormat="1" applyFont="1" applyFill="1" applyBorder="1" applyAlignment="1">
      <alignment horizontal="center" vertical="center" wrapText="1"/>
    </xf>
    <xf numFmtId="10" fontId="15" fillId="2" borderId="1" xfId="0" applyNumberFormat="1" applyFont="1" applyFill="1" applyBorder="1" applyAlignment="1">
      <alignment horizontal="center" vertical="center" wrapText="1"/>
    </xf>
    <xf numFmtId="0" fontId="34" fillId="2" borderId="1" xfId="0" applyFont="1" applyFill="1" applyBorder="1" applyAlignment="1">
      <alignment horizontal="left" vertical="center" wrapText="1"/>
    </xf>
    <xf numFmtId="0" fontId="37" fillId="2" borderId="1" xfId="0" applyFont="1" applyFill="1" applyBorder="1" applyAlignment="1">
      <alignment horizontal="center" vertical="center" wrapText="1"/>
    </xf>
    <xf numFmtId="178" fontId="37" fillId="2" borderId="1" xfId="0" applyNumberFormat="1" applyFont="1" applyFill="1" applyBorder="1" applyAlignment="1">
      <alignment horizontal="center" vertical="center" wrapText="1"/>
    </xf>
    <xf numFmtId="0" fontId="15" fillId="2" borderId="1" xfId="2" applyFont="1" applyFill="1" applyBorder="1" applyAlignment="1">
      <alignment vertical="center" wrapText="1"/>
    </xf>
    <xf numFmtId="9" fontId="15" fillId="2" borderId="1" xfId="1" applyFont="1" applyFill="1" applyBorder="1" applyAlignment="1">
      <alignment horizontal="center" vertical="center" wrapText="1"/>
    </xf>
    <xf numFmtId="0" fontId="33" fillId="4" borderId="1" xfId="0" applyFont="1" applyFill="1" applyBorder="1" applyAlignment="1">
      <alignment horizontal="center" vertical="center" wrapText="1"/>
    </xf>
    <xf numFmtId="14" fontId="33" fillId="2" borderId="1" xfId="0" applyNumberFormat="1" applyFont="1" applyFill="1" applyBorder="1" applyAlignment="1">
      <alignment horizontal="center" vertical="center" wrapText="1"/>
    </xf>
    <xf numFmtId="9" fontId="33" fillId="2" borderId="1" xfId="0" applyNumberFormat="1" applyFont="1" applyFill="1" applyBorder="1" applyAlignment="1">
      <alignment horizontal="center" vertical="center" wrapText="1"/>
    </xf>
    <xf numFmtId="182" fontId="15" fillId="2" borderId="1" xfId="0" applyNumberFormat="1" applyFont="1" applyFill="1" applyBorder="1" applyAlignment="1">
      <alignment horizontal="center" vertical="center" wrapText="1"/>
    </xf>
    <xf numFmtId="182" fontId="33" fillId="2" borderId="1" xfId="0" applyNumberFormat="1" applyFont="1" applyFill="1" applyBorder="1" applyAlignment="1">
      <alignment horizontal="center" vertical="center" wrapText="1"/>
    </xf>
    <xf numFmtId="178" fontId="34" fillId="0" borderId="1" xfId="0" applyNumberFormat="1" applyFont="1" applyBorder="1" applyAlignment="1">
      <alignment horizontal="center" vertical="center" wrapText="1"/>
    </xf>
    <xf numFmtId="49" fontId="15" fillId="2" borderId="1" xfId="0" applyNumberFormat="1" applyFont="1" applyFill="1" applyBorder="1" applyAlignment="1" applyProtection="1">
      <alignment horizontal="left" vertical="center" wrapText="1"/>
      <protection locked="0"/>
    </xf>
    <xf numFmtId="0" fontId="15" fillId="2" borderId="8" xfId="0" applyFont="1" applyFill="1" applyBorder="1" applyAlignment="1">
      <alignment vertical="center" wrapText="1"/>
    </xf>
    <xf numFmtId="181" fontId="15" fillId="0" borderId="1" xfId="0" applyNumberFormat="1" applyFont="1" applyFill="1" applyBorder="1" applyAlignment="1">
      <alignment horizontal="left" vertical="center" wrapText="1"/>
    </xf>
    <xf numFmtId="181" fontId="15" fillId="0" borderId="1" xfId="0" applyNumberFormat="1" applyFont="1" applyFill="1" applyBorder="1" applyAlignment="1">
      <alignment horizontal="center" vertical="center" wrapText="1"/>
    </xf>
    <xf numFmtId="2" fontId="38" fillId="0" borderId="1" xfId="0" applyNumberFormat="1" applyFont="1" applyFill="1" applyBorder="1" applyAlignment="1">
      <alignment horizontal="center" vertical="center" wrapText="1"/>
    </xf>
    <xf numFmtId="0" fontId="38" fillId="0" borderId="1" xfId="0" applyFont="1" applyFill="1" applyBorder="1" applyAlignment="1">
      <alignment horizontal="center" vertical="center" wrapText="1"/>
    </xf>
    <xf numFmtId="177" fontId="15" fillId="0" borderId="8" xfId="0" applyNumberFormat="1" applyFont="1" applyFill="1" applyBorder="1" applyAlignment="1">
      <alignment horizontal="center" vertical="center"/>
    </xf>
    <xf numFmtId="0" fontId="15" fillId="0" borderId="0" xfId="0" applyFont="1" applyFill="1" applyAlignment="1">
      <alignment horizontal="center" vertical="center" wrapText="1"/>
    </xf>
    <xf numFmtId="176" fontId="37" fillId="0" borderId="1" xfId="0" applyNumberFormat="1" applyFont="1" applyFill="1" applyBorder="1" applyAlignment="1">
      <alignment horizontal="center" vertical="center" wrapText="1"/>
    </xf>
    <xf numFmtId="0" fontId="33" fillId="0" borderId="1" xfId="0" applyFont="1" applyFill="1" applyBorder="1" applyAlignment="1">
      <alignment horizontal="center" vertical="center" wrapText="1"/>
    </xf>
    <xf numFmtId="2" fontId="33" fillId="0" borderId="1" xfId="0" applyNumberFormat="1" applyFont="1" applyFill="1" applyBorder="1" applyAlignment="1">
      <alignment horizontal="center" vertical="center" wrapText="1"/>
    </xf>
    <xf numFmtId="2" fontId="34" fillId="0" borderId="1" xfId="0" applyNumberFormat="1" applyFont="1" applyFill="1" applyBorder="1" applyAlignment="1">
      <alignment horizontal="center" vertical="center" wrapText="1"/>
    </xf>
    <xf numFmtId="178" fontId="38" fillId="0" borderId="1" xfId="0" applyNumberFormat="1" applyFont="1" applyFill="1" applyBorder="1" applyAlignment="1">
      <alignment horizontal="center" vertical="center" wrapText="1"/>
    </xf>
    <xf numFmtId="0" fontId="37" fillId="0" borderId="1" xfId="0" applyFont="1" applyFill="1" applyBorder="1" applyAlignment="1">
      <alignment horizontal="center" vertical="center" wrapText="1"/>
    </xf>
    <xf numFmtId="178" fontId="37" fillId="0" borderId="1" xfId="0" applyNumberFormat="1" applyFont="1" applyFill="1" applyBorder="1" applyAlignment="1">
      <alignment horizontal="center" vertical="center" wrapText="1"/>
    </xf>
    <xf numFmtId="0" fontId="37" fillId="0" borderId="1" xfId="0" applyNumberFormat="1" applyFont="1" applyFill="1" applyBorder="1" applyAlignment="1">
      <alignment horizontal="center" vertical="center" wrapText="1"/>
    </xf>
    <xf numFmtId="177" fontId="37" fillId="0" borderId="8" xfId="0" applyNumberFormat="1" applyFont="1" applyFill="1" applyBorder="1" applyAlignment="1">
      <alignment horizontal="center" vertical="center"/>
    </xf>
    <xf numFmtId="177" fontId="37" fillId="0" borderId="1" xfId="0" applyNumberFormat="1" applyFont="1" applyFill="1" applyBorder="1" applyAlignment="1">
      <alignment horizontal="left" vertical="center"/>
    </xf>
    <xf numFmtId="177" fontId="37" fillId="0" borderId="8" xfId="0" applyNumberFormat="1" applyFont="1" applyFill="1" applyBorder="1" applyAlignment="1">
      <alignment horizontal="left" vertical="center" wrapText="1"/>
    </xf>
    <xf numFmtId="2" fontId="37" fillId="0" borderId="1" xfId="0" applyNumberFormat="1" applyFont="1" applyFill="1" applyBorder="1" applyAlignment="1">
      <alignment horizontal="center" vertical="center" wrapText="1"/>
    </xf>
    <xf numFmtId="181" fontId="37" fillId="0" borderId="1" xfId="0" applyNumberFormat="1" applyFont="1" applyFill="1" applyBorder="1" applyAlignment="1">
      <alignment horizontal="left" vertical="center" wrapText="1"/>
    </xf>
    <xf numFmtId="0" fontId="34" fillId="0" borderId="1" xfId="3" applyFont="1" applyBorder="1" applyAlignment="1">
      <alignment horizontal="center" vertical="center" wrapText="1"/>
    </xf>
    <xf numFmtId="0" fontId="34" fillId="4" borderId="1" xfId="3" applyFont="1" applyFill="1" applyBorder="1" applyAlignment="1">
      <alignment horizontal="center" vertical="center" wrapText="1"/>
    </xf>
    <xf numFmtId="2" fontId="34" fillId="0" borderId="1" xfId="3" applyNumberFormat="1" applyFont="1" applyBorder="1" applyAlignment="1">
      <alignment horizontal="center" vertical="center" wrapText="1"/>
    </xf>
    <xf numFmtId="1" fontId="34" fillId="0" borderId="1" xfId="3" applyNumberFormat="1" applyFont="1" applyBorder="1" applyAlignment="1">
      <alignment horizontal="center" vertical="center" wrapText="1"/>
    </xf>
    <xf numFmtId="1" fontId="15" fillId="0" borderId="1" xfId="0" applyNumberFormat="1" applyFont="1" applyFill="1" applyBorder="1" applyAlignment="1">
      <alignment horizontal="center" vertical="center" wrapText="1"/>
    </xf>
    <xf numFmtId="1" fontId="15" fillId="0" borderId="1" xfId="4" applyNumberFormat="1" applyFont="1" applyBorder="1" applyAlignment="1">
      <alignment horizontal="center" vertical="center" wrapText="1"/>
    </xf>
    <xf numFmtId="0" fontId="15" fillId="0" borderId="1" xfId="4" applyFont="1" applyBorder="1" applyAlignment="1">
      <alignment horizontal="center" vertical="center" wrapText="1"/>
    </xf>
    <xf numFmtId="178" fontId="15" fillId="0" borderId="1" xfId="4" applyNumberFormat="1" applyFont="1" applyBorder="1" applyAlignment="1">
      <alignment horizontal="center" vertical="center" wrapText="1"/>
    </xf>
    <xf numFmtId="0" fontId="38" fillId="0" borderId="1" xfId="0" applyFont="1" applyBorder="1" applyAlignment="1">
      <alignment horizontal="center" vertical="center" wrapText="1"/>
    </xf>
    <xf numFmtId="0" fontId="38" fillId="4" borderId="1" xfId="0" applyFont="1" applyFill="1" applyBorder="1" applyAlignment="1">
      <alignment horizontal="center" vertical="center" wrapText="1"/>
    </xf>
    <xf numFmtId="2" fontId="34" fillId="0" borderId="1" xfId="0" applyNumberFormat="1" applyFont="1" applyBorder="1" applyAlignment="1">
      <alignment horizontal="center" vertical="center" wrapText="1"/>
    </xf>
    <xf numFmtId="1" fontId="34" fillId="0" borderId="1" xfId="0" applyNumberFormat="1" applyFont="1" applyBorder="1" applyAlignment="1">
      <alignment horizontal="center" vertical="center" wrapText="1"/>
    </xf>
    <xf numFmtId="0" fontId="34" fillId="4" borderId="1" xfId="0" applyFont="1" applyFill="1" applyBorder="1" applyAlignment="1">
      <alignment horizontal="center" vertical="center" wrapText="1"/>
    </xf>
    <xf numFmtId="178" fontId="33" fillId="0" borderId="1" xfId="0" applyNumberFormat="1" applyFont="1" applyBorder="1" applyAlignment="1">
      <alignment horizontal="center" vertical="center" wrapText="1"/>
    </xf>
    <xf numFmtId="31" fontId="15" fillId="0" borderId="1" xfId="5" applyNumberFormat="1" applyFont="1" applyBorder="1" applyAlignment="1">
      <alignment horizontal="center" vertical="center" wrapText="1"/>
    </xf>
    <xf numFmtId="0" fontId="15" fillId="0" borderId="1" xfId="5" applyFont="1" applyFill="1" applyBorder="1" applyAlignment="1">
      <alignment horizontal="center" vertical="center" wrapText="1"/>
    </xf>
    <xf numFmtId="2" fontId="38" fillId="0" borderId="1" xfId="0" applyNumberFormat="1" applyFont="1" applyBorder="1" applyAlignment="1">
      <alignment horizontal="center" vertical="center" wrapText="1"/>
    </xf>
    <xf numFmtId="1" fontId="38" fillId="0" borderId="1" xfId="0" applyNumberFormat="1" applyFont="1" applyBorder="1" applyAlignment="1">
      <alignment horizontal="center" vertical="center" wrapText="1"/>
    </xf>
    <xf numFmtId="0" fontId="34" fillId="0" borderId="1" xfId="6" applyFont="1" applyBorder="1" applyAlignment="1">
      <alignment horizontal="center" vertical="center" wrapText="1"/>
    </xf>
    <xf numFmtId="0" fontId="34" fillId="4" borderId="1" xfId="6" applyFont="1" applyFill="1" applyBorder="1" applyAlignment="1">
      <alignment horizontal="center" vertical="center" wrapText="1"/>
    </xf>
    <xf numFmtId="2" fontId="34" fillId="0" borderId="1" xfId="6" applyNumberFormat="1" applyFont="1" applyBorder="1" applyAlignment="1">
      <alignment horizontal="center" vertical="center" wrapText="1"/>
    </xf>
    <xf numFmtId="1" fontId="34" fillId="0" borderId="1" xfId="6" applyNumberFormat="1" applyFont="1" applyBorder="1" applyAlignment="1">
      <alignment horizontal="center" vertical="center" wrapText="1"/>
    </xf>
    <xf numFmtId="178" fontId="34" fillId="0" borderId="1" xfId="6" applyNumberFormat="1" applyFont="1" applyBorder="1" applyAlignment="1">
      <alignment horizontal="center" vertical="center" wrapText="1"/>
    </xf>
    <xf numFmtId="0" fontId="15" fillId="0" borderId="1" xfId="6" applyFont="1" applyBorder="1" applyAlignment="1">
      <alignment horizontal="center" vertical="center" wrapText="1"/>
    </xf>
    <xf numFmtId="0" fontId="15" fillId="4" borderId="1" xfId="6" applyFont="1" applyFill="1" applyBorder="1" applyAlignment="1">
      <alignment horizontal="center" vertical="center" wrapText="1"/>
    </xf>
    <xf numFmtId="2" fontId="15" fillId="0" borderId="1" xfId="6" applyNumberFormat="1" applyFont="1" applyBorder="1" applyAlignment="1">
      <alignment horizontal="center" vertical="center" wrapText="1"/>
    </xf>
    <xf numFmtId="1" fontId="15" fillId="0" borderId="1" xfId="6" applyNumberFormat="1" applyFont="1" applyBorder="1" applyAlignment="1">
      <alignment horizontal="center" vertical="center" wrapText="1"/>
    </xf>
    <xf numFmtId="178" fontId="15" fillId="0" borderId="1" xfId="6" applyNumberFormat="1" applyFont="1" applyBorder="1" applyAlignment="1">
      <alignment horizontal="center" vertical="center" wrapText="1"/>
    </xf>
    <xf numFmtId="0" fontId="15" fillId="0" borderId="2" xfId="0" applyFont="1" applyBorder="1" applyAlignment="1">
      <alignment horizontal="center" vertical="center" wrapText="1"/>
    </xf>
    <xf numFmtId="14" fontId="15" fillId="0" borderId="1" xfId="0" applyNumberFormat="1" applyFont="1" applyBorder="1" applyAlignment="1">
      <alignment horizontal="center" vertical="center" wrapText="1"/>
    </xf>
    <xf numFmtId="0" fontId="15" fillId="0" borderId="1" xfId="0" applyFont="1" applyBorder="1" applyAlignment="1">
      <alignment vertical="center" wrapText="1"/>
    </xf>
    <xf numFmtId="2" fontId="33" fillId="0" borderId="1" xfId="0" applyNumberFormat="1" applyFont="1" applyBorder="1" applyAlignment="1">
      <alignment horizontal="center" vertical="center" wrapText="1"/>
    </xf>
    <xf numFmtId="1" fontId="33" fillId="0" borderId="1" xfId="0" applyNumberFormat="1" applyFont="1" applyBorder="1" applyAlignment="1">
      <alignment horizontal="center" vertical="center" wrapText="1"/>
    </xf>
    <xf numFmtId="0" fontId="37" fillId="0" borderId="1" xfId="0" applyFont="1" applyBorder="1" applyAlignment="1">
      <alignment horizontal="center" vertical="center" wrapText="1"/>
    </xf>
    <xf numFmtId="178" fontId="37" fillId="0" borderId="1" xfId="0" applyNumberFormat="1" applyFont="1" applyBorder="1" applyAlignment="1">
      <alignment horizontal="center" vertical="center" wrapText="1"/>
    </xf>
    <xf numFmtId="31" fontId="15" fillId="0" borderId="1" xfId="6" applyNumberFormat="1" applyFont="1" applyBorder="1" applyAlignment="1">
      <alignment horizontal="center" vertical="center" wrapText="1"/>
    </xf>
    <xf numFmtId="2" fontId="33" fillId="0" borderId="1" xfId="0" applyNumberFormat="1" applyFont="1" applyBorder="1" applyAlignment="1">
      <alignment horizontal="right" vertical="center" wrapText="1"/>
    </xf>
    <xf numFmtId="176" fontId="15" fillId="0" borderId="1" xfId="6" applyNumberFormat="1" applyFont="1" applyBorder="1" applyAlignment="1">
      <alignment horizontal="center" vertical="center" wrapText="1"/>
    </xf>
    <xf numFmtId="0" fontId="15" fillId="0" borderId="1" xfId="6" applyNumberFormat="1" applyFont="1" applyBorder="1" applyAlignment="1">
      <alignment horizontal="center" vertical="center" wrapText="1"/>
    </xf>
    <xf numFmtId="178" fontId="15" fillId="0" borderId="1" xfId="3" applyNumberFormat="1"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1" xfId="3" applyFont="1" applyFill="1" applyBorder="1" applyAlignment="1">
      <alignment vertical="center" wrapText="1"/>
    </xf>
    <xf numFmtId="2" fontId="15" fillId="0" borderId="1" xfId="3" applyNumberFormat="1" applyFont="1" applyFill="1" applyBorder="1" applyAlignment="1">
      <alignment horizontal="center" vertical="center" wrapText="1"/>
    </xf>
    <xf numFmtId="0" fontId="15" fillId="0" borderId="1" xfId="3" applyFont="1" applyFill="1" applyBorder="1" applyAlignment="1">
      <alignment horizontal="left" vertical="center" wrapText="1"/>
    </xf>
    <xf numFmtId="178" fontId="15" fillId="3" borderId="1" xfId="0" applyNumberFormat="1" applyFont="1" applyFill="1" applyBorder="1" applyAlignment="1">
      <alignment horizontal="center" vertical="center" wrapText="1"/>
    </xf>
    <xf numFmtId="176" fontId="15" fillId="3" borderId="1" xfId="0" applyNumberFormat="1" applyFont="1" applyFill="1" applyBorder="1" applyAlignment="1">
      <alignment horizontal="center" vertical="center" wrapText="1"/>
    </xf>
    <xf numFmtId="0" fontId="15" fillId="3" borderId="1" xfId="0" applyNumberFormat="1" applyFont="1" applyFill="1" applyBorder="1" applyAlignment="1">
      <alignment horizontal="center" vertical="center" wrapText="1"/>
    </xf>
    <xf numFmtId="176" fontId="15" fillId="3" borderId="1" xfId="1" applyNumberFormat="1" applyFont="1" applyFill="1" applyBorder="1" applyAlignment="1">
      <alignment horizontal="center" vertical="center" wrapText="1"/>
    </xf>
    <xf numFmtId="10" fontId="15" fillId="3" borderId="1" xfId="0" applyNumberFormat="1" applyFont="1" applyFill="1" applyBorder="1" applyAlignment="1">
      <alignment horizontal="center" vertical="center" wrapText="1"/>
    </xf>
    <xf numFmtId="0" fontId="15" fillId="3" borderId="1" xfId="3" applyFont="1" applyFill="1" applyBorder="1" applyAlignment="1">
      <alignment horizontal="center" vertical="center" wrapText="1"/>
    </xf>
    <xf numFmtId="2" fontId="15" fillId="3" borderId="1" xfId="0" applyNumberFormat="1" applyFont="1" applyFill="1" applyBorder="1" applyAlignment="1">
      <alignment horizontal="center" vertical="center" wrapText="1"/>
    </xf>
    <xf numFmtId="0" fontId="15" fillId="0" borderId="1" xfId="3" applyFont="1" applyFill="1" applyBorder="1" applyAlignment="1">
      <alignment horizontal="center" vertical="center" wrapText="1"/>
    </xf>
    <xf numFmtId="10" fontId="15" fillId="0" borderId="1" xfId="3" applyNumberFormat="1" applyFont="1" applyFill="1" applyBorder="1" applyAlignment="1">
      <alignment horizontal="center" vertical="center" wrapText="1"/>
    </xf>
    <xf numFmtId="177" fontId="15" fillId="3" borderId="1" xfId="0" applyNumberFormat="1" applyFont="1" applyFill="1" applyBorder="1" applyAlignment="1">
      <alignment horizontal="left" vertical="center" wrapText="1"/>
    </xf>
    <xf numFmtId="0" fontId="34" fillId="3" borderId="1" xfId="0" applyFont="1" applyFill="1" applyBorder="1" applyAlignment="1">
      <alignment horizontal="center" vertical="center" wrapText="1"/>
    </xf>
    <xf numFmtId="2" fontId="34" fillId="3" borderId="1" xfId="0" applyNumberFormat="1" applyFont="1" applyFill="1" applyBorder="1" applyAlignment="1">
      <alignment horizontal="center" vertical="center" wrapText="1"/>
    </xf>
    <xf numFmtId="10" fontId="15" fillId="0" borderId="3" xfId="0" applyNumberFormat="1" applyFont="1" applyFill="1" applyBorder="1" applyAlignment="1">
      <alignment horizontal="center" vertical="center" wrapText="1"/>
    </xf>
    <xf numFmtId="0" fontId="15" fillId="3" borderId="3" xfId="0" applyFont="1" applyFill="1" applyBorder="1" applyAlignment="1">
      <alignment horizontal="center" vertical="center" wrapText="1"/>
    </xf>
    <xf numFmtId="0" fontId="15" fillId="3" borderId="1" xfId="0" applyFont="1" applyFill="1" applyBorder="1" applyAlignment="1">
      <alignment vertical="center" wrapText="1"/>
    </xf>
    <xf numFmtId="0" fontId="15" fillId="0" borderId="1" xfId="0" applyFont="1" applyFill="1" applyBorder="1" applyAlignment="1">
      <alignment vertical="center"/>
    </xf>
    <xf numFmtId="0" fontId="15" fillId="0" borderId="1" xfId="0" applyFont="1" applyFill="1" applyBorder="1" applyAlignment="1">
      <alignment horizontal="left" vertical="center"/>
    </xf>
    <xf numFmtId="177" fontId="15" fillId="0" borderId="3" xfId="0" applyNumberFormat="1" applyFont="1" applyFill="1" applyBorder="1" applyAlignment="1">
      <alignment horizontal="left" vertical="center" wrapText="1"/>
    </xf>
    <xf numFmtId="0" fontId="35" fillId="0" borderId="8" xfId="0" applyFont="1" applyBorder="1" applyAlignment="1">
      <alignment horizontal="center" vertical="center" wrapText="1"/>
    </xf>
    <xf numFmtId="2" fontId="15" fillId="0" borderId="1" xfId="0" applyNumberFormat="1" applyFont="1" applyFill="1" applyBorder="1" applyAlignment="1">
      <alignment vertical="center" wrapText="1"/>
    </xf>
    <xf numFmtId="186" fontId="15" fillId="0" borderId="1" xfId="0" applyNumberFormat="1" applyFont="1" applyFill="1" applyBorder="1" applyAlignment="1">
      <alignment horizontal="center" vertical="center" wrapText="1"/>
    </xf>
    <xf numFmtId="177" fontId="34" fillId="0" borderId="8" xfId="0" applyNumberFormat="1" applyFont="1" applyFill="1" applyBorder="1" applyAlignment="1">
      <alignment horizontal="center" vertical="center" wrapText="1"/>
    </xf>
    <xf numFmtId="0" fontId="34" fillId="0" borderId="1" xfId="0" applyNumberFormat="1" applyFont="1" applyFill="1" applyBorder="1" applyAlignment="1">
      <alignment horizontal="center" vertical="center" wrapText="1"/>
    </xf>
    <xf numFmtId="177" fontId="34" fillId="0" borderId="8" xfId="7" applyNumberFormat="1" applyFont="1" applyFill="1" applyBorder="1" applyAlignment="1" applyProtection="1">
      <alignment horizontal="center" vertical="center" wrapText="1"/>
      <protection locked="0"/>
    </xf>
    <xf numFmtId="178" fontId="34" fillId="0" borderId="1" xfId="7" applyNumberFormat="1" applyFont="1" applyFill="1" applyBorder="1" applyAlignment="1" applyProtection="1">
      <alignment horizontal="left" vertical="center" wrapText="1"/>
      <protection locked="0"/>
    </xf>
    <xf numFmtId="176" fontId="34" fillId="0" borderId="1" xfId="0" applyNumberFormat="1" applyFont="1" applyFill="1" applyBorder="1" applyAlignment="1">
      <alignment horizontal="center" vertical="center" wrapText="1"/>
    </xf>
    <xf numFmtId="184" fontId="34" fillId="0" borderId="1" xfId="0" applyNumberFormat="1" applyFont="1" applyFill="1" applyBorder="1" applyAlignment="1">
      <alignment horizontal="left" vertical="center" wrapText="1"/>
    </xf>
    <xf numFmtId="31" fontId="34" fillId="0" borderId="1" xfId="0" applyNumberFormat="1" applyFont="1" applyFill="1" applyBorder="1" applyAlignment="1">
      <alignment horizontal="center" vertical="center" wrapText="1"/>
    </xf>
    <xf numFmtId="178" fontId="34" fillId="4" borderId="1" xfId="0" applyNumberFormat="1" applyFont="1" applyFill="1" applyBorder="1" applyAlignment="1">
      <alignment horizontal="center" vertical="center" wrapText="1"/>
    </xf>
    <xf numFmtId="176" fontId="15" fillId="4" borderId="1" xfId="0" applyNumberFormat="1" applyFont="1" applyFill="1" applyBorder="1" applyAlignment="1">
      <alignment horizontal="center" vertical="center" wrapText="1"/>
    </xf>
    <xf numFmtId="14" fontId="34" fillId="0" borderId="2" xfId="0" applyNumberFormat="1" applyFont="1" applyFill="1" applyBorder="1" applyAlignment="1">
      <alignment horizontal="center" vertical="center" wrapText="1"/>
    </xf>
    <xf numFmtId="9" fontId="34" fillId="0" borderId="8" xfId="1" applyFont="1" applyFill="1" applyBorder="1" applyAlignment="1">
      <alignment horizontal="center" vertical="center" wrapText="1"/>
    </xf>
    <xf numFmtId="0" fontId="34" fillId="0" borderId="1" xfId="0" applyFont="1" applyFill="1" applyBorder="1" applyAlignment="1">
      <alignment vertical="center" wrapText="1"/>
    </xf>
    <xf numFmtId="14" fontId="34" fillId="0" borderId="1" xfId="0" applyNumberFormat="1" applyFont="1" applyFill="1" applyBorder="1" applyAlignment="1">
      <alignment horizontal="center" vertical="center" wrapText="1"/>
    </xf>
    <xf numFmtId="9" fontId="34" fillId="0" borderId="1" xfId="0" applyNumberFormat="1" applyFont="1" applyFill="1" applyBorder="1" applyAlignment="1">
      <alignment horizontal="center" vertical="center" wrapText="1"/>
    </xf>
    <xf numFmtId="0" fontId="34" fillId="0" borderId="1" xfId="0" applyFont="1" applyFill="1" applyBorder="1" applyAlignment="1">
      <alignment horizontal="left" vertical="center"/>
    </xf>
    <xf numFmtId="0" fontId="34" fillId="0" borderId="1" xfId="0" applyFont="1" applyFill="1" applyBorder="1" applyAlignment="1">
      <alignment horizontal="right" vertical="center"/>
    </xf>
    <xf numFmtId="176" fontId="34" fillId="0" borderId="1" xfId="0" applyNumberFormat="1" applyFont="1" applyFill="1" applyBorder="1" applyAlignment="1">
      <alignment horizontal="right" vertical="center" wrapText="1"/>
    </xf>
    <xf numFmtId="0" fontId="34" fillId="0" borderId="1" xfId="0" applyFont="1" applyFill="1" applyBorder="1" applyAlignment="1">
      <alignment horizontal="right" vertical="center" wrapText="1"/>
    </xf>
    <xf numFmtId="9" fontId="34" fillId="0" borderId="1" xfId="0" applyNumberFormat="1" applyFont="1" applyFill="1" applyBorder="1" applyAlignment="1">
      <alignment horizontal="right" vertical="center" wrapText="1"/>
    </xf>
    <xf numFmtId="178" fontId="34" fillId="0" borderId="1" xfId="0" applyNumberFormat="1" applyFont="1" applyFill="1" applyBorder="1" applyAlignment="1">
      <alignment horizontal="center" vertical="center"/>
    </xf>
    <xf numFmtId="10" fontId="34" fillId="0" borderId="1" xfId="0" applyNumberFormat="1" applyFont="1" applyFill="1" applyBorder="1" applyAlignment="1">
      <alignment horizontal="center" vertical="center" wrapText="1"/>
    </xf>
    <xf numFmtId="177" fontId="39" fillId="0" borderId="8" xfId="0" applyNumberFormat="1" applyFont="1" applyFill="1" applyBorder="1" applyAlignment="1">
      <alignment horizontal="center" vertical="center" wrapText="1"/>
    </xf>
    <xf numFmtId="176" fontId="34" fillId="0" borderId="1" xfId="1" applyNumberFormat="1" applyFont="1" applyFill="1" applyBorder="1" applyAlignment="1">
      <alignment horizontal="center" vertical="center" wrapText="1"/>
    </xf>
    <xf numFmtId="2" fontId="34" fillId="0" borderId="1" xfId="0" applyNumberFormat="1" applyFont="1" applyFill="1" applyBorder="1" applyAlignment="1">
      <alignment vertical="center" wrapText="1"/>
    </xf>
    <xf numFmtId="0" fontId="34" fillId="0" borderId="1" xfId="0" quotePrefix="1" applyFont="1" applyFill="1" applyBorder="1" applyAlignment="1">
      <alignment horizontal="center" vertical="center"/>
    </xf>
    <xf numFmtId="184" fontId="34" fillId="0" borderId="1" xfId="0" applyNumberFormat="1" applyFont="1" applyFill="1" applyBorder="1" applyAlignment="1">
      <alignment horizontal="left" vertical="center"/>
    </xf>
    <xf numFmtId="178" fontId="34" fillId="0" borderId="3" xfId="7" applyNumberFormat="1" applyFont="1" applyFill="1" applyBorder="1" applyAlignment="1" applyProtection="1">
      <alignment vertical="center" wrapText="1"/>
      <protection locked="0"/>
    </xf>
    <xf numFmtId="2" fontId="34" fillId="0" borderId="3" xfId="7" applyNumberFormat="1" applyFont="1" applyFill="1" applyBorder="1" applyAlignment="1" applyProtection="1">
      <alignment vertical="center" wrapText="1"/>
      <protection locked="0"/>
    </xf>
    <xf numFmtId="178" fontId="34" fillId="0" borderId="5" xfId="7" applyNumberFormat="1" applyFont="1" applyFill="1" applyBorder="1" applyAlignment="1" applyProtection="1">
      <alignment vertical="center" wrapText="1"/>
      <protection locked="0"/>
    </xf>
    <xf numFmtId="2" fontId="34" fillId="0" borderId="5" xfId="7" applyNumberFormat="1" applyFont="1" applyFill="1" applyBorder="1" applyAlignment="1" applyProtection="1">
      <alignment vertical="center" wrapText="1"/>
      <protection locked="0"/>
    </xf>
    <xf numFmtId="178" fontId="34" fillId="0" borderId="4" xfId="7" applyNumberFormat="1" applyFont="1" applyFill="1" applyBorder="1" applyAlignment="1" applyProtection="1">
      <alignment vertical="center" wrapText="1"/>
      <protection locked="0"/>
    </xf>
    <xf numFmtId="2" fontId="34" fillId="0" borderId="4" xfId="7" applyNumberFormat="1" applyFont="1" applyFill="1" applyBorder="1" applyAlignment="1" applyProtection="1">
      <alignment vertical="center" wrapText="1"/>
      <protection locked="0"/>
    </xf>
    <xf numFmtId="185" fontId="34" fillId="0" borderId="1" xfId="0" applyNumberFormat="1" applyFont="1" applyFill="1" applyBorder="1" applyAlignment="1">
      <alignment horizontal="left" vertical="center" wrapText="1"/>
    </xf>
    <xf numFmtId="178" fontId="34" fillId="0" borderId="1" xfId="7" applyNumberFormat="1" applyFont="1" applyFill="1" applyBorder="1" applyAlignment="1">
      <alignment horizontal="left" vertical="center" wrapText="1"/>
    </xf>
    <xf numFmtId="184" fontId="34" fillId="0" borderId="1" xfId="7" applyNumberFormat="1" applyFont="1" applyFill="1" applyBorder="1" applyAlignment="1">
      <alignment horizontal="left" vertical="center" wrapText="1"/>
    </xf>
    <xf numFmtId="176" fontId="33" fillId="0" borderId="1" xfId="0" applyNumberFormat="1" applyFont="1" applyBorder="1" applyAlignment="1">
      <alignment horizontal="center" vertical="center" wrapText="1"/>
    </xf>
    <xf numFmtId="0" fontId="33" fillId="0" borderId="15" xfId="0" applyFont="1" applyBorder="1" applyAlignment="1">
      <alignment horizontal="center" vertical="center" wrapText="1"/>
    </xf>
    <xf numFmtId="0" fontId="33" fillId="0" borderId="2" xfId="0" applyNumberFormat="1" applyFont="1" applyBorder="1" applyAlignment="1">
      <alignment horizontal="center" vertical="center" wrapText="1"/>
    </xf>
    <xf numFmtId="176" fontId="33" fillId="0" borderId="2" xfId="1" applyNumberFormat="1" applyFont="1" applyBorder="1" applyAlignment="1">
      <alignment horizontal="center" vertical="center" wrapText="1"/>
    </xf>
    <xf numFmtId="0" fontId="33" fillId="0" borderId="1" xfId="3" applyFont="1" applyBorder="1">
      <alignment vertical="center"/>
    </xf>
    <xf numFmtId="0" fontId="33" fillId="0" borderId="1" xfId="0" applyFont="1" applyFill="1" applyBorder="1" applyAlignment="1">
      <alignment vertical="center" wrapText="1"/>
    </xf>
    <xf numFmtId="0" fontId="33" fillId="0" borderId="1" xfId="4" applyFont="1" applyFill="1" applyBorder="1" applyAlignment="1">
      <alignment horizontal="center" vertical="center"/>
    </xf>
    <xf numFmtId="0" fontId="33" fillId="0" borderId="1" xfId="4" applyFont="1" applyFill="1" applyBorder="1" applyAlignment="1">
      <alignment horizontal="center" vertical="center" wrapText="1"/>
    </xf>
    <xf numFmtId="178" fontId="33" fillId="0" borderId="1" xfId="4" applyNumberFormat="1" applyFont="1" applyFill="1" applyBorder="1" applyAlignment="1">
      <alignment horizontal="center" vertical="center"/>
    </xf>
    <xf numFmtId="178" fontId="33" fillId="0" borderId="1" xfId="0" applyNumberFormat="1" applyFont="1" applyFill="1" applyBorder="1" applyAlignment="1">
      <alignment horizontal="center" vertical="center" wrapText="1"/>
    </xf>
    <xf numFmtId="176" fontId="33" fillId="0" borderId="1" xfId="0" applyNumberFormat="1" applyFont="1" applyFill="1" applyBorder="1" applyAlignment="1">
      <alignment horizontal="center" vertical="center" wrapText="1"/>
    </xf>
    <xf numFmtId="0" fontId="33" fillId="0" borderId="15" xfId="0" applyFont="1" applyFill="1" applyBorder="1" applyAlignment="1">
      <alignment horizontal="center" vertical="center" wrapText="1"/>
    </xf>
    <xf numFmtId="9" fontId="33" fillId="0" borderId="1" xfId="1" applyFont="1" applyBorder="1" applyAlignment="1">
      <alignment horizontal="center" vertical="center" wrapText="1"/>
    </xf>
    <xf numFmtId="0" fontId="33" fillId="0" borderId="2" xfId="1" applyNumberFormat="1" applyFont="1" applyBorder="1" applyAlignment="1">
      <alignment horizontal="center" vertical="center" wrapText="1"/>
    </xf>
    <xf numFmtId="183" fontId="33" fillId="0" borderId="2" xfId="1" applyNumberFormat="1" applyFont="1" applyBorder="1" applyAlignment="1">
      <alignment horizontal="center" vertical="center" wrapText="1"/>
    </xf>
    <xf numFmtId="49" fontId="33" fillId="0" borderId="1" xfId="0" applyNumberFormat="1" applyFont="1" applyBorder="1" applyAlignment="1">
      <alignment horizontal="center" vertical="center" wrapText="1"/>
    </xf>
    <xf numFmtId="178" fontId="33" fillId="0" borderId="3" xfId="0" applyNumberFormat="1" applyFont="1" applyBorder="1" applyAlignment="1">
      <alignment horizontal="center" vertical="center" wrapText="1"/>
    </xf>
    <xf numFmtId="176" fontId="33" fillId="0" borderId="3" xfId="0" applyNumberFormat="1" applyFont="1" applyBorder="1" applyAlignment="1">
      <alignment horizontal="center" vertical="center" wrapText="1"/>
    </xf>
    <xf numFmtId="0" fontId="34" fillId="2" borderId="3" xfId="0" applyFont="1" applyFill="1" applyBorder="1" applyAlignment="1">
      <alignment horizontal="center" vertical="center" wrapText="1"/>
    </xf>
    <xf numFmtId="0" fontId="34" fillId="2" borderId="3" xfId="0" applyFont="1" applyFill="1" applyBorder="1" applyAlignment="1">
      <alignment horizontal="left" vertical="center" wrapText="1"/>
    </xf>
    <xf numFmtId="10" fontId="38" fillId="0" borderId="1" xfId="0" applyNumberFormat="1" applyFont="1" applyFill="1" applyBorder="1" applyAlignment="1">
      <alignment horizontal="center" vertical="center" wrapText="1"/>
    </xf>
    <xf numFmtId="22" fontId="15" fillId="0" borderId="1" xfId="0" applyNumberFormat="1" applyFont="1" applyFill="1" applyBorder="1" applyAlignment="1">
      <alignment horizontal="center" vertical="center" wrapText="1"/>
    </xf>
    <xf numFmtId="188" fontId="15" fillId="0" borderId="1" xfId="0" applyNumberFormat="1" applyFont="1" applyFill="1" applyBorder="1" applyAlignment="1">
      <alignment horizontal="center" vertical="center" wrapText="1"/>
    </xf>
    <xf numFmtId="188" fontId="15" fillId="2" borderId="1" xfId="0" applyNumberFormat="1" applyFont="1" applyFill="1" applyBorder="1" applyAlignment="1">
      <alignment horizontal="center" vertical="center" wrapText="1"/>
    </xf>
    <xf numFmtId="0" fontId="35" fillId="0" borderId="8" xfId="0" applyFont="1" applyFill="1" applyBorder="1" applyAlignment="1">
      <alignment horizontal="center" vertical="center" wrapText="1"/>
    </xf>
    <xf numFmtId="0" fontId="36" fillId="0" borderId="8" xfId="0" applyFont="1" applyFill="1" applyBorder="1" applyAlignment="1">
      <alignment horizontal="center" vertical="center" wrapText="1"/>
    </xf>
    <xf numFmtId="10" fontId="33" fillId="0" borderId="1" xfId="0" applyNumberFormat="1" applyFont="1" applyFill="1" applyBorder="1" applyAlignment="1">
      <alignment horizontal="center" vertical="center" wrapText="1"/>
    </xf>
    <xf numFmtId="0" fontId="33" fillId="0" borderId="1" xfId="0" applyNumberFormat="1" applyFont="1" applyFill="1" applyBorder="1" applyAlignment="1">
      <alignment horizontal="center" vertical="center" wrapText="1"/>
    </xf>
    <xf numFmtId="14" fontId="15" fillId="0" borderId="2" xfId="0" applyNumberFormat="1" applyFont="1" applyFill="1" applyBorder="1" applyAlignment="1">
      <alignment horizontal="center" vertical="center" wrapText="1"/>
    </xf>
    <xf numFmtId="0" fontId="39" fillId="0" borderId="12" xfId="0" applyFont="1" applyFill="1" applyBorder="1" applyAlignment="1">
      <alignment horizontal="center" vertical="center" wrapText="1"/>
    </xf>
    <xf numFmtId="10" fontId="37" fillId="0" borderId="1" xfId="0" applyNumberFormat="1" applyFont="1" applyFill="1" applyBorder="1" applyAlignment="1">
      <alignment horizontal="center" vertical="center" wrapText="1"/>
    </xf>
    <xf numFmtId="0" fontId="38" fillId="0" borderId="1" xfId="0" applyNumberFormat="1" applyFont="1" applyFill="1" applyBorder="1" applyAlignment="1">
      <alignment horizontal="center" vertical="center" wrapText="1"/>
    </xf>
    <xf numFmtId="189" fontId="15" fillId="0" borderId="1" xfId="0" applyNumberFormat="1" applyFont="1" applyBorder="1" applyAlignment="1">
      <alignment horizontal="center" vertical="center" wrapText="1"/>
    </xf>
    <xf numFmtId="190" fontId="15" fillId="0" borderId="1" xfId="0" applyNumberFormat="1" applyFont="1" applyBorder="1" applyAlignment="1">
      <alignment horizontal="center" vertical="center" wrapText="1"/>
    </xf>
    <xf numFmtId="190" fontId="15" fillId="0" borderId="1" xfId="0" applyNumberFormat="1" applyFont="1" applyFill="1" applyBorder="1" applyAlignment="1">
      <alignment horizontal="center" vertical="center" wrapText="1"/>
    </xf>
    <xf numFmtId="189" fontId="35" fillId="0" borderId="1" xfId="0" applyNumberFormat="1" applyFont="1" applyBorder="1" applyAlignment="1">
      <alignment horizontal="center" vertical="center" wrapText="1"/>
    </xf>
    <xf numFmtId="2" fontId="35" fillId="0" borderId="1" xfId="0" applyNumberFormat="1" applyFont="1" applyBorder="1" applyAlignment="1">
      <alignment horizontal="center" vertical="center" wrapText="1"/>
    </xf>
    <xf numFmtId="190" fontId="35" fillId="0" borderId="1" xfId="0" applyNumberFormat="1" applyFont="1" applyBorder="1" applyAlignment="1">
      <alignment horizontal="center" vertical="center" wrapText="1"/>
    </xf>
    <xf numFmtId="178" fontId="35" fillId="0" borderId="1" xfId="0" applyNumberFormat="1" applyFont="1" applyBorder="1" applyAlignment="1">
      <alignment horizontal="center" vertical="center" wrapText="1"/>
    </xf>
    <xf numFmtId="0" fontId="35" fillId="0" borderId="1" xfId="0" applyFont="1" applyBorder="1" applyAlignment="1">
      <alignment horizontal="center" vertical="center" wrapText="1"/>
    </xf>
    <xf numFmtId="0" fontId="35" fillId="0" borderId="1" xfId="0" applyNumberFormat="1" applyFont="1" applyBorder="1" applyAlignment="1">
      <alignment horizontal="center" vertical="center" wrapText="1"/>
    </xf>
    <xf numFmtId="190" fontId="15" fillId="0" borderId="1" xfId="0" applyNumberFormat="1" applyFont="1" applyBorder="1" applyAlignment="1">
      <alignment horizontal="left" vertical="center" wrapText="1"/>
    </xf>
    <xf numFmtId="190" fontId="15" fillId="0" borderId="1" xfId="0" applyNumberFormat="1" applyFont="1" applyBorder="1" applyAlignment="1">
      <alignment horizontal="center" vertical="center"/>
    </xf>
    <xf numFmtId="10" fontId="15" fillId="0" borderId="1" xfId="0" applyNumberFormat="1" applyFont="1" applyBorder="1" applyAlignment="1">
      <alignment horizontal="center" vertical="center" wrapText="1"/>
    </xf>
    <xf numFmtId="0" fontId="35" fillId="0" borderId="4" xfId="0" applyFont="1" applyBorder="1" applyAlignment="1">
      <alignment horizontal="center" vertical="center" wrapText="1"/>
    </xf>
    <xf numFmtId="2" fontId="15" fillId="0" borderId="1" xfId="3" applyNumberFormat="1" applyFont="1" applyFill="1" applyBorder="1" applyAlignment="1" applyProtection="1">
      <alignment horizontal="center" vertical="center" wrapText="1"/>
      <protection locked="0"/>
    </xf>
    <xf numFmtId="2" fontId="15" fillId="2" borderId="1" xfId="0" applyNumberFormat="1" applyFont="1" applyFill="1" applyBorder="1" applyAlignment="1" applyProtection="1">
      <alignment horizontal="right" vertical="center"/>
      <protection locked="0"/>
    </xf>
    <xf numFmtId="2" fontId="15" fillId="0" borderId="1" xfId="4" applyNumberFormat="1" applyFont="1" applyBorder="1" applyAlignment="1">
      <alignment horizontal="center" vertical="center" wrapText="1"/>
    </xf>
    <xf numFmtId="2" fontId="37" fillId="0" borderId="1" xfId="0" applyNumberFormat="1" applyFont="1" applyBorder="1" applyAlignment="1">
      <alignment horizontal="center" vertical="center" wrapText="1"/>
    </xf>
    <xf numFmtId="2" fontId="15" fillId="0" borderId="1" xfId="0" applyNumberFormat="1" applyFont="1" applyFill="1" applyBorder="1" applyAlignment="1">
      <alignment horizontal="center" vertical="center"/>
    </xf>
    <xf numFmtId="2" fontId="34" fillId="4" borderId="1" xfId="0" applyNumberFormat="1" applyFont="1" applyFill="1" applyBorder="1" applyAlignment="1">
      <alignment horizontal="center" vertical="center" wrapText="1"/>
    </xf>
    <xf numFmtId="2" fontId="34" fillId="0" borderId="1" xfId="0" applyNumberFormat="1" applyFont="1" applyFill="1" applyBorder="1" applyAlignment="1">
      <alignment horizontal="center" vertical="center"/>
    </xf>
    <xf numFmtId="2" fontId="33" fillId="0" borderId="1" xfId="4" applyNumberFormat="1" applyFont="1" applyFill="1" applyBorder="1" applyAlignment="1">
      <alignment horizontal="center" vertical="center"/>
    </xf>
    <xf numFmtId="2" fontId="33" fillId="0" borderId="1" xfId="0" applyNumberFormat="1" applyFont="1" applyFill="1" applyBorder="1" applyAlignment="1" applyProtection="1">
      <alignment horizontal="center" vertical="center" wrapText="1"/>
      <protection hidden="1"/>
    </xf>
    <xf numFmtId="2" fontId="33" fillId="0" borderId="1" xfId="0" applyNumberFormat="1" applyFont="1" applyFill="1" applyBorder="1" applyAlignment="1" applyProtection="1">
      <alignment horizontal="center" vertical="center"/>
      <protection locked="0"/>
    </xf>
    <xf numFmtId="2" fontId="15" fillId="5" borderId="1" xfId="0" applyNumberFormat="1" applyFont="1" applyFill="1" applyBorder="1" applyAlignment="1">
      <alignment vertical="center" wrapText="1"/>
    </xf>
    <xf numFmtId="2" fontId="34" fillId="5" borderId="1" xfId="0" applyNumberFormat="1" applyFont="1" applyFill="1" applyBorder="1" applyAlignment="1">
      <alignment horizontal="left" vertical="center" wrapText="1"/>
    </xf>
    <xf numFmtId="2" fontId="34" fillId="2" borderId="3" xfId="0" applyNumberFormat="1" applyFont="1" applyFill="1" applyBorder="1" applyAlignment="1">
      <alignment horizontal="center" vertical="center" wrapText="1"/>
    </xf>
    <xf numFmtId="2" fontId="15" fillId="0" borderId="0" xfId="0" applyNumberFormat="1" applyFont="1" applyFill="1" applyAlignment="1">
      <alignment horizontal="center" vertical="center" wrapText="1"/>
    </xf>
    <xf numFmtId="2" fontId="38" fillId="0" borderId="1" xfId="3" applyNumberFormat="1" applyFont="1" applyBorder="1" applyAlignment="1">
      <alignment horizontal="center" vertical="center" wrapText="1"/>
    </xf>
    <xf numFmtId="2" fontId="37" fillId="0" borderId="1" xfId="4" applyNumberFormat="1" applyFont="1" applyBorder="1" applyAlignment="1">
      <alignment horizontal="center" vertical="center" wrapText="1"/>
    </xf>
    <xf numFmtId="2" fontId="15" fillId="0" borderId="1" xfId="3" applyNumberFormat="1" applyFont="1" applyFill="1" applyBorder="1" applyAlignment="1">
      <alignment horizontal="left" vertical="center" wrapText="1"/>
    </xf>
    <xf numFmtId="2" fontId="15" fillId="3" borderId="2" xfId="0" applyNumberFormat="1" applyFont="1" applyFill="1" applyBorder="1" applyAlignment="1">
      <alignment horizontal="center" vertical="center" wrapText="1"/>
    </xf>
    <xf numFmtId="2" fontId="15" fillId="0" borderId="3" xfId="0" applyNumberFormat="1" applyFont="1" applyFill="1" applyBorder="1" applyAlignment="1">
      <alignment horizontal="left" vertical="center" wrapText="1"/>
    </xf>
    <xf numFmtId="2" fontId="15" fillId="0" borderId="3" xfId="0" applyNumberFormat="1" applyFont="1" applyFill="1" applyBorder="1" applyAlignment="1">
      <alignment vertical="center" wrapText="1"/>
    </xf>
    <xf numFmtId="2" fontId="33" fillId="0" borderId="1" xfId="0" applyNumberFormat="1" applyFont="1" applyBorder="1" applyAlignment="1">
      <alignment horizontal="center" vertical="center"/>
    </xf>
    <xf numFmtId="2" fontId="15" fillId="5" borderId="1" xfId="0" applyNumberFormat="1" applyFont="1" applyFill="1" applyBorder="1" applyAlignment="1">
      <alignment horizontal="left" vertical="center" wrapText="1"/>
    </xf>
    <xf numFmtId="2" fontId="15" fillId="0" borderId="1" xfId="0" applyNumberFormat="1" applyFont="1" applyBorder="1" applyAlignment="1">
      <alignment horizontal="center" vertical="center" wrapText="1"/>
    </xf>
    <xf numFmtId="2" fontId="15" fillId="0" borderId="3" xfId="0" applyNumberFormat="1" applyFont="1" applyBorder="1" applyAlignment="1">
      <alignment horizontal="center" vertical="center" wrapText="1"/>
    </xf>
    <xf numFmtId="0" fontId="36" fillId="0" borderId="1" xfId="0" applyFont="1" applyBorder="1" applyAlignment="1">
      <alignment horizontal="center" vertical="center" wrapText="1"/>
    </xf>
    <xf numFmtId="0" fontId="15" fillId="0" borderId="3" xfId="0" applyNumberFormat="1" applyFont="1" applyFill="1" applyBorder="1" applyAlignment="1">
      <alignment horizontal="center" vertical="center" wrapText="1"/>
    </xf>
    <xf numFmtId="185" fontId="34" fillId="0" borderId="3" xfId="0" applyNumberFormat="1" applyFont="1" applyFill="1" applyBorder="1" applyAlignment="1">
      <alignment horizontal="center" vertical="center" wrapText="1"/>
    </xf>
    <xf numFmtId="178" fontId="34" fillId="0" borderId="3" xfId="0" applyNumberFormat="1" applyFont="1" applyFill="1" applyBorder="1" applyAlignment="1">
      <alignment horizontal="center" vertical="center" wrapText="1"/>
    </xf>
    <xf numFmtId="178" fontId="15" fillId="0" borderId="3" xfId="0" applyNumberFormat="1" applyFont="1" applyFill="1" applyBorder="1" applyAlignment="1">
      <alignment horizontal="center" vertical="center" wrapText="1"/>
    </xf>
    <xf numFmtId="2" fontId="15" fillId="0" borderId="2" xfId="0" applyNumberFormat="1" applyFont="1" applyFill="1" applyBorder="1" applyAlignment="1">
      <alignment horizontal="center" vertical="center" wrapText="1"/>
    </xf>
    <xf numFmtId="2" fontId="15" fillId="0" borderId="3" xfId="0" applyNumberFormat="1" applyFont="1" applyFill="1" applyBorder="1" applyAlignment="1">
      <alignment horizontal="center" vertical="center" wrapText="1"/>
    </xf>
    <xf numFmtId="184" fontId="15" fillId="0" borderId="3" xfId="0" applyNumberFormat="1" applyFont="1" applyFill="1" applyBorder="1" applyAlignment="1">
      <alignment horizontal="center" vertical="center" wrapText="1"/>
    </xf>
    <xf numFmtId="2" fontId="34" fillId="0" borderId="3" xfId="0" applyNumberFormat="1" applyFont="1" applyFill="1" applyBorder="1" applyAlignment="1">
      <alignment horizontal="center" vertical="center" wrapText="1"/>
    </xf>
    <xf numFmtId="2" fontId="34" fillId="0" borderId="4" xfId="0" applyNumberFormat="1" applyFont="1" applyFill="1" applyBorder="1" applyAlignment="1">
      <alignment horizontal="center" vertical="center" wrapText="1"/>
    </xf>
    <xf numFmtId="2" fontId="15" fillId="0" borderId="1" xfId="0" applyNumberFormat="1" applyFont="1" applyFill="1" applyBorder="1" applyAlignment="1">
      <alignment horizontal="center" vertical="center" wrapText="1"/>
    </xf>
    <xf numFmtId="0" fontId="34" fillId="0" borderId="3" xfId="0" applyFont="1" applyFill="1" applyBorder="1" applyAlignment="1">
      <alignment horizontal="center" vertical="center" wrapText="1"/>
    </xf>
    <xf numFmtId="0" fontId="34" fillId="0" borderId="4" xfId="0" applyFont="1" applyFill="1" applyBorder="1" applyAlignment="1">
      <alignment horizontal="center" vertical="center" wrapText="1"/>
    </xf>
    <xf numFmtId="0" fontId="3" fillId="0" borderId="0" xfId="0" applyFont="1" applyAlignment="1">
      <alignment horizontal="center" vertical="center" wrapText="1"/>
    </xf>
    <xf numFmtId="0" fontId="36" fillId="0" borderId="2" xfId="0" applyFont="1" applyBorder="1" applyAlignment="1">
      <alignment horizontal="center" vertical="center" wrapText="1"/>
    </xf>
    <xf numFmtId="2" fontId="33" fillId="2" borderId="1" xfId="0" applyNumberFormat="1" applyFont="1" applyFill="1" applyBorder="1" applyAlignment="1">
      <alignment horizontal="center" vertical="center" wrapText="1"/>
    </xf>
    <xf numFmtId="0" fontId="33"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2" fontId="15" fillId="2" borderId="1" xfId="0" applyNumberFormat="1" applyFont="1" applyFill="1" applyBorder="1" applyAlignment="1">
      <alignment horizontal="center" vertical="center" wrapText="1"/>
    </xf>
    <xf numFmtId="0" fontId="15" fillId="2" borderId="8" xfId="0" applyFont="1" applyFill="1" applyBorder="1" applyAlignment="1">
      <alignment horizontal="center" vertical="center" wrapText="1"/>
    </xf>
    <xf numFmtId="177" fontId="15" fillId="2" borderId="8" xfId="0" applyNumberFormat="1" applyFont="1" applyFill="1" applyBorder="1" applyAlignment="1">
      <alignment horizontal="center" vertical="center" wrapText="1"/>
    </xf>
    <xf numFmtId="0" fontId="33" fillId="0" borderId="1" xfId="0" applyFont="1" applyBorder="1" applyAlignment="1">
      <alignment horizontal="center" vertical="center" wrapText="1"/>
    </xf>
    <xf numFmtId="0" fontId="34" fillId="2" borderId="1" xfId="0" applyFont="1" applyFill="1" applyBorder="1" applyAlignment="1">
      <alignment horizontal="center" vertical="center" wrapText="1"/>
    </xf>
    <xf numFmtId="2" fontId="37" fillId="2" borderId="1" xfId="0" applyNumberFormat="1" applyFont="1" applyFill="1" applyBorder="1" applyAlignment="1">
      <alignment horizontal="center" vertical="center" wrapText="1"/>
    </xf>
    <xf numFmtId="0" fontId="15" fillId="0" borderId="8" xfId="0" applyFont="1" applyFill="1" applyBorder="1" applyAlignment="1">
      <alignment horizontal="center" vertical="center" wrapText="1"/>
    </xf>
    <xf numFmtId="0" fontId="15" fillId="0" borderId="1" xfId="0" applyFont="1" applyFill="1" applyBorder="1" applyAlignment="1">
      <alignment horizontal="left" vertical="center" wrapText="1"/>
    </xf>
    <xf numFmtId="2" fontId="15" fillId="0" borderId="1" xfId="0" applyNumberFormat="1" applyFont="1" applyFill="1" applyBorder="1" applyAlignment="1">
      <alignment horizontal="left" vertic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vertical="center" wrapText="1"/>
    </xf>
    <xf numFmtId="176" fontId="15" fillId="2"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wrapText="1"/>
    </xf>
    <xf numFmtId="177" fontId="15" fillId="0" borderId="1" xfId="0" applyNumberFormat="1" applyFont="1" applyFill="1" applyBorder="1" applyAlignment="1">
      <alignment horizontal="left" vertical="center" wrapText="1"/>
    </xf>
    <xf numFmtId="178" fontId="15" fillId="0" borderId="1" xfId="0" applyNumberFormat="1" applyFont="1" applyFill="1" applyBorder="1" applyAlignment="1">
      <alignment horizontal="center" vertical="center" wrapText="1"/>
    </xf>
    <xf numFmtId="0" fontId="34" fillId="0" borderId="3" xfId="0" applyFont="1" applyFill="1" applyBorder="1" applyAlignment="1">
      <alignment horizontal="left" vertical="center" wrapText="1"/>
    </xf>
    <xf numFmtId="0" fontId="33" fillId="0" borderId="3" xfId="0" applyFont="1" applyBorder="1" applyAlignment="1">
      <alignment horizontal="center" vertical="center" wrapText="1"/>
    </xf>
    <xf numFmtId="2" fontId="33" fillId="0" borderId="3" xfId="0" applyNumberFormat="1" applyFont="1" applyBorder="1" applyAlignment="1">
      <alignment horizontal="center" vertical="center" wrapText="1"/>
    </xf>
    <xf numFmtId="0" fontId="33" fillId="0" borderId="16" xfId="0" applyFont="1" applyBorder="1" applyAlignment="1">
      <alignment horizontal="center" vertical="center" wrapText="1"/>
    </xf>
    <xf numFmtId="0" fontId="33" fillId="0" borderId="8" xfId="0" applyFont="1" applyBorder="1" applyAlignment="1">
      <alignment horizontal="center" vertical="center" wrapText="1"/>
    </xf>
    <xf numFmtId="0" fontId="15" fillId="5" borderId="1" xfId="0" applyFont="1" applyFill="1" applyBorder="1" applyAlignment="1">
      <alignment horizontal="left" vertical="center" wrapText="1"/>
    </xf>
    <xf numFmtId="0" fontId="34" fillId="5" borderId="1" xfId="0" applyFont="1" applyFill="1" applyBorder="1" applyAlignment="1">
      <alignment horizontal="left" vertical="center" wrapText="1"/>
    </xf>
    <xf numFmtId="0" fontId="15" fillId="0" borderId="8" xfId="0" applyFont="1" applyBorder="1" applyAlignment="1">
      <alignment horizontal="center" vertical="center" wrapText="1"/>
    </xf>
    <xf numFmtId="0" fontId="15" fillId="0" borderId="1" xfId="0" applyFont="1" applyBorder="1" applyAlignment="1">
      <alignment horizontal="center" vertical="center" wrapText="1"/>
    </xf>
    <xf numFmtId="2" fontId="15" fillId="5" borderId="1" xfId="0" applyNumberFormat="1" applyFont="1" applyFill="1" applyBorder="1" applyAlignment="1">
      <alignment horizontal="center" vertical="center" wrapText="1"/>
    </xf>
    <xf numFmtId="2" fontId="15" fillId="5" borderId="1" xfId="0" applyNumberFormat="1" applyFont="1" applyFill="1" applyBorder="1" applyAlignment="1">
      <alignment horizontal="right" vertical="center" wrapText="1"/>
    </xf>
    <xf numFmtId="0" fontId="15" fillId="0" borderId="3" xfId="0" applyFont="1" applyFill="1" applyBorder="1" applyAlignment="1">
      <alignment horizontal="center" vertical="center" wrapText="1"/>
    </xf>
    <xf numFmtId="0" fontId="15" fillId="0" borderId="4" xfId="0" applyFont="1" applyFill="1" applyBorder="1" applyAlignment="1">
      <alignment horizontal="center" vertical="center" wrapText="1"/>
    </xf>
    <xf numFmtId="2" fontId="15" fillId="0" borderId="11" xfId="0" applyNumberFormat="1" applyFont="1" applyFill="1" applyBorder="1" applyAlignment="1">
      <alignment horizontal="center" vertical="center" wrapText="1"/>
    </xf>
    <xf numFmtId="10" fontId="34" fillId="0" borderId="3" xfId="0" applyNumberFormat="1" applyFont="1" applyFill="1" applyBorder="1" applyAlignment="1">
      <alignment horizontal="center" vertical="center" wrapText="1"/>
    </xf>
    <xf numFmtId="10" fontId="34" fillId="0" borderId="4" xfId="0" applyNumberFormat="1" applyFont="1" applyFill="1" applyBorder="1" applyAlignment="1">
      <alignment horizontal="center" vertical="center" wrapText="1"/>
    </xf>
    <xf numFmtId="0" fontId="35" fillId="0" borderId="14"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40" fillId="4" borderId="1" xfId="0" applyFont="1" applyFill="1" applyBorder="1" applyAlignment="1">
      <alignment horizontal="center" vertical="center" wrapText="1"/>
    </xf>
    <xf numFmtId="0" fontId="41" fillId="4" borderId="1" xfId="0" applyFont="1" applyFill="1" applyBorder="1" applyAlignment="1">
      <alignment horizontal="center" vertical="center"/>
    </xf>
    <xf numFmtId="0" fontId="33" fillId="4" borderId="1" xfId="0" applyFont="1" applyFill="1" applyBorder="1" applyAlignment="1">
      <alignment horizontal="center" vertical="center"/>
    </xf>
    <xf numFmtId="178" fontId="12" fillId="2" borderId="1" xfId="0" applyNumberFormat="1" applyFont="1" applyFill="1" applyBorder="1" applyAlignment="1" applyProtection="1">
      <alignment horizontal="center" vertical="center"/>
      <protection locked="0"/>
    </xf>
    <xf numFmtId="178" fontId="11" fillId="2" borderId="1" xfId="0" applyNumberFormat="1" applyFont="1" applyFill="1" applyBorder="1" applyAlignment="1" applyProtection="1">
      <alignment horizontal="center" vertical="center"/>
      <protection locked="0"/>
    </xf>
    <xf numFmtId="178" fontId="12" fillId="2" borderId="1" xfId="9" applyNumberFormat="1" applyFont="1" applyFill="1" applyBorder="1" applyAlignment="1" applyProtection="1">
      <alignment horizontal="center" vertical="center"/>
      <protection locked="0"/>
    </xf>
    <xf numFmtId="184" fontId="12" fillId="2" borderId="1" xfId="0" applyNumberFormat="1" applyFont="1" applyFill="1" applyBorder="1" applyAlignment="1">
      <alignment horizontal="center" vertical="center"/>
    </xf>
    <xf numFmtId="193" fontId="12" fillId="2" borderId="1" xfId="0" applyNumberFormat="1" applyFont="1" applyFill="1" applyBorder="1" applyAlignment="1">
      <alignment horizontal="center" vertical="center"/>
    </xf>
    <xf numFmtId="193" fontId="12" fillId="0" borderId="1" xfId="0" applyNumberFormat="1" applyFont="1" applyFill="1" applyBorder="1" applyAlignment="1" applyProtection="1">
      <alignment horizontal="center" vertical="center"/>
      <protection locked="0"/>
    </xf>
    <xf numFmtId="177" fontId="12" fillId="0" borderId="1" xfId="0" applyNumberFormat="1" applyFont="1" applyFill="1" applyBorder="1" applyAlignment="1">
      <alignment horizontal="center" vertical="center"/>
    </xf>
    <xf numFmtId="14" fontId="34" fillId="4" borderId="1" xfId="6" applyNumberFormat="1" applyFont="1" applyFill="1" applyBorder="1" applyAlignment="1">
      <alignment horizontal="center" vertical="center" wrapText="1"/>
    </xf>
    <xf numFmtId="177" fontId="10" fillId="3" borderId="1" xfId="0" applyNumberFormat="1" applyFont="1" applyFill="1" applyBorder="1" applyAlignment="1">
      <alignment horizontal="center" vertical="center" wrapText="1"/>
    </xf>
    <xf numFmtId="0" fontId="10" fillId="3" borderId="1" xfId="0" applyFont="1" applyFill="1" applyBorder="1" applyAlignment="1">
      <alignment horizontal="center" vertical="center" wrapText="1"/>
    </xf>
    <xf numFmtId="177" fontId="44" fillId="3" borderId="1" xfId="0" applyNumberFormat="1" applyFont="1" applyFill="1" applyBorder="1" applyAlignment="1">
      <alignment horizontal="center" vertical="center" wrapText="1"/>
    </xf>
    <xf numFmtId="0" fontId="44" fillId="3" borderId="1" xfId="0" applyFont="1" applyFill="1" applyBorder="1" applyAlignment="1">
      <alignment horizontal="center" vertical="center" wrapText="1"/>
    </xf>
    <xf numFmtId="178" fontId="15" fillId="0" borderId="3" xfId="2" applyNumberFormat="1" applyFont="1" applyFill="1" applyBorder="1" applyAlignment="1">
      <alignment horizontal="center" vertical="center" wrapText="1"/>
    </xf>
    <xf numFmtId="178" fontId="40" fillId="7" borderId="1" xfId="0" applyNumberFormat="1" applyFont="1" applyFill="1" applyBorder="1" applyAlignment="1">
      <alignment horizontal="center" vertical="center" wrapText="1"/>
    </xf>
    <xf numFmtId="178" fontId="11" fillId="7" borderId="1" xfId="7" applyNumberFormat="1" applyFont="1" applyFill="1" applyBorder="1" applyAlignment="1" applyProtection="1">
      <alignment horizontal="center" vertical="center" wrapText="1"/>
      <protection locked="0"/>
    </xf>
    <xf numFmtId="193" fontId="10" fillId="7" borderId="1" xfId="0" applyNumberFormat="1" applyFont="1" applyFill="1" applyBorder="1" applyAlignment="1">
      <alignment horizontal="center" vertical="center"/>
    </xf>
    <xf numFmtId="193" fontId="11" fillId="7" borderId="1" xfId="0" applyNumberFormat="1" applyFont="1" applyFill="1" applyBorder="1" applyAlignment="1">
      <alignment horizontal="center" vertical="center" wrapText="1"/>
    </xf>
    <xf numFmtId="184" fontId="12" fillId="7" borderId="1" xfId="0" applyNumberFormat="1" applyFont="1" applyFill="1" applyBorder="1" applyAlignment="1">
      <alignment horizontal="center" vertical="center"/>
    </xf>
    <xf numFmtId="193" fontId="11" fillId="7" borderId="1" xfId="0" applyNumberFormat="1" applyFont="1" applyFill="1" applyBorder="1" applyAlignment="1">
      <alignment horizontal="center" vertical="center"/>
    </xf>
    <xf numFmtId="185" fontId="12" fillId="7" borderId="1" xfId="0" applyNumberFormat="1" applyFont="1" applyFill="1" applyBorder="1" applyAlignment="1" applyProtection="1">
      <alignment horizontal="center" vertical="center" wrapText="1"/>
      <protection locked="0"/>
    </xf>
    <xf numFmtId="185" fontId="11" fillId="7" borderId="1" xfId="0" applyNumberFormat="1" applyFont="1" applyFill="1" applyBorder="1" applyAlignment="1" applyProtection="1">
      <alignment horizontal="center" vertical="center" wrapText="1"/>
      <protection locked="0"/>
    </xf>
    <xf numFmtId="177" fontId="11" fillId="7" borderId="1" xfId="0" applyNumberFormat="1" applyFont="1" applyFill="1" applyBorder="1" applyAlignment="1">
      <alignment horizontal="center" vertical="center" wrapText="1"/>
    </xf>
    <xf numFmtId="178" fontId="11" fillId="7" borderId="1" xfId="0" applyNumberFormat="1" applyFont="1" applyFill="1" applyBorder="1" applyAlignment="1">
      <alignment horizontal="center" vertical="center" wrapText="1"/>
    </xf>
    <xf numFmtId="178" fontId="40" fillId="7" borderId="1" xfId="0" applyNumberFormat="1" applyFont="1" applyFill="1" applyBorder="1" applyAlignment="1" applyProtection="1">
      <alignment horizontal="center" vertical="center" wrapText="1"/>
      <protection locked="0"/>
    </xf>
    <xf numFmtId="178" fontId="11" fillId="7" borderId="1" xfId="7" applyNumberFormat="1" applyFont="1" applyFill="1" applyBorder="1" applyAlignment="1" applyProtection="1">
      <alignment horizontal="center" vertical="center"/>
      <protection locked="0"/>
    </xf>
    <xf numFmtId="178" fontId="12" fillId="7" borderId="1" xfId="12" applyNumberFormat="1" applyFont="1" applyFill="1" applyBorder="1" applyAlignment="1">
      <alignment horizontal="center" vertical="center" wrapText="1"/>
    </xf>
    <xf numFmtId="178" fontId="11" fillId="7" borderId="1" xfId="13" applyNumberFormat="1" applyFont="1" applyFill="1" applyBorder="1" applyAlignment="1" applyProtection="1">
      <alignment horizontal="center" vertical="center" wrapText="1"/>
      <protection locked="0"/>
    </xf>
    <xf numFmtId="178" fontId="40" fillId="7" borderId="1" xfId="0" applyNumberFormat="1" applyFont="1" applyFill="1" applyBorder="1" applyAlignment="1">
      <alignment horizontal="center" vertical="center"/>
    </xf>
    <xf numFmtId="178" fontId="11" fillId="7" borderId="1" xfId="0" applyNumberFormat="1" applyFont="1" applyFill="1" applyBorder="1" applyAlignment="1" applyProtection="1">
      <alignment horizontal="center" vertical="center" wrapText="1"/>
      <protection locked="0"/>
    </xf>
    <xf numFmtId="178" fontId="11" fillId="7" borderId="1" xfId="0" applyNumberFormat="1" applyFont="1" applyFill="1" applyBorder="1" applyAlignment="1" applyProtection="1">
      <alignment horizontal="center" vertical="center"/>
      <protection locked="0"/>
    </xf>
    <xf numFmtId="184" fontId="11" fillId="7" borderId="1" xfId="0" applyNumberFormat="1" applyFont="1" applyFill="1" applyBorder="1" applyAlignment="1" applyProtection="1">
      <alignment horizontal="center" vertical="center" wrapText="1"/>
      <protection locked="0"/>
    </xf>
    <xf numFmtId="178" fontId="11" fillId="7" borderId="1" xfId="0" applyNumberFormat="1" applyFont="1" applyFill="1" applyBorder="1" applyAlignment="1">
      <alignment horizontal="center" vertical="center"/>
    </xf>
    <xf numFmtId="194" fontId="12" fillId="7" borderId="1" xfId="0" applyNumberFormat="1" applyFont="1" applyFill="1" applyBorder="1" applyAlignment="1">
      <alignment horizontal="center" vertical="center"/>
    </xf>
    <xf numFmtId="184" fontId="46" fillId="7" borderId="1" xfId="0" applyNumberFormat="1" applyFont="1" applyFill="1" applyBorder="1" applyAlignment="1">
      <alignment horizontal="center" vertical="center" wrapText="1"/>
    </xf>
    <xf numFmtId="184" fontId="11" fillId="7" borderId="1" xfId="0" applyNumberFormat="1" applyFont="1" applyFill="1" applyBorder="1" applyAlignment="1">
      <alignment horizontal="center" vertical="center"/>
    </xf>
    <xf numFmtId="0" fontId="11" fillId="7" borderId="1" xfId="0" applyNumberFormat="1" applyFont="1" applyFill="1" applyBorder="1" applyAlignment="1" applyProtection="1">
      <alignment horizontal="center" vertical="center" wrapText="1"/>
      <protection locked="0"/>
    </xf>
    <xf numFmtId="185" fontId="10" fillId="7" borderId="1" xfId="0" applyNumberFormat="1" applyFont="1" applyFill="1" applyBorder="1" applyAlignment="1">
      <alignment horizontal="center" vertical="center"/>
    </xf>
    <xf numFmtId="185" fontId="11" fillId="7" borderId="1" xfId="0" applyNumberFormat="1" applyFont="1" applyFill="1" applyBorder="1" applyAlignment="1">
      <alignment horizontal="center" vertical="center"/>
    </xf>
    <xf numFmtId="185" fontId="11" fillId="7" borderId="1" xfId="0" applyNumberFormat="1" applyFont="1" applyFill="1" applyBorder="1" applyAlignment="1">
      <alignment horizontal="center" vertical="center" wrapText="1"/>
    </xf>
    <xf numFmtId="184" fontId="11" fillId="7" borderId="1" xfId="0" applyNumberFormat="1" applyFont="1" applyFill="1" applyBorder="1" applyAlignment="1">
      <alignment horizontal="center" vertical="center" wrapText="1"/>
    </xf>
    <xf numFmtId="184" fontId="11" fillId="7" borderId="1" xfId="3" applyNumberFormat="1" applyFont="1" applyFill="1" applyBorder="1" applyAlignment="1" applyProtection="1">
      <alignment horizontal="center" vertical="center" wrapText="1"/>
      <protection locked="0"/>
    </xf>
    <xf numFmtId="178" fontId="40" fillId="7" borderId="3" xfId="0" applyNumberFormat="1" applyFont="1" applyFill="1" applyBorder="1" applyAlignment="1">
      <alignment horizontal="center" vertical="center" wrapText="1"/>
    </xf>
    <xf numFmtId="184" fontId="11" fillId="7" borderId="1" xfId="0" applyNumberFormat="1" applyFont="1" applyFill="1" applyBorder="1" applyAlignment="1" applyProtection="1">
      <alignment horizontal="center" vertical="center" wrapText="1"/>
    </xf>
    <xf numFmtId="43" fontId="11" fillId="7" borderId="1" xfId="8" applyFont="1" applyFill="1" applyBorder="1" applyAlignment="1">
      <alignment horizontal="center" vertical="center" shrinkToFit="1"/>
    </xf>
    <xf numFmtId="49" fontId="11" fillId="7" borderId="1" xfId="0" applyNumberFormat="1" applyFont="1" applyFill="1" applyBorder="1" applyAlignment="1">
      <alignment horizontal="center" vertical="center" wrapText="1"/>
    </xf>
    <xf numFmtId="178" fontId="40" fillId="7" borderId="3" xfId="0" applyNumberFormat="1" applyFont="1" applyFill="1" applyBorder="1" applyAlignment="1">
      <alignment horizontal="center" vertical="center" shrinkToFit="1"/>
    </xf>
    <xf numFmtId="178" fontId="11" fillId="7" borderId="3" xfId="7" applyNumberFormat="1" applyFont="1" applyFill="1" applyBorder="1" applyAlignment="1" applyProtection="1">
      <alignment horizontal="center" vertical="center" shrinkToFit="1"/>
      <protection locked="0"/>
    </xf>
    <xf numFmtId="0" fontId="48" fillId="4" borderId="1" xfId="0" applyFont="1" applyFill="1" applyBorder="1" applyAlignment="1">
      <alignment horizontal="center" vertical="center" wrapText="1"/>
    </xf>
    <xf numFmtId="0" fontId="49" fillId="4" borderId="1" xfId="0" applyFont="1" applyFill="1" applyBorder="1" applyAlignment="1">
      <alignment horizontal="center" vertical="center" wrapText="1"/>
    </xf>
    <xf numFmtId="195" fontId="10" fillId="4" borderId="1" xfId="0" applyNumberFormat="1" applyFont="1" applyFill="1" applyBorder="1" applyAlignment="1">
      <alignment horizontal="center" vertical="center" wrapText="1"/>
    </xf>
    <xf numFmtId="0" fontId="50" fillId="4" borderId="1" xfId="0" applyFont="1" applyFill="1" applyBorder="1" applyAlignment="1">
      <alignment horizontal="center" vertical="center" wrapText="1"/>
    </xf>
    <xf numFmtId="196" fontId="50" fillId="4" borderId="1" xfId="10" applyNumberFormat="1" applyFont="1" applyFill="1" applyBorder="1" applyAlignment="1">
      <alignment horizontal="center" vertical="center" wrapText="1"/>
    </xf>
    <xf numFmtId="0" fontId="33" fillId="4" borderId="3"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40" fillId="2" borderId="3" xfId="0" applyFont="1" applyFill="1" applyBorder="1" applyAlignment="1">
      <alignment horizontal="center" vertical="center"/>
    </xf>
    <xf numFmtId="0" fontId="40" fillId="2" borderId="5" xfId="0" applyFont="1" applyFill="1" applyBorder="1" applyAlignment="1">
      <alignment horizontal="center" vertical="center"/>
    </xf>
    <xf numFmtId="178" fontId="12" fillId="2" borderId="1" xfId="0" applyNumberFormat="1" applyFont="1" applyFill="1" applyBorder="1" applyAlignment="1" applyProtection="1">
      <alignment horizontal="center" vertical="center" wrapText="1"/>
    </xf>
    <xf numFmtId="0" fontId="9" fillId="2" borderId="1" xfId="0" applyFont="1" applyFill="1" applyBorder="1" applyAlignment="1">
      <alignment horizontal="left" vertical="center" wrapText="1"/>
    </xf>
    <xf numFmtId="185" fontId="12" fillId="2" borderId="1" xfId="0" applyNumberFormat="1" applyFont="1" applyFill="1" applyBorder="1" applyAlignment="1">
      <alignment horizontal="left" vertical="center" wrapText="1"/>
    </xf>
    <xf numFmtId="178" fontId="12" fillId="2" borderId="1" xfId="0" applyNumberFormat="1" applyFont="1" applyFill="1" applyBorder="1" applyAlignment="1">
      <alignment horizontal="center" vertical="center" wrapText="1"/>
    </xf>
    <xf numFmtId="178" fontId="12" fillId="2" borderId="1" xfId="0" applyNumberFormat="1" applyFont="1" applyFill="1" applyBorder="1" applyAlignment="1">
      <alignment horizontal="left" vertical="center" wrapText="1"/>
    </xf>
    <xf numFmtId="0" fontId="9" fillId="8" borderId="1" xfId="0" applyFont="1" applyFill="1" applyBorder="1" applyAlignment="1">
      <alignment horizontal="left" vertical="center" wrapText="1"/>
    </xf>
    <xf numFmtId="180" fontId="15" fillId="0" borderId="1" xfId="0" applyNumberFormat="1" applyFont="1" applyBorder="1" applyAlignment="1">
      <alignment horizontal="center" vertical="center" wrapText="1"/>
    </xf>
    <xf numFmtId="180" fontId="15" fillId="0" borderId="1" xfId="0" applyNumberFormat="1" applyFont="1" applyFill="1" applyBorder="1" applyAlignment="1">
      <alignment horizontal="center" vertical="center" wrapText="1"/>
    </xf>
    <xf numFmtId="178" fontId="15"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48" fillId="0" borderId="1" xfId="0" applyFont="1" applyBorder="1" applyAlignment="1">
      <alignment horizontal="center" vertical="center" wrapText="1"/>
    </xf>
    <xf numFmtId="2" fontId="7" fillId="0" borderId="1" xfId="0" applyNumberFormat="1" applyFont="1" applyBorder="1" applyAlignment="1">
      <alignment horizontal="center" vertical="center" wrapText="1"/>
    </xf>
    <xf numFmtId="2" fontId="7" fillId="0" borderId="1" xfId="0" applyNumberFormat="1" applyFont="1" applyFill="1" applyBorder="1" applyAlignment="1">
      <alignment horizontal="center" vertical="center" wrapText="1"/>
    </xf>
    <xf numFmtId="9" fontId="7" fillId="0" borderId="0" xfId="1" applyFont="1" applyAlignment="1">
      <alignment horizontal="center" vertical="center" wrapText="1"/>
    </xf>
    <xf numFmtId="178" fontId="52" fillId="0" borderId="1" xfId="0" applyNumberFormat="1" applyFont="1" applyFill="1" applyBorder="1" applyAlignment="1">
      <alignment horizontal="center" vertical="center" wrapText="1"/>
    </xf>
    <xf numFmtId="0" fontId="40" fillId="0" borderId="1" xfId="0" applyNumberFormat="1" applyFont="1" applyFill="1" applyBorder="1" applyAlignment="1">
      <alignment horizontal="center" vertical="center" wrapText="1"/>
    </xf>
    <xf numFmtId="176" fontId="40" fillId="0" borderId="1" xfId="1" applyNumberFormat="1" applyFont="1" applyFill="1" applyBorder="1" applyAlignment="1">
      <alignment horizontal="center" vertical="center" wrapText="1"/>
    </xf>
    <xf numFmtId="2" fontId="40" fillId="0" borderId="1" xfId="0" applyNumberFormat="1" applyFont="1" applyFill="1" applyBorder="1" applyAlignment="1">
      <alignment horizontal="center" vertical="center" wrapText="1"/>
    </xf>
    <xf numFmtId="0" fontId="40" fillId="0" borderId="1" xfId="0" applyFont="1" applyFill="1" applyBorder="1" applyAlignment="1">
      <alignment horizontal="center" vertical="center" wrapText="1"/>
    </xf>
    <xf numFmtId="178" fontId="40" fillId="0" borderId="1" xfId="0" applyNumberFormat="1" applyFont="1" applyFill="1" applyBorder="1" applyAlignment="1">
      <alignment horizontal="center" vertical="center" wrapText="1"/>
    </xf>
    <xf numFmtId="0" fontId="40" fillId="0" borderId="1" xfId="0" applyFont="1" applyFill="1" applyBorder="1" applyAlignment="1">
      <alignment horizontal="left" vertical="center" wrapText="1"/>
    </xf>
    <xf numFmtId="178" fontId="41" fillId="0" borderId="1" xfId="0" applyNumberFormat="1" applyFont="1" applyFill="1" applyBorder="1" applyAlignment="1">
      <alignment horizontal="center" vertical="center" wrapText="1"/>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7" fillId="0" borderId="0" xfId="0" applyFont="1" applyFill="1" applyAlignment="1">
      <alignment horizontal="center" vertical="center" wrapText="1"/>
    </xf>
    <xf numFmtId="0" fontId="36" fillId="0" borderId="1" xfId="0" applyFont="1" applyFill="1" applyBorder="1" applyAlignment="1">
      <alignment horizontal="center" vertical="center" wrapText="1"/>
    </xf>
    <xf numFmtId="177" fontId="40" fillId="0" borderId="8" xfId="0" applyNumberFormat="1" applyFont="1" applyFill="1" applyBorder="1" applyAlignment="1">
      <alignment horizontal="center" vertical="center" wrapText="1"/>
    </xf>
    <xf numFmtId="0" fontId="41" fillId="0" borderId="1" xfId="0" applyFont="1" applyFill="1" applyBorder="1" applyAlignment="1">
      <alignment horizontal="center" vertical="center"/>
    </xf>
    <xf numFmtId="0" fontId="41" fillId="0" borderId="1" xfId="0" applyFont="1" applyFill="1" applyBorder="1" applyAlignment="1">
      <alignment horizontal="center" vertical="center" wrapText="1"/>
    </xf>
    <xf numFmtId="2" fontId="41" fillId="0" borderId="1" xfId="0" applyNumberFormat="1" applyFont="1" applyFill="1" applyBorder="1" applyAlignment="1">
      <alignment horizontal="center" vertical="center" wrapText="1"/>
    </xf>
    <xf numFmtId="0" fontId="52" fillId="0" borderId="1" xfId="0" applyFont="1" applyFill="1" applyBorder="1" applyAlignment="1">
      <alignment horizontal="center" vertical="center" wrapText="1"/>
    </xf>
    <xf numFmtId="176" fontId="40" fillId="0" borderId="1" xfId="0" applyNumberFormat="1" applyFont="1" applyFill="1" applyBorder="1" applyAlignment="1">
      <alignment horizontal="center" vertical="center" wrapText="1"/>
    </xf>
    <xf numFmtId="2" fontId="52" fillId="0" borderId="1" xfId="0" applyNumberFormat="1" applyFont="1" applyFill="1" applyBorder="1" applyAlignment="1">
      <alignment horizontal="center" vertical="center" wrapText="1"/>
    </xf>
    <xf numFmtId="0" fontId="2" fillId="0" borderId="0" xfId="0" applyNumberFormat="1" applyFont="1" applyFill="1" applyAlignment="1">
      <alignment horizontal="center" vertical="center" wrapText="1"/>
    </xf>
    <xf numFmtId="199" fontId="40" fillId="0" borderId="1" xfId="0" applyNumberFormat="1" applyFont="1" applyFill="1" applyBorder="1" applyAlignment="1">
      <alignment horizontal="center" vertical="center" wrapText="1"/>
    </xf>
    <xf numFmtId="199" fontId="41" fillId="0" borderId="1" xfId="0" applyNumberFormat="1" applyFont="1" applyFill="1" applyBorder="1" applyAlignment="1">
      <alignment horizontal="center" vertical="center"/>
    </xf>
    <xf numFmtId="0" fontId="36" fillId="0" borderId="3" xfId="0" applyFont="1" applyFill="1" applyBorder="1" applyAlignment="1">
      <alignment horizontal="center" vertical="center" wrapText="1"/>
    </xf>
    <xf numFmtId="0" fontId="36" fillId="0" borderId="5" xfId="0" applyFont="1" applyFill="1" applyBorder="1" applyAlignment="1">
      <alignment horizontal="center" vertical="center" wrapText="1"/>
    </xf>
    <xf numFmtId="0" fontId="36" fillId="0" borderId="4" xfId="0" applyFont="1" applyFill="1" applyBorder="1" applyAlignment="1">
      <alignment horizontal="center" vertical="center" wrapText="1"/>
    </xf>
    <xf numFmtId="0" fontId="3" fillId="0" borderId="0" xfId="0" applyFont="1" applyFill="1" applyAlignment="1">
      <alignment horizontal="center" vertical="center" wrapText="1"/>
    </xf>
    <xf numFmtId="0" fontId="36" fillId="0" borderId="1"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36" fillId="0" borderId="2" xfId="0" applyFont="1" applyFill="1" applyBorder="1" applyAlignment="1">
      <alignment horizontal="center" vertical="center" wrapText="1"/>
    </xf>
    <xf numFmtId="0" fontId="36" fillId="0" borderId="6" xfId="0" applyFont="1" applyFill="1" applyBorder="1" applyAlignment="1">
      <alignment horizontal="center" vertical="center" wrapText="1"/>
    </xf>
    <xf numFmtId="0" fontId="36" fillId="0" borderId="8" xfId="0" applyFont="1" applyFill="1" applyBorder="1" applyAlignment="1">
      <alignment horizontal="center" vertical="center" wrapText="1"/>
    </xf>
    <xf numFmtId="0" fontId="36" fillId="0" borderId="3" xfId="0" applyNumberFormat="1" applyFont="1" applyFill="1" applyBorder="1" applyAlignment="1">
      <alignment horizontal="center" vertical="center" wrapText="1"/>
    </xf>
    <xf numFmtId="0" fontId="36" fillId="0" borderId="4" xfId="0" applyNumberFormat="1" applyFont="1" applyFill="1" applyBorder="1" applyAlignment="1">
      <alignment horizontal="center" vertical="center" wrapText="1"/>
    </xf>
    <xf numFmtId="0" fontId="3" fillId="0" borderId="0" xfId="0" applyFont="1" applyAlignment="1">
      <alignment horizontal="center" vertical="center" wrapText="1"/>
    </xf>
    <xf numFmtId="0" fontId="6" fillId="0" borderId="7" xfId="0" applyFont="1" applyBorder="1" applyAlignment="1">
      <alignment horizontal="center" vertical="center" wrapText="1"/>
    </xf>
    <xf numFmtId="0" fontId="33" fillId="0" borderId="1"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5" xfId="0" applyFont="1" applyBorder="1" applyAlignment="1">
      <alignment horizontal="center" vertical="center" wrapText="1"/>
    </xf>
    <xf numFmtId="0" fontId="36" fillId="0" borderId="4" xfId="0" applyFont="1" applyBorder="1" applyAlignment="1">
      <alignment horizontal="center" vertical="center" wrapText="1"/>
    </xf>
    <xf numFmtId="0" fontId="36" fillId="4" borderId="3" xfId="0" applyFont="1" applyFill="1" applyBorder="1" applyAlignment="1">
      <alignment horizontal="center" vertical="center" wrapText="1"/>
    </xf>
    <xf numFmtId="0" fontId="36" fillId="4" borderId="5" xfId="0" applyFont="1" applyFill="1" applyBorder="1" applyAlignment="1">
      <alignment horizontal="center" vertical="center" wrapText="1"/>
    </xf>
    <xf numFmtId="0" fontId="36" fillId="4" borderId="4" xfId="0" applyFont="1" applyFill="1" applyBorder="1" applyAlignment="1">
      <alignment horizontal="center" vertical="center" wrapText="1"/>
    </xf>
    <xf numFmtId="0" fontId="36" fillId="0" borderId="2" xfId="0" applyFont="1" applyBorder="1" applyAlignment="1">
      <alignment horizontal="center" vertical="center" wrapText="1"/>
    </xf>
    <xf numFmtId="0" fontId="36" fillId="0" borderId="6" xfId="0" applyFont="1" applyBorder="1" applyAlignment="1">
      <alignment horizontal="center" vertical="center" wrapText="1"/>
    </xf>
    <xf numFmtId="0" fontId="36" fillId="0" borderId="8" xfId="0" applyFont="1" applyBorder="1" applyAlignment="1">
      <alignment horizontal="center" vertical="center" wrapText="1"/>
    </xf>
    <xf numFmtId="0" fontId="36" fillId="0" borderId="1" xfId="0" applyFont="1" applyBorder="1" applyAlignment="1">
      <alignment horizontal="center" vertical="center" wrapText="1"/>
    </xf>
    <xf numFmtId="177" fontId="15" fillId="2" borderId="12" xfId="0" applyNumberFormat="1" applyFont="1" applyFill="1" applyBorder="1" applyAlignment="1">
      <alignment horizontal="center" vertical="center" wrapText="1"/>
    </xf>
    <xf numFmtId="177" fontId="15" fillId="2" borderId="9" xfId="0" applyNumberFormat="1" applyFont="1" applyFill="1" applyBorder="1" applyAlignment="1">
      <alignment horizontal="center" vertical="center" wrapText="1"/>
    </xf>
    <xf numFmtId="177" fontId="15" fillId="2" borderId="14" xfId="0" applyNumberFormat="1" applyFont="1" applyFill="1" applyBorder="1" applyAlignment="1">
      <alignment horizontal="center" vertical="center" wrapText="1"/>
    </xf>
    <xf numFmtId="177" fontId="15" fillId="2" borderId="3" xfId="0" applyNumberFormat="1" applyFont="1" applyFill="1" applyBorder="1" applyAlignment="1">
      <alignment horizontal="center" vertical="center" wrapText="1"/>
    </xf>
    <xf numFmtId="177" fontId="15" fillId="2" borderId="5" xfId="0" applyNumberFormat="1" applyFont="1" applyFill="1" applyBorder="1" applyAlignment="1">
      <alignment horizontal="center" vertical="center" wrapText="1"/>
    </xf>
    <xf numFmtId="177" fontId="15" fillId="2" borderId="4" xfId="0" applyNumberFormat="1" applyFont="1" applyFill="1" applyBorder="1" applyAlignment="1">
      <alignment horizontal="center" vertical="center" wrapText="1"/>
    </xf>
    <xf numFmtId="0" fontId="33" fillId="4" borderId="3" xfId="0" applyFont="1" applyFill="1" applyBorder="1" applyAlignment="1">
      <alignment horizontal="center" vertical="center"/>
    </xf>
    <xf numFmtId="0" fontId="33" fillId="4" borderId="5" xfId="0" applyFont="1" applyFill="1" applyBorder="1" applyAlignment="1">
      <alignment horizontal="center" vertical="center"/>
    </xf>
    <xf numFmtId="0" fontId="33" fillId="4" borderId="4" xfId="0" applyFont="1" applyFill="1" applyBorder="1" applyAlignment="1">
      <alignment horizontal="center" vertical="center"/>
    </xf>
    <xf numFmtId="0" fontId="41" fillId="4" borderId="3" xfId="0" applyFont="1" applyFill="1" applyBorder="1" applyAlignment="1">
      <alignment horizontal="center" vertical="center"/>
    </xf>
    <xf numFmtId="0" fontId="41" fillId="4" borderId="5" xfId="0" applyFont="1" applyFill="1" applyBorder="1" applyAlignment="1">
      <alignment horizontal="center" vertical="center"/>
    </xf>
    <xf numFmtId="0" fontId="41" fillId="4" borderId="4" xfId="0" applyFont="1" applyFill="1" applyBorder="1" applyAlignment="1">
      <alignment horizontal="center" vertical="center"/>
    </xf>
    <xf numFmtId="2" fontId="15" fillId="2" borderId="3" xfId="0" applyNumberFormat="1" applyFont="1" applyFill="1" applyBorder="1" applyAlignment="1">
      <alignment horizontal="center" vertical="center" wrapText="1"/>
    </xf>
    <xf numFmtId="2" fontId="15" fillId="2" borderId="5" xfId="0" applyNumberFormat="1" applyFont="1" applyFill="1" applyBorder="1" applyAlignment="1">
      <alignment horizontal="center" vertical="center" wrapText="1"/>
    </xf>
    <xf numFmtId="2" fontId="15" fillId="2" borderId="4" xfId="0" applyNumberFormat="1" applyFont="1" applyFill="1" applyBorder="1" applyAlignment="1">
      <alignment horizontal="center" vertical="center" wrapText="1"/>
    </xf>
    <xf numFmtId="0" fontId="15" fillId="2" borderId="3" xfId="0" applyNumberFormat="1" applyFont="1" applyFill="1" applyBorder="1" applyAlignment="1">
      <alignment horizontal="center" vertical="center" wrapText="1"/>
    </xf>
    <xf numFmtId="0" fontId="15" fillId="2" borderId="5" xfId="0" applyNumberFormat="1" applyFont="1" applyFill="1" applyBorder="1" applyAlignment="1">
      <alignment horizontal="center" vertical="center" wrapText="1"/>
    </xf>
    <xf numFmtId="0" fontId="15" fillId="2" borderId="4" xfId="0" applyNumberFormat="1" applyFont="1" applyFill="1" applyBorder="1" applyAlignment="1">
      <alignment horizontal="center" vertical="center" wrapText="1"/>
    </xf>
    <xf numFmtId="176" fontId="15" fillId="2" borderId="3" xfId="1" applyNumberFormat="1" applyFont="1" applyFill="1" applyBorder="1" applyAlignment="1">
      <alignment horizontal="center" vertical="center" wrapText="1"/>
    </xf>
    <xf numFmtId="176" fontId="15" fillId="2" borderId="5" xfId="1" applyNumberFormat="1" applyFont="1" applyFill="1" applyBorder="1" applyAlignment="1">
      <alignment horizontal="center" vertical="center" wrapText="1"/>
    </xf>
    <xf numFmtId="176" fontId="15" fillId="2" borderId="4" xfId="1" applyNumberFormat="1" applyFont="1" applyFill="1" applyBorder="1" applyAlignment="1">
      <alignment horizontal="center" vertical="center" wrapText="1"/>
    </xf>
    <xf numFmtId="0" fontId="36" fillId="0" borderId="3" xfId="0" applyNumberFormat="1" applyFont="1" applyBorder="1" applyAlignment="1">
      <alignment horizontal="center" vertical="center" wrapText="1"/>
    </xf>
    <xf numFmtId="0" fontId="36" fillId="0" borderId="4" xfId="0" applyNumberFormat="1" applyFont="1" applyBorder="1" applyAlignment="1">
      <alignment horizontal="center" vertical="center" wrapText="1"/>
    </xf>
    <xf numFmtId="0" fontId="34" fillId="2" borderId="3" xfId="0" applyNumberFormat="1" applyFont="1" applyFill="1" applyBorder="1" applyAlignment="1">
      <alignment horizontal="center" vertical="center" wrapText="1"/>
    </xf>
    <xf numFmtId="0" fontId="34" fillId="2" borderId="5" xfId="0" applyNumberFormat="1" applyFont="1" applyFill="1" applyBorder="1" applyAlignment="1">
      <alignment horizontal="center" vertical="center" wrapText="1"/>
    </xf>
    <xf numFmtId="0" fontId="34" fillId="2" borderId="4" xfId="0" applyNumberFormat="1" applyFont="1" applyFill="1" applyBorder="1" applyAlignment="1">
      <alignment horizontal="center" vertical="center" wrapText="1"/>
    </xf>
    <xf numFmtId="176" fontId="34" fillId="2" borderId="3" xfId="1" applyNumberFormat="1" applyFont="1" applyFill="1" applyBorder="1" applyAlignment="1">
      <alignment horizontal="center" vertical="center" wrapText="1"/>
    </xf>
    <xf numFmtId="176" fontId="34" fillId="2" borderId="5" xfId="1" applyNumberFormat="1" applyFont="1" applyFill="1" applyBorder="1" applyAlignment="1">
      <alignment horizontal="center" vertical="center" wrapText="1"/>
    </xf>
    <xf numFmtId="176" fontId="34" fillId="2" borderId="4" xfId="1" applyNumberFormat="1" applyFont="1" applyFill="1" applyBorder="1" applyAlignment="1">
      <alignment horizontal="center" vertical="center" wrapText="1"/>
    </xf>
    <xf numFmtId="0" fontId="15" fillId="2" borderId="3" xfId="0" applyFont="1" applyFill="1" applyBorder="1" applyAlignment="1">
      <alignment horizontal="left" vertical="center" wrapText="1"/>
    </xf>
    <xf numFmtId="0" fontId="15" fillId="2" borderId="4" xfId="0" applyFont="1" applyFill="1" applyBorder="1" applyAlignment="1">
      <alignment horizontal="left" vertical="center" wrapText="1"/>
    </xf>
    <xf numFmtId="178" fontId="15" fillId="2" borderId="3" xfId="0" applyNumberFormat="1" applyFont="1" applyFill="1" applyBorder="1" applyAlignment="1">
      <alignment horizontal="center" vertical="center" wrapText="1"/>
    </xf>
    <xf numFmtId="178" fontId="15" fillId="2" borderId="5" xfId="0" applyNumberFormat="1" applyFont="1" applyFill="1" applyBorder="1" applyAlignment="1">
      <alignment horizontal="center" vertical="center" wrapText="1"/>
    </xf>
    <xf numFmtId="178" fontId="15" fillId="2" borderId="4" xfId="0" applyNumberFormat="1" applyFont="1" applyFill="1" applyBorder="1" applyAlignment="1">
      <alignment horizontal="center" vertical="center" wrapText="1"/>
    </xf>
    <xf numFmtId="2" fontId="33" fillId="2" borderId="3" xfId="0" applyNumberFormat="1" applyFont="1" applyFill="1" applyBorder="1" applyAlignment="1">
      <alignment horizontal="center" vertical="center" wrapText="1"/>
    </xf>
    <xf numFmtId="2" fontId="33" fillId="2" borderId="5" xfId="0" applyNumberFormat="1" applyFont="1" applyFill="1" applyBorder="1" applyAlignment="1">
      <alignment horizontal="center" vertical="center" wrapText="1"/>
    </xf>
    <xf numFmtId="2" fontId="33" fillId="2" borderId="4" xfId="0" applyNumberFormat="1" applyFont="1" applyFill="1" applyBorder="1" applyAlignment="1">
      <alignment horizontal="center" vertical="center" wrapText="1"/>
    </xf>
    <xf numFmtId="0" fontId="33" fillId="2" borderId="3" xfId="0" applyFont="1" applyFill="1" applyBorder="1" applyAlignment="1">
      <alignment horizontal="center" vertical="center" wrapText="1"/>
    </xf>
    <xf numFmtId="0" fontId="33" fillId="2" borderId="5"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8" xfId="0" applyFont="1" applyFill="1" applyBorder="1" applyAlignment="1">
      <alignment horizontal="center" vertical="center" wrapText="1"/>
    </xf>
    <xf numFmtId="0" fontId="33" fillId="2" borderId="1" xfId="0" applyFont="1" applyFill="1" applyBorder="1" applyAlignment="1">
      <alignment horizontal="center" vertical="center" wrapText="1"/>
    </xf>
    <xf numFmtId="192" fontId="12" fillId="2" borderId="3" xfId="0" applyNumberFormat="1" applyFont="1" applyFill="1" applyBorder="1" applyAlignment="1">
      <alignment horizontal="center" vertical="center"/>
    </xf>
    <xf numFmtId="192" fontId="12" fillId="2" borderId="5" xfId="0" applyNumberFormat="1" applyFont="1" applyFill="1" applyBorder="1" applyAlignment="1">
      <alignment horizontal="center" vertical="center"/>
    </xf>
    <xf numFmtId="192" fontId="12" fillId="2" borderId="4" xfId="0" applyNumberFormat="1" applyFont="1" applyFill="1" applyBorder="1" applyAlignment="1">
      <alignment horizontal="center" vertical="center"/>
    </xf>
    <xf numFmtId="193" fontId="12" fillId="2" borderId="3" xfId="0" applyNumberFormat="1" applyFont="1" applyFill="1" applyBorder="1" applyAlignment="1">
      <alignment horizontal="center" vertical="center"/>
    </xf>
    <xf numFmtId="193" fontId="12" fillId="2" borderId="5" xfId="0" applyNumberFormat="1" applyFont="1" applyFill="1" applyBorder="1" applyAlignment="1">
      <alignment horizontal="center" vertical="center"/>
    </xf>
    <xf numFmtId="193" fontId="12" fillId="2" borderId="4" xfId="0" applyNumberFormat="1" applyFont="1" applyFill="1" applyBorder="1" applyAlignment="1">
      <alignment horizontal="center" vertical="center"/>
    </xf>
    <xf numFmtId="2" fontId="15" fillId="2" borderId="3" xfId="2" applyNumberFormat="1" applyFont="1" applyFill="1" applyBorder="1" applyAlignment="1">
      <alignment horizontal="center" vertical="center" wrapText="1"/>
    </xf>
    <xf numFmtId="2" fontId="15" fillId="2" borderId="5" xfId="2" applyNumberFormat="1" applyFont="1" applyFill="1" applyBorder="1" applyAlignment="1">
      <alignment horizontal="center" vertical="center" wrapText="1"/>
    </xf>
    <xf numFmtId="2" fontId="15" fillId="2" borderId="4" xfId="2" applyNumberFormat="1" applyFont="1" applyFill="1" applyBorder="1" applyAlignment="1">
      <alignment horizontal="center" vertical="center" wrapText="1"/>
    </xf>
    <xf numFmtId="0" fontId="15" fillId="2" borderId="3" xfId="2" applyFont="1" applyFill="1" applyBorder="1" applyAlignment="1">
      <alignment horizontal="center" vertical="center" wrapText="1"/>
    </xf>
    <xf numFmtId="0" fontId="15" fillId="2" borderId="5" xfId="2" applyFont="1" applyFill="1" applyBorder="1" applyAlignment="1">
      <alignment horizontal="center" vertical="center" wrapText="1"/>
    </xf>
    <xf numFmtId="0" fontId="15" fillId="2" borderId="4" xfId="2" applyFont="1" applyFill="1" applyBorder="1" applyAlignment="1">
      <alignment horizontal="center" vertical="center" wrapText="1"/>
    </xf>
    <xf numFmtId="179" fontId="15" fillId="2" borderId="3" xfId="0" applyNumberFormat="1" applyFont="1" applyFill="1" applyBorder="1" applyAlignment="1">
      <alignment horizontal="center" vertical="center" wrapText="1"/>
    </xf>
    <xf numFmtId="0" fontId="33" fillId="2" borderId="8" xfId="0" applyFont="1" applyFill="1" applyBorder="1" applyAlignment="1">
      <alignment horizontal="center" vertical="center" wrapText="1"/>
    </xf>
    <xf numFmtId="178" fontId="43" fillId="6" borderId="3" xfId="10" applyNumberFormat="1" applyFont="1" applyFill="1" applyBorder="1" applyAlignment="1">
      <alignment horizontal="center" vertical="center"/>
    </xf>
    <xf numFmtId="178" fontId="43" fillId="6" borderId="5" xfId="10" applyNumberFormat="1" applyFont="1" applyFill="1" applyBorder="1" applyAlignment="1">
      <alignment horizontal="center" vertical="center"/>
    </xf>
    <xf numFmtId="178" fontId="43" fillId="6" borderId="4" xfId="10" applyNumberFormat="1" applyFont="1" applyFill="1" applyBorder="1" applyAlignment="1">
      <alignment horizontal="center" vertical="center"/>
    </xf>
    <xf numFmtId="2" fontId="33" fillId="2" borderId="1" xfId="0" applyNumberFormat="1" applyFont="1" applyFill="1" applyBorder="1" applyAlignment="1">
      <alignment horizontal="center" vertical="center" wrapText="1"/>
    </xf>
    <xf numFmtId="0" fontId="33" fillId="2" borderId="3" xfId="0" applyNumberFormat="1" applyFont="1" applyFill="1" applyBorder="1" applyAlignment="1">
      <alignment horizontal="center" vertical="center" wrapText="1"/>
    </xf>
    <xf numFmtId="0" fontId="33" fillId="2" borderId="5" xfId="0" applyNumberFormat="1" applyFont="1" applyFill="1" applyBorder="1" applyAlignment="1">
      <alignment horizontal="center" vertical="center" wrapText="1"/>
    </xf>
    <xf numFmtId="0" fontId="33" fillId="2" borderId="4" xfId="0" applyNumberFormat="1" applyFont="1" applyFill="1" applyBorder="1" applyAlignment="1">
      <alignment horizontal="center" vertical="center" wrapText="1"/>
    </xf>
    <xf numFmtId="176" fontId="33" fillId="2" borderId="3" xfId="1" applyNumberFormat="1" applyFont="1" applyFill="1" applyBorder="1" applyAlignment="1">
      <alignment horizontal="center" vertical="center" wrapText="1"/>
    </xf>
    <xf numFmtId="176" fontId="33" fillId="2" borderId="5" xfId="1" applyNumberFormat="1" applyFont="1" applyFill="1" applyBorder="1" applyAlignment="1">
      <alignment horizontal="center" vertical="center" wrapText="1"/>
    </xf>
    <xf numFmtId="176" fontId="33" fillId="2" borderId="4" xfId="1" applyNumberFormat="1" applyFont="1" applyFill="1" applyBorder="1" applyAlignment="1">
      <alignment horizontal="center" vertical="center" wrapText="1"/>
    </xf>
    <xf numFmtId="0" fontId="15" fillId="2" borderId="1" xfId="0" applyFont="1" applyFill="1" applyBorder="1" applyAlignment="1">
      <alignment horizontal="center" vertical="center" wrapText="1"/>
    </xf>
    <xf numFmtId="177" fontId="15" fillId="2" borderId="8" xfId="0" applyNumberFormat="1" applyFont="1" applyFill="1" applyBorder="1" applyAlignment="1">
      <alignment horizontal="center" vertical="center" wrapText="1"/>
    </xf>
    <xf numFmtId="177" fontId="15" fillId="2" borderId="1" xfId="0" applyNumberFormat="1" applyFont="1" applyFill="1" applyBorder="1" applyAlignment="1">
      <alignment horizontal="center" vertical="center" wrapText="1"/>
    </xf>
    <xf numFmtId="178" fontId="12" fillId="2" borderId="3" xfId="0" applyNumberFormat="1" applyFont="1" applyFill="1" applyBorder="1" applyAlignment="1" applyProtection="1">
      <alignment horizontal="center" vertical="center"/>
      <protection locked="0"/>
    </xf>
    <xf numFmtId="178" fontId="12" fillId="2" borderId="5" xfId="0" applyNumberFormat="1" applyFont="1" applyFill="1" applyBorder="1" applyAlignment="1" applyProtection="1">
      <alignment horizontal="center" vertical="center"/>
      <protection locked="0"/>
    </xf>
    <xf numFmtId="178" fontId="12" fillId="2" borderId="4" xfId="0" applyNumberFormat="1" applyFont="1" applyFill="1" applyBorder="1" applyAlignment="1" applyProtection="1">
      <alignment horizontal="center" vertical="center"/>
      <protection locked="0"/>
    </xf>
    <xf numFmtId="2" fontId="15" fillId="2" borderId="1" xfId="0" applyNumberFormat="1" applyFont="1" applyFill="1" applyBorder="1" applyAlignment="1">
      <alignment horizontal="center" vertical="center" wrapText="1"/>
    </xf>
    <xf numFmtId="178" fontId="34" fillId="2" borderId="3" xfId="0" applyNumberFormat="1" applyFont="1" applyFill="1" applyBorder="1" applyAlignment="1">
      <alignment horizontal="center" vertical="center" wrapText="1"/>
    </xf>
    <xf numFmtId="0" fontId="34" fillId="2" borderId="1" xfId="0" applyFont="1" applyFill="1" applyBorder="1" applyAlignment="1">
      <alignment horizontal="center" vertical="center" wrapText="1"/>
    </xf>
    <xf numFmtId="178" fontId="12" fillId="2" borderId="3" xfId="0" applyNumberFormat="1" applyFont="1" applyFill="1" applyBorder="1" applyAlignment="1" applyProtection="1">
      <alignment horizontal="center" vertical="center"/>
    </xf>
    <xf numFmtId="178" fontId="12" fillId="2" borderId="5" xfId="0" applyNumberFormat="1" applyFont="1" applyFill="1" applyBorder="1" applyAlignment="1" applyProtection="1">
      <alignment horizontal="center" vertical="center"/>
    </xf>
    <xf numFmtId="178" fontId="12" fillId="2" borderId="4" xfId="0" applyNumberFormat="1" applyFont="1" applyFill="1" applyBorder="1" applyAlignment="1" applyProtection="1">
      <alignment horizontal="center" vertical="center"/>
    </xf>
    <xf numFmtId="182" fontId="15" fillId="2" borderId="3" xfId="0" applyNumberFormat="1" applyFont="1" applyFill="1" applyBorder="1" applyAlignment="1">
      <alignment horizontal="center" vertical="center" wrapText="1"/>
    </xf>
    <xf numFmtId="2" fontId="15" fillId="2" borderId="1" xfId="0" applyNumberFormat="1" applyFont="1" applyFill="1" applyBorder="1" applyAlignment="1">
      <alignment horizontal="right" vertical="center" wrapText="1"/>
    </xf>
    <xf numFmtId="176" fontId="15" fillId="2" borderId="1" xfId="0" applyNumberFormat="1" applyFont="1" applyFill="1" applyBorder="1" applyAlignment="1">
      <alignment horizontal="right" vertical="center" wrapText="1"/>
    </xf>
    <xf numFmtId="2" fontId="37" fillId="2" borderId="1" xfId="0" applyNumberFormat="1" applyFont="1" applyFill="1" applyBorder="1" applyAlignment="1">
      <alignment horizontal="center" vertical="center" wrapText="1"/>
    </xf>
    <xf numFmtId="178" fontId="9" fillId="2" borderId="3" xfId="0" applyNumberFormat="1" applyFont="1" applyFill="1" applyBorder="1" applyAlignment="1" applyProtection="1">
      <alignment horizontal="center" vertical="center"/>
      <protection locked="0"/>
    </xf>
    <xf numFmtId="178" fontId="9" fillId="2" borderId="5" xfId="0" applyNumberFormat="1" applyFont="1" applyFill="1" applyBorder="1" applyAlignment="1" applyProtection="1">
      <alignment horizontal="center" vertical="center"/>
      <protection locked="0"/>
    </xf>
    <xf numFmtId="178" fontId="9" fillId="2" borderId="4" xfId="0" applyNumberFormat="1" applyFont="1" applyFill="1" applyBorder="1" applyAlignment="1" applyProtection="1">
      <alignment horizontal="center" vertical="center"/>
      <protection locked="0"/>
    </xf>
    <xf numFmtId="176" fontId="15" fillId="2" borderId="1" xfId="0" applyNumberFormat="1" applyFont="1" applyFill="1" applyBorder="1" applyAlignment="1">
      <alignment horizontal="center" vertical="center" wrapText="1"/>
    </xf>
    <xf numFmtId="0" fontId="15" fillId="0" borderId="3" xfId="0" applyNumberFormat="1" applyFont="1" applyFill="1" applyBorder="1" applyAlignment="1">
      <alignment horizontal="center" vertical="center" wrapText="1"/>
    </xf>
    <xf numFmtId="0" fontId="15" fillId="0" borderId="5" xfId="0" applyNumberFormat="1" applyFont="1" applyFill="1" applyBorder="1" applyAlignment="1">
      <alignment horizontal="center" vertical="center" wrapText="1"/>
    </xf>
    <xf numFmtId="0" fontId="15" fillId="0" borderId="4" xfId="0" applyNumberFormat="1" applyFont="1" applyFill="1" applyBorder="1" applyAlignment="1">
      <alignment horizontal="center" vertical="center" wrapText="1"/>
    </xf>
    <xf numFmtId="176" fontId="15" fillId="0" borderId="3" xfId="1" applyNumberFormat="1" applyFont="1" applyFill="1" applyBorder="1" applyAlignment="1">
      <alignment horizontal="center" vertical="center" wrapText="1"/>
    </xf>
    <xf numFmtId="176" fontId="15" fillId="0" borderId="5" xfId="1" applyNumberFormat="1" applyFont="1" applyFill="1" applyBorder="1" applyAlignment="1">
      <alignment horizontal="center" vertical="center" wrapText="1"/>
    </xf>
    <xf numFmtId="176" fontId="15" fillId="0" borderId="4" xfId="1" applyNumberFormat="1" applyFont="1" applyFill="1" applyBorder="1" applyAlignment="1">
      <alignment horizontal="center" vertical="center" wrapText="1"/>
    </xf>
    <xf numFmtId="0" fontId="37" fillId="0" borderId="3" xfId="0" applyNumberFormat="1" applyFont="1" applyFill="1" applyBorder="1" applyAlignment="1">
      <alignment horizontal="center" vertical="center" wrapText="1"/>
    </xf>
    <xf numFmtId="0" fontId="37" fillId="0" borderId="5" xfId="0" applyNumberFormat="1" applyFont="1" applyFill="1" applyBorder="1" applyAlignment="1">
      <alignment horizontal="center" vertical="center" wrapText="1"/>
    </xf>
    <xf numFmtId="0" fontId="37" fillId="0" borderId="4" xfId="0" applyNumberFormat="1" applyFont="1" applyFill="1" applyBorder="1" applyAlignment="1">
      <alignment horizontal="center" vertical="center" wrapText="1"/>
    </xf>
    <xf numFmtId="176" fontId="37" fillId="0" borderId="3" xfId="1" applyNumberFormat="1" applyFont="1" applyFill="1" applyBorder="1" applyAlignment="1">
      <alignment horizontal="center" vertical="center" wrapText="1"/>
    </xf>
    <xf numFmtId="176" fontId="37" fillId="0" borderId="5" xfId="1" applyNumberFormat="1" applyFont="1" applyFill="1" applyBorder="1" applyAlignment="1">
      <alignment horizontal="center" vertical="center" wrapText="1"/>
    </xf>
    <xf numFmtId="176" fontId="37" fillId="0" borderId="4" xfId="1" applyNumberFormat="1" applyFont="1" applyFill="1" applyBorder="1" applyAlignment="1">
      <alignment horizontal="center" vertical="center" wrapText="1"/>
    </xf>
    <xf numFmtId="0" fontId="15" fillId="0" borderId="3" xfId="0" applyNumberFormat="1" applyFont="1" applyBorder="1" applyAlignment="1">
      <alignment horizontal="center" vertical="center" wrapText="1"/>
    </xf>
    <xf numFmtId="0" fontId="15" fillId="0" borderId="4" xfId="0" applyNumberFormat="1" applyFont="1" applyBorder="1" applyAlignment="1">
      <alignment horizontal="center" vertical="center" wrapText="1"/>
    </xf>
    <xf numFmtId="176" fontId="15" fillId="0" borderId="3" xfId="1" applyNumberFormat="1" applyFont="1" applyBorder="1" applyAlignment="1">
      <alignment horizontal="center" vertical="center" wrapText="1"/>
    </xf>
    <xf numFmtId="176" fontId="15" fillId="0" borderId="4" xfId="1" applyNumberFormat="1" applyFont="1" applyBorder="1" applyAlignment="1">
      <alignment horizontal="center" vertical="center" wrapText="1"/>
    </xf>
    <xf numFmtId="0" fontId="15" fillId="0" borderId="5" xfId="0" applyNumberFormat="1" applyFont="1" applyBorder="1" applyAlignment="1">
      <alignment horizontal="center" vertical="center" wrapText="1"/>
    </xf>
    <xf numFmtId="176" fontId="15" fillId="0" borderId="5" xfId="1" applyNumberFormat="1" applyFont="1" applyBorder="1" applyAlignment="1">
      <alignment horizontal="center" vertical="center" wrapText="1"/>
    </xf>
    <xf numFmtId="191" fontId="15" fillId="0" borderId="3" xfId="0" applyNumberFormat="1" applyFont="1" applyBorder="1" applyAlignment="1">
      <alignment horizontal="center" vertical="center" wrapText="1"/>
    </xf>
    <xf numFmtId="191" fontId="15" fillId="0" borderId="5" xfId="0" applyNumberFormat="1" applyFont="1" applyBorder="1" applyAlignment="1">
      <alignment horizontal="center" vertical="center" wrapText="1"/>
    </xf>
    <xf numFmtId="191" fontId="15" fillId="0" borderId="4" xfId="0" applyNumberFormat="1" applyFont="1" applyBorder="1" applyAlignment="1">
      <alignment horizontal="center" vertical="center" wrapText="1"/>
    </xf>
    <xf numFmtId="177" fontId="15" fillId="0" borderId="3" xfId="0" applyNumberFormat="1" applyFont="1" applyBorder="1" applyAlignment="1">
      <alignment horizontal="center" vertical="center" wrapText="1"/>
    </xf>
    <xf numFmtId="2" fontId="15" fillId="0" borderId="3" xfId="0" applyNumberFormat="1" applyFont="1" applyBorder="1" applyAlignment="1">
      <alignment horizontal="center" vertical="center" wrapText="1"/>
    </xf>
    <xf numFmtId="2" fontId="15" fillId="0" borderId="5" xfId="0" applyNumberFormat="1" applyFont="1" applyBorder="1" applyAlignment="1">
      <alignment horizontal="center" vertical="center" wrapText="1"/>
    </xf>
    <xf numFmtId="2" fontId="15" fillId="0" borderId="4" xfId="0" applyNumberFormat="1" applyFont="1" applyBorder="1" applyAlignment="1">
      <alignment horizontal="center" vertical="center" wrapText="1"/>
    </xf>
    <xf numFmtId="2"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vertical="center" wrapText="1"/>
    </xf>
    <xf numFmtId="2" fontId="15" fillId="0" borderId="1" xfId="0" applyNumberFormat="1" applyFont="1" applyFill="1" applyBorder="1" applyAlignment="1">
      <alignment horizontal="left" vertical="center" wrapText="1"/>
    </xf>
    <xf numFmtId="0" fontId="15" fillId="0" borderId="8" xfId="0" applyFont="1" applyFill="1" applyBorder="1" applyAlignment="1">
      <alignment horizontal="center" vertical="center" wrapText="1"/>
    </xf>
    <xf numFmtId="0" fontId="15" fillId="0" borderId="1" xfId="0" applyFont="1" applyFill="1" applyBorder="1" applyAlignment="1">
      <alignment horizontal="left" vertical="center" wrapText="1"/>
    </xf>
    <xf numFmtId="177" fontId="44" fillId="3" borderId="3" xfId="0" applyNumberFormat="1" applyFont="1" applyFill="1" applyBorder="1" applyAlignment="1">
      <alignment horizontal="center" vertical="center" wrapText="1"/>
    </xf>
    <xf numFmtId="177" fontId="44" fillId="3" borderId="4" xfId="0" applyNumberFormat="1" applyFont="1" applyFill="1" applyBorder="1" applyAlignment="1">
      <alignment horizontal="center" vertical="center" wrapText="1"/>
    </xf>
    <xf numFmtId="177" fontId="44" fillId="3" borderId="5" xfId="0" applyNumberFormat="1" applyFont="1" applyFill="1" applyBorder="1" applyAlignment="1">
      <alignment horizontal="center" vertical="center" wrapText="1"/>
    </xf>
    <xf numFmtId="0" fontId="15" fillId="3" borderId="1" xfId="0" applyFont="1" applyFill="1" applyBorder="1" applyAlignment="1">
      <alignment horizontal="center" vertical="center" wrapText="1"/>
    </xf>
    <xf numFmtId="178" fontId="15" fillId="0" borderId="3" xfId="0" applyNumberFormat="1" applyFont="1" applyFill="1" applyBorder="1" applyAlignment="1">
      <alignment horizontal="center" vertical="center" wrapText="1"/>
    </xf>
    <xf numFmtId="177" fontId="15" fillId="0" borderId="1" xfId="0" applyNumberFormat="1" applyFont="1" applyFill="1" applyBorder="1" applyAlignment="1">
      <alignment horizontal="left" vertical="center" wrapText="1"/>
    </xf>
    <xf numFmtId="0" fontId="44" fillId="3" borderId="3" xfId="0" applyFont="1" applyFill="1" applyBorder="1" applyAlignment="1">
      <alignment horizontal="center" vertical="center" wrapText="1"/>
    </xf>
    <xf numFmtId="0" fontId="44" fillId="3" borderId="4" xfId="0" applyFont="1" applyFill="1" applyBorder="1" applyAlignment="1">
      <alignment horizontal="center" vertical="center" wrapText="1"/>
    </xf>
    <xf numFmtId="177" fontId="10" fillId="3" borderId="3" xfId="0" applyNumberFormat="1" applyFont="1" applyFill="1" applyBorder="1" applyAlignment="1">
      <alignment horizontal="center" vertical="center" wrapText="1"/>
    </xf>
    <xf numFmtId="177" fontId="10" fillId="3" borderId="4" xfId="0" applyNumberFormat="1" applyFont="1" applyFill="1" applyBorder="1" applyAlignment="1">
      <alignment horizontal="center" vertical="center" wrapText="1"/>
    </xf>
    <xf numFmtId="2" fontId="15" fillId="0" borderId="3" xfId="3" applyNumberFormat="1" applyFont="1" applyFill="1" applyBorder="1" applyAlignment="1">
      <alignment horizontal="center" vertical="center" wrapText="1"/>
    </xf>
    <xf numFmtId="2" fontId="15" fillId="0" borderId="4" xfId="3" applyNumberFormat="1" applyFont="1" applyFill="1" applyBorder="1" applyAlignment="1">
      <alignment horizontal="center" vertical="center" wrapText="1"/>
    </xf>
    <xf numFmtId="2" fontId="15" fillId="0" borderId="3" xfId="3" applyNumberFormat="1" applyFont="1" applyFill="1" applyBorder="1" applyAlignment="1">
      <alignment horizontal="left" vertical="center" wrapText="1"/>
    </xf>
    <xf numFmtId="2" fontId="15" fillId="0" borderId="4" xfId="3" applyNumberFormat="1" applyFont="1" applyFill="1" applyBorder="1" applyAlignment="1">
      <alignment horizontal="left" vertical="center" wrapText="1"/>
    </xf>
    <xf numFmtId="185" fontId="15" fillId="0" borderId="3" xfId="0" applyNumberFormat="1" applyFont="1" applyBorder="1" applyAlignment="1">
      <alignment horizontal="center" vertical="center" wrapText="1"/>
    </xf>
    <xf numFmtId="185" fontId="15" fillId="0" borderId="5" xfId="0" applyNumberFormat="1" applyFont="1" applyBorder="1" applyAlignment="1">
      <alignment horizontal="center" vertical="center" wrapText="1"/>
    </xf>
    <xf numFmtId="185" fontId="15" fillId="0" borderId="4" xfId="0" applyNumberFormat="1" applyFont="1" applyBorder="1" applyAlignment="1">
      <alignment horizontal="center" vertical="center" wrapText="1"/>
    </xf>
    <xf numFmtId="0" fontId="15" fillId="0" borderId="3" xfId="3" applyFont="1" applyFill="1" applyBorder="1" applyAlignment="1">
      <alignment vertical="center" wrapText="1"/>
    </xf>
    <xf numFmtId="0" fontId="15" fillId="0" borderId="4" xfId="3" applyFont="1" applyFill="1" applyBorder="1" applyAlignment="1">
      <alignment vertical="center" wrapText="1"/>
    </xf>
    <xf numFmtId="178" fontId="15" fillId="0" borderId="1" xfId="0" applyNumberFormat="1" applyFont="1" applyFill="1" applyBorder="1" applyAlignment="1">
      <alignment horizontal="center" vertical="center" wrapText="1"/>
    </xf>
    <xf numFmtId="2" fontId="34" fillId="0" borderId="3" xfId="0" applyNumberFormat="1" applyFont="1" applyFill="1" applyBorder="1" applyAlignment="1">
      <alignment horizontal="center" vertical="center" wrapText="1"/>
    </xf>
    <xf numFmtId="2" fontId="34" fillId="0" borderId="5" xfId="0" applyNumberFormat="1" applyFont="1" applyFill="1" applyBorder="1" applyAlignment="1">
      <alignment horizontal="center" vertical="center" wrapText="1"/>
    </xf>
    <xf numFmtId="2" fontId="34" fillId="0" borderId="4" xfId="0" applyNumberFormat="1" applyFont="1" applyFill="1" applyBorder="1" applyAlignment="1">
      <alignment horizontal="center" vertical="center" wrapText="1"/>
    </xf>
    <xf numFmtId="178" fontId="34" fillId="0" borderId="3" xfId="0" applyNumberFormat="1" applyFont="1" applyFill="1" applyBorder="1" applyAlignment="1">
      <alignment horizontal="center" vertical="center" wrapText="1"/>
    </xf>
    <xf numFmtId="0" fontId="34" fillId="0" borderId="5" xfId="0" applyNumberFormat="1" applyFont="1" applyFill="1" applyBorder="1" applyAlignment="1">
      <alignment horizontal="center" vertical="center" wrapText="1"/>
    </xf>
    <xf numFmtId="0" fontId="34" fillId="0" borderId="4" xfId="0" applyNumberFormat="1" applyFont="1" applyFill="1" applyBorder="1" applyAlignment="1">
      <alignment horizontal="center" vertical="center" wrapText="1"/>
    </xf>
    <xf numFmtId="176" fontId="34" fillId="0" borderId="3" xfId="1" applyNumberFormat="1" applyFont="1" applyFill="1" applyBorder="1" applyAlignment="1">
      <alignment horizontal="center" vertical="center" wrapText="1"/>
    </xf>
    <xf numFmtId="176" fontId="34" fillId="0" borderId="5" xfId="1" applyNumberFormat="1" applyFont="1" applyFill="1" applyBorder="1" applyAlignment="1">
      <alignment horizontal="center" vertical="center" wrapText="1"/>
    </xf>
    <xf numFmtId="176" fontId="34" fillId="0" borderId="4" xfId="1" applyNumberFormat="1" applyFont="1" applyFill="1" applyBorder="1" applyAlignment="1">
      <alignment horizontal="center" vertical="center" wrapText="1"/>
    </xf>
    <xf numFmtId="177" fontId="34" fillId="0" borderId="12" xfId="0" applyNumberFormat="1" applyFont="1" applyFill="1" applyBorder="1" applyAlignment="1">
      <alignment horizontal="left" vertical="center" wrapText="1"/>
    </xf>
    <xf numFmtId="177" fontId="34" fillId="0" borderId="9" xfId="0" applyNumberFormat="1" applyFont="1" applyFill="1" applyBorder="1" applyAlignment="1">
      <alignment horizontal="left" vertical="center" wrapText="1"/>
    </xf>
    <xf numFmtId="177" fontId="34" fillId="0" borderId="14" xfId="0" applyNumberFormat="1" applyFont="1" applyFill="1" applyBorder="1" applyAlignment="1">
      <alignment horizontal="left" vertical="center" wrapText="1"/>
    </xf>
    <xf numFmtId="0" fontId="34" fillId="0" borderId="3" xfId="0" applyFont="1" applyFill="1" applyBorder="1" applyAlignment="1">
      <alignment horizontal="left" vertical="center" wrapText="1"/>
    </xf>
    <xf numFmtId="0" fontId="34" fillId="0" borderId="5" xfId="0" applyFont="1" applyFill="1" applyBorder="1" applyAlignment="1">
      <alignment horizontal="left" vertical="center" wrapText="1"/>
    </xf>
    <xf numFmtId="0" fontId="34" fillId="0" borderId="4" xfId="0" applyFont="1" applyFill="1" applyBorder="1" applyAlignment="1">
      <alignment horizontal="left" vertical="center" wrapText="1"/>
    </xf>
    <xf numFmtId="178" fontId="11" fillId="7" borderId="3" xfId="0" applyNumberFormat="1" applyFont="1" applyFill="1" applyBorder="1" applyAlignment="1" applyProtection="1">
      <alignment horizontal="center" vertical="center" wrapText="1"/>
      <protection locked="0"/>
    </xf>
    <xf numFmtId="178" fontId="11" fillId="7" borderId="5" xfId="0" applyNumberFormat="1" applyFont="1" applyFill="1" applyBorder="1" applyAlignment="1" applyProtection="1">
      <alignment horizontal="center" vertical="center" wrapText="1"/>
      <protection locked="0"/>
    </xf>
    <xf numFmtId="178" fontId="11" fillId="7" borderId="4" xfId="0" applyNumberFormat="1" applyFont="1" applyFill="1" applyBorder="1" applyAlignment="1" applyProtection="1">
      <alignment horizontal="center" vertical="center" wrapText="1"/>
      <protection locked="0"/>
    </xf>
    <xf numFmtId="193" fontId="11" fillId="7" borderId="3" xfId="0" applyNumberFormat="1" applyFont="1" applyFill="1" applyBorder="1" applyAlignment="1">
      <alignment horizontal="center" vertical="center" wrapText="1"/>
    </xf>
    <xf numFmtId="193" fontId="11" fillId="7" borderId="5" xfId="0" applyNumberFormat="1" applyFont="1" applyFill="1" applyBorder="1" applyAlignment="1">
      <alignment horizontal="center" vertical="center" wrapText="1"/>
    </xf>
    <xf numFmtId="193" fontId="11" fillId="7" borderId="4" xfId="0" applyNumberFormat="1" applyFont="1" applyFill="1" applyBorder="1" applyAlignment="1">
      <alignment horizontal="center" vertical="center" wrapText="1"/>
    </xf>
    <xf numFmtId="0" fontId="34" fillId="0" borderId="3" xfId="0" applyFont="1" applyFill="1" applyBorder="1" applyAlignment="1">
      <alignment horizontal="center" vertical="center" wrapText="1"/>
    </xf>
    <xf numFmtId="0" fontId="34" fillId="0" borderId="5" xfId="0" applyFont="1" applyFill="1" applyBorder="1" applyAlignment="1">
      <alignment horizontal="center" vertical="center" wrapText="1"/>
    </xf>
    <xf numFmtId="0" fontId="34" fillId="0" borderId="4" xfId="0" applyFont="1" applyFill="1" applyBorder="1" applyAlignment="1">
      <alignment horizontal="center" vertical="center" wrapText="1"/>
    </xf>
    <xf numFmtId="177" fontId="34" fillId="0" borderId="12" xfId="7" applyNumberFormat="1" applyFont="1" applyFill="1" applyBorder="1" applyAlignment="1" applyProtection="1">
      <alignment horizontal="center" vertical="center" wrapText="1"/>
      <protection locked="0"/>
    </xf>
    <xf numFmtId="177" fontId="34" fillId="0" borderId="9" xfId="7" applyNumberFormat="1" applyFont="1" applyFill="1" applyBorder="1" applyAlignment="1" applyProtection="1">
      <alignment horizontal="center" vertical="center" wrapText="1"/>
      <protection locked="0"/>
    </xf>
    <xf numFmtId="177" fontId="34" fillId="0" borderId="14" xfId="7" applyNumberFormat="1" applyFont="1" applyFill="1" applyBorder="1" applyAlignment="1" applyProtection="1">
      <alignment horizontal="center" vertical="center" wrapText="1"/>
      <protection locked="0"/>
    </xf>
    <xf numFmtId="178" fontId="34" fillId="0" borderId="3" xfId="7" applyNumberFormat="1" applyFont="1" applyFill="1" applyBorder="1" applyAlignment="1" applyProtection="1">
      <alignment horizontal="center" vertical="center" wrapText="1"/>
      <protection locked="0"/>
    </xf>
    <xf numFmtId="178" fontId="34" fillId="0" borderId="5" xfId="7" applyNumberFormat="1" applyFont="1" applyFill="1" applyBorder="1" applyAlignment="1" applyProtection="1">
      <alignment horizontal="center" vertical="center" wrapText="1"/>
      <protection locked="0"/>
    </xf>
    <xf numFmtId="178" fontId="34" fillId="0" borderId="4" xfId="7" applyNumberFormat="1" applyFont="1" applyFill="1" applyBorder="1" applyAlignment="1" applyProtection="1">
      <alignment horizontal="center" vertical="center" wrapText="1"/>
      <protection locked="0"/>
    </xf>
    <xf numFmtId="177" fontId="11" fillId="7" borderId="3" xfId="11" applyNumberFormat="1" applyFont="1" applyFill="1" applyBorder="1" applyAlignment="1" applyProtection="1">
      <alignment horizontal="center" vertical="center" wrapText="1"/>
      <protection locked="0"/>
    </xf>
    <xf numFmtId="177" fontId="11" fillId="7" borderId="5" xfId="11" applyNumberFormat="1" applyFont="1" applyFill="1" applyBorder="1" applyAlignment="1" applyProtection="1">
      <alignment horizontal="center" vertical="center" wrapText="1"/>
      <protection locked="0"/>
    </xf>
    <xf numFmtId="177" fontId="11" fillId="7" borderId="4" xfId="11" applyNumberFormat="1" applyFont="1" applyFill="1" applyBorder="1" applyAlignment="1" applyProtection="1">
      <alignment horizontal="center" vertical="center" wrapText="1"/>
      <protection locked="0"/>
    </xf>
    <xf numFmtId="177" fontId="34" fillId="0" borderId="12" xfId="0" applyNumberFormat="1" applyFont="1" applyFill="1" applyBorder="1" applyAlignment="1">
      <alignment horizontal="center" vertical="center" wrapText="1"/>
    </xf>
    <xf numFmtId="177" fontId="34" fillId="0" borderId="9" xfId="0" applyNumberFormat="1" applyFont="1" applyFill="1" applyBorder="1" applyAlignment="1">
      <alignment horizontal="center" vertical="center" wrapText="1"/>
    </xf>
    <xf numFmtId="177" fontId="34" fillId="0" borderId="14" xfId="0" applyNumberFormat="1" applyFont="1" applyFill="1" applyBorder="1" applyAlignment="1">
      <alignment horizontal="center" vertical="center" wrapText="1"/>
    </xf>
    <xf numFmtId="178" fontId="40" fillId="7" borderId="3" xfId="0" applyNumberFormat="1" applyFont="1" applyFill="1" applyBorder="1" applyAlignment="1">
      <alignment horizontal="center" vertical="center"/>
    </xf>
    <xf numFmtId="178" fontId="40" fillId="7" borderId="5" xfId="0" applyNumberFormat="1" applyFont="1" applyFill="1" applyBorder="1" applyAlignment="1">
      <alignment horizontal="center" vertical="center"/>
    </xf>
    <xf numFmtId="178" fontId="40" fillId="7" borderId="4" xfId="0" applyNumberFormat="1" applyFont="1" applyFill="1" applyBorder="1" applyAlignment="1">
      <alignment horizontal="center" vertical="center"/>
    </xf>
    <xf numFmtId="2" fontId="34" fillId="0" borderId="3" xfId="0" applyNumberFormat="1" applyFont="1" applyFill="1" applyBorder="1" applyAlignment="1">
      <alignment horizontal="center" vertical="center"/>
    </xf>
    <xf numFmtId="2" fontId="34" fillId="0" borderId="5" xfId="0" applyNumberFormat="1" applyFont="1" applyFill="1" applyBorder="1" applyAlignment="1">
      <alignment horizontal="center" vertical="center"/>
    </xf>
    <xf numFmtId="2" fontId="34" fillId="0" borderId="4" xfId="0" applyNumberFormat="1" applyFont="1" applyFill="1" applyBorder="1" applyAlignment="1">
      <alignment horizontal="center" vertical="center"/>
    </xf>
    <xf numFmtId="178" fontId="34" fillId="0" borderId="3" xfId="1" applyNumberFormat="1" applyFont="1" applyFill="1" applyBorder="1" applyAlignment="1">
      <alignment horizontal="center" vertical="center" wrapText="1"/>
    </xf>
    <xf numFmtId="0" fontId="34" fillId="0" borderId="5" xfId="1" applyNumberFormat="1" applyFont="1" applyFill="1" applyBorder="1" applyAlignment="1">
      <alignment horizontal="center" vertical="center" wrapText="1"/>
    </xf>
    <xf numFmtId="0" fontId="34" fillId="0" borderId="4" xfId="1" applyNumberFormat="1" applyFont="1" applyFill="1" applyBorder="1" applyAlignment="1">
      <alignment horizontal="center" vertical="center" wrapText="1"/>
    </xf>
    <xf numFmtId="178" fontId="40" fillId="7" borderId="3" xfId="0" applyNumberFormat="1" applyFont="1" applyFill="1" applyBorder="1" applyAlignment="1" applyProtection="1">
      <alignment horizontal="center" vertical="center" wrapText="1"/>
      <protection locked="0"/>
    </xf>
    <xf numFmtId="178" fontId="40" fillId="7" borderId="5" xfId="0" applyNumberFormat="1" applyFont="1" applyFill="1" applyBorder="1" applyAlignment="1" applyProtection="1">
      <alignment horizontal="center" vertical="center" wrapText="1"/>
      <protection locked="0"/>
    </xf>
    <xf numFmtId="178" fontId="40" fillId="7" borderId="4" xfId="0" applyNumberFormat="1" applyFont="1" applyFill="1" applyBorder="1" applyAlignment="1" applyProtection="1">
      <alignment horizontal="center" vertical="center" wrapText="1"/>
      <protection locked="0"/>
    </xf>
    <xf numFmtId="178" fontId="11" fillId="7" borderId="3" xfId="7" applyNumberFormat="1" applyFont="1" applyFill="1" applyBorder="1" applyAlignment="1" applyProtection="1">
      <alignment horizontal="center" vertical="center"/>
      <protection locked="0"/>
    </xf>
    <xf numFmtId="178" fontId="11" fillId="7" borderId="5" xfId="7" applyNumberFormat="1" applyFont="1" applyFill="1" applyBorder="1" applyAlignment="1" applyProtection="1">
      <alignment horizontal="center" vertical="center"/>
      <protection locked="0"/>
    </xf>
    <xf numFmtId="178" fontId="11" fillId="7" borderId="4" xfId="7" applyNumberFormat="1" applyFont="1" applyFill="1" applyBorder="1" applyAlignment="1" applyProtection="1">
      <alignment horizontal="center" vertical="center"/>
      <protection locked="0"/>
    </xf>
    <xf numFmtId="178" fontId="34" fillId="0" borderId="5" xfId="0" applyNumberFormat="1" applyFont="1" applyFill="1" applyBorder="1" applyAlignment="1">
      <alignment horizontal="center" vertical="center" wrapText="1"/>
    </xf>
    <xf numFmtId="178" fontId="34" fillId="0" borderId="4" xfId="0" applyNumberFormat="1" applyFont="1" applyFill="1" applyBorder="1" applyAlignment="1">
      <alignment horizontal="center" vertical="center" wrapText="1"/>
    </xf>
    <xf numFmtId="184" fontId="45" fillId="7" borderId="3" xfId="0" applyNumberFormat="1" applyFont="1" applyFill="1" applyBorder="1" applyAlignment="1">
      <alignment horizontal="center" vertical="center"/>
    </xf>
    <xf numFmtId="184" fontId="45" fillId="7" borderId="5" xfId="0" applyNumberFormat="1" applyFont="1" applyFill="1" applyBorder="1" applyAlignment="1">
      <alignment horizontal="center" vertical="center"/>
    </xf>
    <xf numFmtId="184" fontId="45" fillId="7" borderId="4" xfId="0" applyNumberFormat="1" applyFont="1" applyFill="1" applyBorder="1" applyAlignment="1">
      <alignment horizontal="center" vertical="center"/>
    </xf>
    <xf numFmtId="184" fontId="46" fillId="7" borderId="3" xfId="0" applyNumberFormat="1" applyFont="1" applyFill="1" applyBorder="1" applyAlignment="1">
      <alignment horizontal="center" vertical="center" wrapText="1"/>
    </xf>
    <xf numFmtId="184" fontId="46" fillId="7" borderId="5" xfId="0" applyNumberFormat="1" applyFont="1" applyFill="1" applyBorder="1" applyAlignment="1">
      <alignment horizontal="center" vertical="center" wrapText="1"/>
    </xf>
    <xf numFmtId="184" fontId="46" fillId="7" borderId="4" xfId="0" applyNumberFormat="1" applyFont="1" applyFill="1" applyBorder="1" applyAlignment="1">
      <alignment horizontal="center" vertical="center" wrapText="1"/>
    </xf>
    <xf numFmtId="178" fontId="34" fillId="0" borderId="3" xfId="7" applyNumberFormat="1" applyFont="1" applyFill="1" applyBorder="1" applyAlignment="1" applyProtection="1">
      <alignment horizontal="left" vertical="center" wrapText="1"/>
      <protection locked="0"/>
    </xf>
    <xf numFmtId="178" fontId="34" fillId="0" borderId="4" xfId="7" applyNumberFormat="1" applyFont="1" applyFill="1" applyBorder="1" applyAlignment="1" applyProtection="1">
      <alignment horizontal="left" vertical="center" wrapText="1"/>
      <protection locked="0"/>
    </xf>
    <xf numFmtId="178" fontId="47" fillId="7" borderId="3" xfId="0" applyNumberFormat="1" applyFont="1" applyFill="1" applyBorder="1" applyAlignment="1">
      <alignment horizontal="center" vertical="center"/>
    </xf>
    <xf numFmtId="178" fontId="47" fillId="7" borderId="4" xfId="0" applyNumberFormat="1" applyFont="1" applyFill="1" applyBorder="1" applyAlignment="1">
      <alignment horizontal="center" vertical="center"/>
    </xf>
    <xf numFmtId="0" fontId="47" fillId="7" borderId="3" xfId="0" applyFont="1" applyFill="1" applyBorder="1" applyAlignment="1">
      <alignment horizontal="center" vertical="center"/>
    </xf>
    <xf numFmtId="0" fontId="47" fillId="7" borderId="4" xfId="0" applyFont="1" applyFill="1" applyBorder="1" applyAlignment="1">
      <alignment horizontal="center" vertical="center"/>
    </xf>
    <xf numFmtId="178" fontId="41" fillId="7" borderId="3" xfId="0" applyNumberFormat="1" applyFont="1" applyFill="1" applyBorder="1" applyAlignment="1">
      <alignment horizontal="center" vertical="center" wrapText="1"/>
    </xf>
    <xf numFmtId="178" fontId="41" fillId="7" borderId="5" xfId="0" applyNumberFormat="1" applyFont="1" applyFill="1" applyBorder="1" applyAlignment="1">
      <alignment horizontal="center" vertical="center" wrapText="1"/>
    </xf>
    <xf numFmtId="178" fontId="41" fillId="7" borderId="4" xfId="0" applyNumberFormat="1" applyFont="1" applyFill="1" applyBorder="1" applyAlignment="1">
      <alignment horizontal="center" vertical="center" wrapText="1"/>
    </xf>
    <xf numFmtId="178" fontId="46" fillId="7" borderId="3" xfId="7" applyNumberFormat="1" applyFont="1" applyFill="1" applyBorder="1" applyAlignment="1" applyProtection="1">
      <alignment horizontal="center" vertical="center" wrapText="1"/>
      <protection locked="0"/>
    </xf>
    <xf numFmtId="178" fontId="46" fillId="7" borderId="5" xfId="7" applyNumberFormat="1" applyFont="1" applyFill="1" applyBorder="1" applyAlignment="1" applyProtection="1">
      <alignment horizontal="center" vertical="center" wrapText="1"/>
      <protection locked="0"/>
    </xf>
    <xf numFmtId="178" fontId="46" fillId="7" borderId="4" xfId="7" applyNumberFormat="1" applyFont="1" applyFill="1" applyBorder="1" applyAlignment="1" applyProtection="1">
      <alignment horizontal="center" vertical="center" wrapText="1"/>
      <protection locked="0"/>
    </xf>
    <xf numFmtId="2" fontId="34" fillId="0" borderId="3" xfId="7" applyNumberFormat="1" applyFont="1" applyFill="1" applyBorder="1" applyAlignment="1" applyProtection="1">
      <alignment horizontal="center" vertical="center" wrapText="1"/>
      <protection locked="0"/>
    </xf>
    <xf numFmtId="2" fontId="34" fillId="0" borderId="5" xfId="7" applyNumberFormat="1" applyFont="1" applyFill="1" applyBorder="1" applyAlignment="1" applyProtection="1">
      <alignment horizontal="center" vertical="center" wrapText="1"/>
      <protection locked="0"/>
    </xf>
    <xf numFmtId="2" fontId="34" fillId="0" borderId="4" xfId="7" applyNumberFormat="1" applyFont="1" applyFill="1" applyBorder="1" applyAlignment="1" applyProtection="1">
      <alignment horizontal="center" vertical="center" wrapText="1"/>
      <protection locked="0"/>
    </xf>
    <xf numFmtId="178" fontId="34" fillId="0" borderId="5" xfId="7" applyNumberFormat="1" applyFont="1" applyFill="1" applyBorder="1" applyAlignment="1" applyProtection="1">
      <alignment horizontal="left" vertical="center" wrapText="1"/>
      <protection locked="0"/>
    </xf>
    <xf numFmtId="178" fontId="47" fillId="7" borderId="3" xfId="0" applyNumberFormat="1" applyFont="1" applyFill="1" applyBorder="1" applyAlignment="1" applyProtection="1">
      <alignment horizontal="center" vertical="center"/>
      <protection locked="0"/>
    </xf>
    <xf numFmtId="178" fontId="47" fillId="7" borderId="5" xfId="0" applyNumberFormat="1" applyFont="1" applyFill="1" applyBorder="1" applyAlignment="1" applyProtection="1">
      <alignment horizontal="center" vertical="center"/>
      <protection locked="0"/>
    </xf>
    <xf numFmtId="178" fontId="47" fillId="7" borderId="4" xfId="0" applyNumberFormat="1" applyFont="1" applyFill="1" applyBorder="1" applyAlignment="1" applyProtection="1">
      <alignment horizontal="center" vertical="center"/>
      <protection locked="0"/>
    </xf>
    <xf numFmtId="184" fontId="12" fillId="7" borderId="3" xfId="0" applyNumberFormat="1" applyFont="1" applyFill="1" applyBorder="1" applyAlignment="1">
      <alignment horizontal="center" vertical="center"/>
    </xf>
    <xf numFmtId="184" fontId="12" fillId="7" borderId="5" xfId="0" applyNumberFormat="1" applyFont="1" applyFill="1" applyBorder="1" applyAlignment="1">
      <alignment horizontal="center" vertical="center"/>
    </xf>
    <xf numFmtId="184" fontId="12" fillId="7" borderId="4" xfId="0" applyNumberFormat="1" applyFont="1" applyFill="1" applyBorder="1" applyAlignment="1">
      <alignment horizontal="center" vertical="center"/>
    </xf>
    <xf numFmtId="193" fontId="11" fillId="7" borderId="3" xfId="0" applyNumberFormat="1" applyFont="1" applyFill="1" applyBorder="1" applyAlignment="1" applyProtection="1">
      <alignment horizontal="center" vertical="center"/>
      <protection locked="0"/>
    </xf>
    <xf numFmtId="193" fontId="11" fillId="7" borderId="5" xfId="0" applyNumberFormat="1" applyFont="1" applyFill="1" applyBorder="1" applyAlignment="1" applyProtection="1">
      <alignment horizontal="center" vertical="center"/>
      <protection locked="0"/>
    </xf>
    <xf numFmtId="193" fontId="11" fillId="7" borderId="4" xfId="0" applyNumberFormat="1" applyFont="1" applyFill="1" applyBorder="1" applyAlignment="1" applyProtection="1">
      <alignment horizontal="center" vertical="center"/>
      <protection locked="0"/>
    </xf>
    <xf numFmtId="9" fontId="34" fillId="0" borderId="3" xfId="1" applyFont="1" applyFill="1" applyBorder="1" applyAlignment="1">
      <alignment horizontal="center" vertical="center" wrapText="1"/>
    </xf>
    <xf numFmtId="9" fontId="34" fillId="0" borderId="4" xfId="1" applyFont="1" applyFill="1" applyBorder="1" applyAlignment="1">
      <alignment horizontal="center" vertical="center" wrapText="1"/>
    </xf>
    <xf numFmtId="178" fontId="12" fillId="7" borderId="3" xfId="0" applyNumberFormat="1" applyFont="1" applyFill="1" applyBorder="1" applyAlignment="1">
      <alignment horizontal="center" vertical="center" wrapText="1"/>
    </xf>
    <xf numFmtId="178" fontId="12" fillId="7" borderId="5" xfId="0" applyNumberFormat="1" applyFont="1" applyFill="1" applyBorder="1" applyAlignment="1">
      <alignment horizontal="center" vertical="center" wrapText="1"/>
    </xf>
    <xf numFmtId="178" fontId="12" fillId="7" borderId="4" xfId="0" applyNumberFormat="1" applyFont="1" applyFill="1" applyBorder="1" applyAlignment="1">
      <alignment horizontal="center" vertical="center" wrapText="1"/>
    </xf>
    <xf numFmtId="178" fontId="11" fillId="7" borderId="3" xfId="0" applyNumberFormat="1" applyFont="1" applyFill="1" applyBorder="1" applyAlignment="1">
      <alignment horizontal="center" vertical="center" wrapText="1"/>
    </xf>
    <xf numFmtId="178" fontId="11" fillId="7" borderId="5" xfId="0" applyNumberFormat="1" applyFont="1" applyFill="1" applyBorder="1" applyAlignment="1">
      <alignment horizontal="center" vertical="center" wrapText="1"/>
    </xf>
    <xf numFmtId="178" fontId="11" fillId="7" borderId="4" xfId="0" applyNumberFormat="1" applyFont="1" applyFill="1" applyBorder="1" applyAlignment="1">
      <alignment horizontal="center" vertical="center" wrapText="1"/>
    </xf>
    <xf numFmtId="178" fontId="11" fillId="7" borderId="3" xfId="0" applyNumberFormat="1" applyFont="1" applyFill="1" applyBorder="1" applyAlignment="1" applyProtection="1">
      <alignment horizontal="center" vertical="center"/>
      <protection locked="0"/>
    </xf>
    <xf numFmtId="178" fontId="11" fillId="7" borderId="4" xfId="0" applyNumberFormat="1" applyFont="1" applyFill="1" applyBorder="1" applyAlignment="1" applyProtection="1">
      <alignment horizontal="center" vertical="center"/>
      <protection locked="0"/>
    </xf>
    <xf numFmtId="178" fontId="11" fillId="7" borderId="3" xfId="0" applyNumberFormat="1" applyFont="1" applyFill="1" applyBorder="1" applyAlignment="1">
      <alignment horizontal="center" vertical="center"/>
    </xf>
    <xf numFmtId="178" fontId="11" fillId="7" borderId="4" xfId="0" applyNumberFormat="1" applyFont="1" applyFill="1" applyBorder="1" applyAlignment="1">
      <alignment horizontal="center" vertical="center"/>
    </xf>
    <xf numFmtId="9" fontId="34" fillId="0" borderId="5" xfId="1" applyFont="1" applyFill="1" applyBorder="1" applyAlignment="1">
      <alignment horizontal="center" vertical="center" wrapText="1"/>
    </xf>
    <xf numFmtId="0" fontId="12" fillId="7" borderId="3" xfId="4" applyFont="1" applyFill="1" applyBorder="1" applyAlignment="1">
      <alignment horizontal="center" vertical="center" wrapText="1"/>
    </xf>
    <xf numFmtId="0" fontId="12" fillId="7" borderId="5" xfId="4" applyFont="1" applyFill="1" applyBorder="1" applyAlignment="1">
      <alignment horizontal="center" vertical="center" wrapText="1"/>
    </xf>
    <xf numFmtId="0" fontId="12" fillId="7" borderId="4" xfId="4" applyFont="1" applyFill="1" applyBorder="1" applyAlignment="1">
      <alignment horizontal="center" vertical="center" wrapText="1"/>
    </xf>
    <xf numFmtId="184" fontId="11" fillId="7" borderId="3" xfId="0" applyNumberFormat="1" applyFont="1" applyFill="1" applyBorder="1" applyAlignment="1">
      <alignment horizontal="center" vertical="center" wrapText="1"/>
    </xf>
    <xf numFmtId="184" fontId="11" fillId="7" borderId="5" xfId="0" applyNumberFormat="1" applyFont="1" applyFill="1" applyBorder="1" applyAlignment="1">
      <alignment horizontal="center" vertical="center" wrapText="1"/>
    </xf>
    <xf numFmtId="184" fontId="11" fillId="7" borderId="4" xfId="0" applyNumberFormat="1" applyFont="1" applyFill="1" applyBorder="1" applyAlignment="1">
      <alignment horizontal="center" vertical="center" wrapText="1"/>
    </xf>
    <xf numFmtId="178" fontId="40" fillId="7" borderId="3" xfId="0" applyNumberFormat="1" applyFont="1" applyFill="1" applyBorder="1" applyAlignment="1">
      <alignment horizontal="center" vertical="center" wrapText="1"/>
    </xf>
    <xf numFmtId="178" fontId="40" fillId="7" borderId="5" xfId="0" applyNumberFormat="1" applyFont="1" applyFill="1" applyBorder="1" applyAlignment="1">
      <alignment horizontal="center" vertical="center" wrapText="1"/>
    </xf>
    <xf numFmtId="178" fontId="40" fillId="7" borderId="4" xfId="0" applyNumberFormat="1" applyFont="1" applyFill="1" applyBorder="1" applyAlignment="1">
      <alignment horizontal="center" vertical="center" wrapText="1"/>
    </xf>
    <xf numFmtId="184" fontId="34" fillId="0" borderId="3" xfId="0" applyNumberFormat="1" applyFont="1" applyFill="1" applyBorder="1" applyAlignment="1">
      <alignment horizontal="center" vertical="center"/>
    </xf>
    <xf numFmtId="184" fontId="34" fillId="0" borderId="4" xfId="0" applyNumberFormat="1" applyFont="1" applyFill="1" applyBorder="1" applyAlignment="1">
      <alignment horizontal="center" vertical="center"/>
    </xf>
    <xf numFmtId="177" fontId="12" fillId="7" borderId="3" xfId="0" applyNumberFormat="1" applyFont="1" applyFill="1" applyBorder="1" applyAlignment="1">
      <alignment horizontal="center" vertical="center" wrapText="1"/>
    </xf>
    <xf numFmtId="177" fontId="12" fillId="7" borderId="4" xfId="0" applyNumberFormat="1" applyFont="1" applyFill="1" applyBorder="1" applyAlignment="1">
      <alignment horizontal="center" vertical="center" wrapText="1"/>
    </xf>
    <xf numFmtId="177" fontId="11" fillId="7" borderId="3" xfId="0" applyNumberFormat="1" applyFont="1" applyFill="1" applyBorder="1" applyAlignment="1">
      <alignment horizontal="center" vertical="center" wrapText="1"/>
    </xf>
    <xf numFmtId="177" fontId="11" fillId="7" borderId="4" xfId="0" applyNumberFormat="1" applyFont="1" applyFill="1" applyBorder="1" applyAlignment="1">
      <alignment horizontal="center" vertical="center" wrapText="1"/>
    </xf>
    <xf numFmtId="0" fontId="33" fillId="0" borderId="12" xfId="0" applyFont="1" applyBorder="1" applyAlignment="1">
      <alignment horizontal="center" vertical="center" wrapText="1"/>
    </xf>
    <xf numFmtId="0" fontId="33" fillId="0" borderId="14"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48" fillId="4" borderId="1" xfId="0" applyFont="1" applyFill="1" applyBorder="1" applyAlignment="1">
      <alignment horizontal="center" vertical="center" wrapText="1"/>
    </xf>
    <xf numFmtId="0" fontId="49" fillId="4" borderId="1" xfId="0" applyFont="1" applyFill="1" applyBorder="1" applyAlignment="1">
      <alignment horizontal="center" vertical="center" wrapText="1"/>
    </xf>
    <xf numFmtId="197" fontId="44" fillId="4" borderId="1" xfId="0" applyNumberFormat="1" applyFont="1" applyFill="1" applyBorder="1" applyAlignment="1">
      <alignment horizontal="center" vertical="center" wrapText="1"/>
    </xf>
    <xf numFmtId="0" fontId="50" fillId="4" borderId="1" xfId="4" applyFont="1" applyFill="1" applyBorder="1" applyAlignment="1">
      <alignment horizontal="center" vertical="center" wrapText="1"/>
    </xf>
    <xf numFmtId="0" fontId="33" fillId="0" borderId="9" xfId="0" applyFont="1" applyBorder="1" applyAlignment="1">
      <alignment horizontal="center" vertical="center" wrapText="1"/>
    </xf>
    <xf numFmtId="0" fontId="33" fillId="0" borderId="5" xfId="0" applyFont="1" applyBorder="1" applyAlignment="1">
      <alignment horizontal="center" vertical="center" wrapText="1"/>
    </xf>
    <xf numFmtId="2" fontId="33" fillId="0" borderId="3" xfId="0" applyNumberFormat="1" applyFont="1" applyBorder="1" applyAlignment="1">
      <alignment horizontal="center" vertical="center" wrapText="1"/>
    </xf>
    <xf numFmtId="2" fontId="33" fillId="0" borderId="5" xfId="0" applyNumberFormat="1" applyFont="1" applyBorder="1" applyAlignment="1">
      <alignment horizontal="center" vertical="center" wrapText="1"/>
    </xf>
    <xf numFmtId="2" fontId="33" fillId="0" borderId="4" xfId="0" applyNumberFormat="1" applyFont="1" applyBorder="1" applyAlignment="1">
      <alignment horizontal="center" vertical="center" wrapText="1"/>
    </xf>
    <xf numFmtId="0" fontId="33" fillId="0" borderId="3" xfId="0" applyNumberFormat="1" applyFont="1" applyBorder="1" applyAlignment="1">
      <alignment horizontal="center" vertical="center" wrapText="1"/>
    </xf>
    <xf numFmtId="0" fontId="33" fillId="0" borderId="5" xfId="0" applyNumberFormat="1" applyFont="1" applyBorder="1" applyAlignment="1">
      <alignment horizontal="center" vertical="center" wrapText="1"/>
    </xf>
    <xf numFmtId="0" fontId="33" fillId="0" borderId="4" xfId="0" applyNumberFormat="1" applyFont="1" applyBorder="1" applyAlignment="1">
      <alignment horizontal="center" vertical="center" wrapText="1"/>
    </xf>
    <xf numFmtId="176" fontId="33" fillId="0" borderId="3" xfId="1" applyNumberFormat="1" applyFont="1" applyBorder="1" applyAlignment="1">
      <alignment horizontal="center" vertical="center" wrapText="1"/>
    </xf>
    <xf numFmtId="176" fontId="33" fillId="0" borderId="5" xfId="1" applyNumberFormat="1" applyFont="1" applyBorder="1" applyAlignment="1">
      <alignment horizontal="center" vertical="center" wrapText="1"/>
    </xf>
    <xf numFmtId="176" fontId="33" fillId="0" borderId="4" xfId="1" applyNumberFormat="1" applyFont="1" applyBorder="1" applyAlignment="1">
      <alignment horizontal="center" vertical="center" wrapText="1"/>
    </xf>
    <xf numFmtId="0" fontId="33" fillId="0" borderId="8" xfId="0" applyFont="1" applyBorder="1" applyAlignment="1">
      <alignment horizontal="center" vertical="center" wrapText="1"/>
    </xf>
    <xf numFmtId="0" fontId="33" fillId="5" borderId="1" xfId="0" applyFont="1" applyFill="1" applyBorder="1" applyAlignment="1">
      <alignment horizontal="left" vertical="center" wrapText="1"/>
    </xf>
    <xf numFmtId="0" fontId="33" fillId="4" borderId="3" xfId="0" applyFont="1" applyFill="1" applyBorder="1" applyAlignment="1">
      <alignment horizontal="center" vertical="center" wrapText="1"/>
    </xf>
    <xf numFmtId="0" fontId="33" fillId="4" borderId="5" xfId="0" applyFont="1" applyFill="1" applyBorder="1" applyAlignment="1">
      <alignment horizontal="center" vertical="center" wrapText="1"/>
    </xf>
    <xf numFmtId="0" fontId="33" fillId="4" borderId="4" xfId="0" applyFont="1" applyFill="1" applyBorder="1" applyAlignment="1">
      <alignment horizontal="center" vertical="center" wrapText="1"/>
    </xf>
    <xf numFmtId="2" fontId="33" fillId="5" borderId="1" xfId="0" applyNumberFormat="1" applyFont="1" applyFill="1" applyBorder="1" applyAlignment="1">
      <alignment horizontal="right" vertical="center" wrapText="1"/>
    </xf>
    <xf numFmtId="2" fontId="36" fillId="0" borderId="3" xfId="0" applyNumberFormat="1" applyFont="1" applyBorder="1" applyAlignment="1">
      <alignment horizontal="center" vertical="center" wrapText="1"/>
    </xf>
    <xf numFmtId="2" fontId="36" fillId="0" borderId="5" xfId="0" applyNumberFormat="1" applyFont="1" applyBorder="1" applyAlignment="1">
      <alignment horizontal="center" vertical="center" wrapText="1"/>
    </xf>
    <xf numFmtId="0" fontId="33" fillId="0" borderId="16" xfId="0" applyFont="1" applyBorder="1" applyAlignment="1">
      <alignment horizontal="center" vertical="center" wrapText="1"/>
    </xf>
    <xf numFmtId="0" fontId="33" fillId="0" borderId="17" xfId="0" applyFont="1" applyBorder="1" applyAlignment="1">
      <alignment horizontal="center" vertical="center" wrapText="1"/>
    </xf>
    <xf numFmtId="0" fontId="33" fillId="0" borderId="18" xfId="0" applyFont="1" applyBorder="1" applyAlignment="1">
      <alignment horizontal="center" vertical="center" wrapText="1"/>
    </xf>
    <xf numFmtId="180" fontId="48" fillId="4" borderId="1" xfId="0" applyNumberFormat="1" applyFont="1" applyFill="1" applyBorder="1" applyAlignment="1">
      <alignment horizontal="center" vertical="center" wrapText="1"/>
    </xf>
    <xf numFmtId="180" fontId="15" fillId="5" borderId="3" xfId="0" applyNumberFormat="1" applyFont="1" applyFill="1" applyBorder="1" applyAlignment="1">
      <alignment horizontal="center" vertical="center" wrapText="1"/>
    </xf>
    <xf numFmtId="0" fontId="15" fillId="5" borderId="5" xfId="0" applyNumberFormat="1" applyFont="1" applyFill="1" applyBorder="1" applyAlignment="1">
      <alignment horizontal="center" vertical="center" wrapText="1"/>
    </xf>
    <xf numFmtId="0" fontId="15" fillId="5" borderId="4" xfId="0" applyNumberFormat="1" applyFont="1" applyFill="1" applyBorder="1" applyAlignment="1">
      <alignment horizontal="center" vertical="center" wrapText="1"/>
    </xf>
    <xf numFmtId="176" fontId="15" fillId="5" borderId="3" xfId="1" applyNumberFormat="1" applyFont="1" applyFill="1" applyBorder="1" applyAlignment="1">
      <alignment horizontal="center" vertical="center" wrapText="1"/>
    </xf>
    <xf numFmtId="176" fontId="15" fillId="5" borderId="5" xfId="1" applyNumberFormat="1" applyFont="1" applyFill="1" applyBorder="1" applyAlignment="1">
      <alignment horizontal="center" vertical="center" wrapText="1"/>
    </xf>
    <xf numFmtId="176" fontId="15" fillId="5" borderId="4" xfId="1" applyNumberFormat="1" applyFont="1" applyFill="1" applyBorder="1" applyAlignment="1">
      <alignment horizontal="center" vertical="center" wrapText="1"/>
    </xf>
    <xf numFmtId="0" fontId="15" fillId="0" borderId="8" xfId="0" applyFont="1" applyBorder="1" applyAlignment="1">
      <alignment horizontal="center" vertical="center" wrapText="1"/>
    </xf>
    <xf numFmtId="180" fontId="15" fillId="5" borderId="1" xfId="0" applyNumberFormat="1" applyFont="1" applyFill="1" applyBorder="1" applyAlignment="1" applyProtection="1">
      <alignment horizontal="left" vertical="center" wrapText="1"/>
      <protection locked="0"/>
    </xf>
    <xf numFmtId="178" fontId="15" fillId="4" borderId="3" xfId="0" applyNumberFormat="1" applyFont="1" applyFill="1" applyBorder="1" applyAlignment="1" applyProtection="1">
      <alignment horizontal="center" vertical="center" wrapText="1"/>
      <protection locked="0"/>
    </xf>
    <xf numFmtId="178" fontId="15" fillId="4" borderId="4" xfId="0" applyNumberFormat="1" applyFont="1" applyFill="1" applyBorder="1" applyAlignment="1" applyProtection="1">
      <alignment horizontal="center" vertical="center" wrapText="1"/>
      <protection locked="0"/>
    </xf>
    <xf numFmtId="180" fontId="15" fillId="4" borderId="3" xfId="0" applyNumberFormat="1" applyFont="1" applyFill="1" applyBorder="1" applyAlignment="1" applyProtection="1">
      <alignment horizontal="center" vertical="center" wrapText="1"/>
      <protection locked="0"/>
    </xf>
    <xf numFmtId="180" fontId="15" fillId="4" borderId="4" xfId="0" applyNumberFormat="1" applyFont="1" applyFill="1" applyBorder="1" applyAlignment="1" applyProtection="1">
      <alignment horizontal="center" vertical="center" wrapText="1"/>
      <protection locked="0"/>
    </xf>
    <xf numFmtId="2" fontId="15" fillId="5" borderId="1" xfId="0" applyNumberFormat="1" applyFont="1" applyFill="1" applyBorder="1" applyAlignment="1" applyProtection="1">
      <alignment horizontal="right" vertical="center" wrapText="1"/>
      <protection locked="0"/>
    </xf>
    <xf numFmtId="2" fontId="33" fillId="5" borderId="1" xfId="0" applyNumberFormat="1" applyFont="1" applyFill="1" applyBorder="1" applyAlignment="1">
      <alignment horizontal="center" vertical="center" wrapText="1"/>
    </xf>
    <xf numFmtId="0" fontId="15" fillId="5" borderId="1" xfId="0" applyFont="1" applyFill="1" applyBorder="1" applyAlignment="1">
      <alignment horizontal="left" vertical="center" wrapText="1"/>
    </xf>
    <xf numFmtId="0" fontId="15" fillId="4" borderId="3"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15" fillId="4" borderId="4" xfId="0" applyFont="1" applyFill="1" applyBorder="1" applyAlignment="1">
      <alignment horizontal="center" vertical="center" wrapText="1"/>
    </xf>
    <xf numFmtId="2" fontId="15" fillId="5" borderId="1" xfId="0" applyNumberFormat="1" applyFont="1" applyFill="1" applyBorder="1" applyAlignment="1">
      <alignment horizontal="right" vertical="center" wrapText="1"/>
    </xf>
    <xf numFmtId="2" fontId="34" fillId="5" borderId="1" xfId="0" applyNumberFormat="1" applyFont="1" applyFill="1" applyBorder="1" applyAlignment="1">
      <alignment horizontal="right" vertical="center" wrapText="1"/>
    </xf>
    <xf numFmtId="2" fontId="34" fillId="5" borderId="1" xfId="0" applyNumberFormat="1" applyFont="1" applyFill="1" applyBorder="1" applyAlignment="1">
      <alignment horizontal="center" vertical="center" wrapText="1"/>
    </xf>
    <xf numFmtId="0" fontId="34" fillId="0" borderId="8" xfId="0" applyFont="1" applyBorder="1" applyAlignment="1">
      <alignment horizontal="center" vertical="center" wrapText="1"/>
    </xf>
    <xf numFmtId="0" fontId="34" fillId="5" borderId="1" xfId="0" applyFont="1" applyFill="1" applyBorder="1" applyAlignment="1">
      <alignment horizontal="left" vertical="center" wrapText="1"/>
    </xf>
    <xf numFmtId="0" fontId="34" fillId="4" borderId="3" xfId="0" applyFont="1" applyFill="1" applyBorder="1" applyAlignment="1">
      <alignment horizontal="center" vertical="center" wrapText="1"/>
    </xf>
    <xf numFmtId="0" fontId="34" fillId="4" borderId="5" xfId="0" applyFont="1" applyFill="1" applyBorder="1" applyAlignment="1">
      <alignment horizontal="center" vertical="center" wrapText="1"/>
    </xf>
    <xf numFmtId="0" fontId="34" fillId="4" borderId="4" xfId="0" applyFont="1" applyFill="1" applyBorder="1" applyAlignment="1">
      <alignment horizontal="center" vertical="center" wrapText="1"/>
    </xf>
    <xf numFmtId="2" fontId="15" fillId="5" borderId="1" xfId="0" applyNumberFormat="1" applyFont="1" applyFill="1" applyBorder="1" applyAlignment="1" applyProtection="1">
      <alignment horizontal="center" vertical="center" wrapText="1"/>
      <protection locked="0"/>
    </xf>
    <xf numFmtId="180" fontId="15" fillId="5" borderId="4" xfId="0" applyNumberFormat="1" applyFont="1" applyFill="1" applyBorder="1" applyAlignment="1">
      <alignment horizontal="center" vertical="center" wrapText="1"/>
    </xf>
    <xf numFmtId="0" fontId="15" fillId="0" borderId="1" xfId="0" applyFont="1" applyBorder="1" applyAlignment="1">
      <alignment horizontal="center" vertical="center" wrapText="1"/>
    </xf>
    <xf numFmtId="2" fontId="15" fillId="5" borderId="1" xfId="0" applyNumberFormat="1" applyFont="1" applyFill="1" applyBorder="1" applyAlignment="1">
      <alignment horizontal="center" vertical="center" wrapText="1"/>
    </xf>
    <xf numFmtId="184" fontId="15" fillId="5" borderId="1" xfId="0" applyNumberFormat="1" applyFont="1" applyFill="1" applyBorder="1" applyAlignment="1" applyProtection="1">
      <alignment horizontal="left" vertical="center" wrapText="1"/>
      <protection locked="0"/>
    </xf>
    <xf numFmtId="0" fontId="35" fillId="0" borderId="12" xfId="0" applyFont="1" applyFill="1" applyBorder="1" applyAlignment="1">
      <alignment horizontal="center" vertical="center" wrapText="1"/>
    </xf>
    <xf numFmtId="0" fontId="35" fillId="0" borderId="9" xfId="0" applyFont="1" applyFill="1" applyBorder="1" applyAlignment="1">
      <alignment horizontal="center" vertical="center" wrapText="1"/>
    </xf>
    <xf numFmtId="0" fontId="35" fillId="0" borderId="14"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4" xfId="0" applyFont="1" applyFill="1" applyBorder="1" applyAlignment="1">
      <alignment horizontal="center" vertical="center" wrapText="1"/>
    </xf>
    <xf numFmtId="198" fontId="12" fillId="2" borderId="3" xfId="0" applyNumberFormat="1" applyFont="1" applyFill="1" applyBorder="1" applyAlignment="1">
      <alignment horizontal="center" vertical="center"/>
    </xf>
    <xf numFmtId="198" fontId="12" fillId="2" borderId="5" xfId="0" applyNumberFormat="1" applyFont="1" applyFill="1" applyBorder="1" applyAlignment="1">
      <alignment horizontal="center" vertical="center"/>
    </xf>
    <xf numFmtId="198" fontId="12" fillId="2" borderId="4" xfId="0" applyNumberFormat="1" applyFont="1" applyFill="1" applyBorder="1" applyAlignment="1">
      <alignment horizontal="center" vertical="center"/>
    </xf>
    <xf numFmtId="0" fontId="12" fillId="2" borderId="3"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4" xfId="0" applyFont="1" applyFill="1" applyBorder="1" applyAlignment="1">
      <alignment horizontal="center" vertical="center" wrapText="1"/>
    </xf>
    <xf numFmtId="2" fontId="15" fillId="0" borderId="11" xfId="0" applyNumberFormat="1" applyFont="1" applyFill="1" applyBorder="1" applyAlignment="1">
      <alignment horizontal="center" vertical="center" wrapText="1"/>
    </xf>
    <xf numFmtId="2" fontId="15" fillId="0" borderId="12" xfId="0" applyNumberFormat="1" applyFont="1" applyFill="1" applyBorder="1" applyAlignment="1">
      <alignment horizontal="center" vertical="center" wrapText="1"/>
    </xf>
    <xf numFmtId="2" fontId="15" fillId="0" borderId="10" xfId="0" applyNumberFormat="1" applyFont="1" applyFill="1" applyBorder="1" applyAlignment="1">
      <alignment horizontal="center" vertical="center" wrapText="1"/>
    </xf>
    <xf numFmtId="2" fontId="15" fillId="0" borderId="9" xfId="0" applyNumberFormat="1" applyFont="1" applyFill="1" applyBorder="1" applyAlignment="1">
      <alignment horizontal="center" vertical="center" wrapText="1"/>
    </xf>
    <xf numFmtId="2" fontId="15" fillId="0" borderId="13" xfId="0" applyNumberFormat="1" applyFont="1" applyFill="1" applyBorder="1" applyAlignment="1">
      <alignment horizontal="center" vertical="center" wrapText="1"/>
    </xf>
    <xf numFmtId="2" fontId="15" fillId="0" borderId="14" xfId="0" applyNumberFormat="1" applyFont="1" applyFill="1" applyBorder="1" applyAlignment="1">
      <alignment horizontal="center" vertical="center" wrapText="1"/>
    </xf>
    <xf numFmtId="180" fontId="33" fillId="5" borderId="3" xfId="0" applyNumberFormat="1" applyFont="1" applyFill="1" applyBorder="1" applyAlignment="1">
      <alignment horizontal="center" vertical="center" wrapText="1"/>
    </xf>
    <xf numFmtId="0" fontId="33" fillId="5" borderId="5" xfId="0" applyNumberFormat="1" applyFont="1" applyFill="1" applyBorder="1" applyAlignment="1">
      <alignment horizontal="center" vertical="center" wrapText="1"/>
    </xf>
    <xf numFmtId="0" fontId="33" fillId="5" borderId="4" xfId="0" applyNumberFormat="1" applyFont="1" applyFill="1" applyBorder="1" applyAlignment="1">
      <alignment horizontal="center" vertical="center" wrapText="1"/>
    </xf>
    <xf numFmtId="2" fontId="15" fillId="5" borderId="1" xfId="0" applyNumberFormat="1" applyFont="1" applyFill="1" applyBorder="1" applyAlignment="1" applyProtection="1">
      <alignment vertical="center" wrapText="1"/>
      <protection locked="0"/>
    </xf>
    <xf numFmtId="185" fontId="15" fillId="0" borderId="3" xfId="0" applyNumberFormat="1" applyFont="1" applyFill="1" applyBorder="1" applyAlignment="1">
      <alignment horizontal="center" vertical="center" wrapText="1"/>
    </xf>
    <xf numFmtId="0" fontId="35" fillId="0" borderId="12" xfId="0" applyFont="1" applyFill="1" applyBorder="1" applyAlignment="1">
      <alignment horizontal="center" vertical="center"/>
    </xf>
    <xf numFmtId="0" fontId="35" fillId="0" borderId="9" xfId="0" applyFont="1" applyFill="1" applyBorder="1" applyAlignment="1">
      <alignment horizontal="center" vertical="center"/>
    </xf>
    <xf numFmtId="0" fontId="35" fillId="0" borderId="14"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4" xfId="0" applyFont="1" applyFill="1" applyBorder="1" applyAlignment="1">
      <alignment horizontal="center" vertical="center"/>
    </xf>
    <xf numFmtId="2" fontId="15" fillId="0" borderId="3" xfId="0" applyNumberFormat="1" applyFont="1" applyFill="1" applyBorder="1" applyAlignment="1">
      <alignment horizontal="center" vertical="center"/>
    </xf>
    <xf numFmtId="2" fontId="15" fillId="0" borderId="5" xfId="0" applyNumberFormat="1" applyFont="1" applyFill="1" applyBorder="1" applyAlignment="1">
      <alignment horizontal="center" vertical="center"/>
    </xf>
    <xf numFmtId="2" fontId="15" fillId="0" borderId="4" xfId="0" applyNumberFormat="1" applyFont="1" applyFill="1" applyBorder="1" applyAlignment="1">
      <alignment horizontal="center" vertical="center"/>
    </xf>
    <xf numFmtId="2" fontId="15" fillId="0" borderId="3" xfId="0" applyNumberFormat="1" applyFont="1" applyFill="1" applyBorder="1" applyAlignment="1">
      <alignment horizontal="center" vertical="center" wrapText="1"/>
    </xf>
    <xf numFmtId="2" fontId="15" fillId="0" borderId="5" xfId="0" applyNumberFormat="1" applyFont="1" applyFill="1" applyBorder="1" applyAlignment="1">
      <alignment horizontal="center" vertical="center" wrapText="1"/>
    </xf>
    <xf numFmtId="2" fontId="15" fillId="0" borderId="4" xfId="0" applyNumberFormat="1" applyFont="1" applyFill="1" applyBorder="1" applyAlignment="1">
      <alignment horizontal="center" vertical="center" wrapText="1"/>
    </xf>
    <xf numFmtId="185" fontId="34" fillId="0" borderId="3" xfId="0" applyNumberFormat="1" applyFont="1" applyFill="1" applyBorder="1" applyAlignment="1">
      <alignment horizontal="center" vertical="center" wrapText="1"/>
    </xf>
    <xf numFmtId="2" fontId="12" fillId="2" borderId="3" xfId="0" applyNumberFormat="1" applyFont="1" applyFill="1" applyBorder="1" applyAlignment="1">
      <alignment horizontal="center" vertical="center" wrapText="1"/>
    </xf>
    <xf numFmtId="2" fontId="12" fillId="2" borderId="5" xfId="0" applyNumberFormat="1" applyFont="1" applyFill="1" applyBorder="1" applyAlignment="1">
      <alignment horizontal="center" vertical="center" wrapText="1"/>
    </xf>
    <xf numFmtId="2" fontId="12" fillId="2" borderId="4" xfId="0" applyNumberFormat="1" applyFont="1" applyFill="1" applyBorder="1" applyAlignment="1">
      <alignment horizontal="center" vertical="center" wrapText="1"/>
    </xf>
    <xf numFmtId="185" fontId="12" fillId="2" borderId="3" xfId="0" applyNumberFormat="1" applyFont="1" applyFill="1" applyBorder="1" applyAlignment="1">
      <alignment horizontal="center" vertical="center" wrapText="1"/>
    </xf>
    <xf numFmtId="185" fontId="12" fillId="2" borderId="5" xfId="0" applyNumberFormat="1" applyFont="1" applyFill="1" applyBorder="1" applyAlignment="1">
      <alignment horizontal="center" vertical="center" wrapText="1"/>
    </xf>
    <xf numFmtId="185" fontId="12" fillId="2" borderId="4" xfId="0" applyNumberFormat="1" applyFont="1" applyFill="1" applyBorder="1" applyAlignment="1">
      <alignment horizontal="center" vertical="center" wrapText="1"/>
    </xf>
    <xf numFmtId="0" fontId="33" fillId="0" borderId="5" xfId="0" applyFont="1" applyBorder="1">
      <alignment vertical="center"/>
    </xf>
    <xf numFmtId="0" fontId="33" fillId="0" borderId="4" xfId="0" applyFont="1" applyBorder="1">
      <alignment vertical="center"/>
    </xf>
    <xf numFmtId="185" fontId="12" fillId="2" borderId="3" xfId="0" applyNumberFormat="1" applyFont="1" applyFill="1" applyBorder="1" applyAlignment="1">
      <alignment horizontal="center" vertical="center"/>
    </xf>
    <xf numFmtId="185" fontId="12" fillId="2" borderId="5" xfId="0" applyNumberFormat="1" applyFont="1" applyFill="1" applyBorder="1" applyAlignment="1">
      <alignment horizontal="center" vertical="center"/>
    </xf>
    <xf numFmtId="185" fontId="12" fillId="2" borderId="4" xfId="0" applyNumberFormat="1" applyFont="1" applyFill="1" applyBorder="1" applyAlignment="1">
      <alignment horizontal="center" vertical="center"/>
    </xf>
    <xf numFmtId="176" fontId="38" fillId="0" borderId="3" xfId="1" applyNumberFormat="1" applyFont="1" applyFill="1" applyBorder="1" applyAlignment="1">
      <alignment horizontal="center" vertical="center" wrapText="1"/>
    </xf>
    <xf numFmtId="176" fontId="38" fillId="0" borderId="5" xfId="1" applyNumberFormat="1" applyFont="1" applyFill="1" applyBorder="1" applyAlignment="1">
      <alignment horizontal="center" vertical="center" wrapText="1"/>
    </xf>
    <xf numFmtId="176" fontId="38" fillId="0" borderId="4" xfId="1" applyNumberFormat="1" applyFont="1" applyFill="1" applyBorder="1" applyAlignment="1">
      <alignment horizontal="center" vertical="center" wrapText="1"/>
    </xf>
    <xf numFmtId="2" fontId="15" fillId="0" borderId="2" xfId="0" applyNumberFormat="1" applyFont="1" applyFill="1" applyBorder="1" applyAlignment="1">
      <alignment horizontal="center" vertical="center" wrapText="1"/>
    </xf>
    <xf numFmtId="2" fontId="15" fillId="0" borderId="8" xfId="0" applyNumberFormat="1" applyFont="1" applyFill="1" applyBorder="1" applyAlignment="1">
      <alignment horizontal="center" vertical="center" wrapText="1"/>
    </xf>
    <xf numFmtId="178" fontId="12" fillId="2" borderId="3" xfId="0" applyNumberFormat="1" applyFont="1" applyFill="1" applyBorder="1" applyAlignment="1" applyProtection="1">
      <alignment horizontal="center" vertical="center" wrapText="1"/>
    </xf>
    <xf numFmtId="178" fontId="12" fillId="2" borderId="5" xfId="0" applyNumberFormat="1" applyFont="1" applyFill="1" applyBorder="1" applyAlignment="1" applyProtection="1">
      <alignment horizontal="center" vertical="center" wrapText="1"/>
    </xf>
    <xf numFmtId="178" fontId="12" fillId="2" borderId="4" xfId="0" applyNumberFormat="1" applyFont="1" applyFill="1" applyBorder="1" applyAlignment="1" applyProtection="1">
      <alignment horizontal="center" vertical="center" wrapText="1"/>
    </xf>
    <xf numFmtId="185" fontId="38" fillId="0" borderId="3" xfId="0" applyNumberFormat="1" applyFont="1" applyFill="1" applyBorder="1" applyAlignment="1">
      <alignment horizontal="center" vertical="center" wrapText="1"/>
    </xf>
    <xf numFmtId="0" fontId="38" fillId="0" borderId="5" xfId="0" applyNumberFormat="1" applyFont="1" applyFill="1" applyBorder="1" applyAlignment="1">
      <alignment horizontal="center" vertical="center" wrapText="1"/>
    </xf>
    <xf numFmtId="0" fontId="38" fillId="0" borderId="4" xfId="0" applyNumberFormat="1" applyFont="1" applyFill="1" applyBorder="1" applyAlignment="1">
      <alignment horizontal="center" vertical="center" wrapText="1"/>
    </xf>
    <xf numFmtId="178" fontId="15" fillId="0" borderId="5" xfId="0" applyNumberFormat="1" applyFont="1" applyFill="1" applyBorder="1" applyAlignment="1">
      <alignment horizontal="center" vertical="center" wrapText="1"/>
    </xf>
    <xf numFmtId="178" fontId="15" fillId="0" borderId="4" xfId="0" applyNumberFormat="1" applyFont="1" applyFill="1" applyBorder="1" applyAlignment="1">
      <alignment horizontal="center" vertical="center" wrapText="1"/>
    </xf>
    <xf numFmtId="10" fontId="34" fillId="0" borderId="3" xfId="0" applyNumberFormat="1" applyFont="1" applyFill="1" applyBorder="1" applyAlignment="1">
      <alignment horizontal="center" vertical="center" wrapText="1"/>
    </xf>
    <xf numFmtId="10" fontId="34" fillId="0" borderId="5" xfId="0" applyNumberFormat="1" applyFont="1" applyFill="1" applyBorder="1" applyAlignment="1">
      <alignment horizontal="center" vertical="center" wrapText="1"/>
    </xf>
    <xf numFmtId="10" fontId="34" fillId="0" borderId="4"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4" xfId="0" applyFont="1" applyBorder="1" applyAlignment="1">
      <alignment horizontal="center" vertical="center" wrapText="1"/>
    </xf>
    <xf numFmtId="0" fontId="35" fillId="0" borderId="12" xfId="0" applyFont="1" applyBorder="1" applyAlignment="1">
      <alignment horizontal="center" vertical="center" wrapText="1"/>
    </xf>
    <xf numFmtId="0" fontId="35" fillId="0" borderId="14" xfId="0" applyFont="1" applyBorder="1" applyAlignment="1">
      <alignment horizontal="center" vertical="center" wrapText="1"/>
    </xf>
    <xf numFmtId="184" fontId="15" fillId="0" borderId="3" xfId="0" applyNumberFormat="1" applyFont="1" applyFill="1" applyBorder="1" applyAlignment="1">
      <alignment horizontal="center" vertical="center" wrapText="1"/>
    </xf>
    <xf numFmtId="184" fontId="15" fillId="0" borderId="4" xfId="0" applyNumberFormat="1" applyFont="1" applyFill="1" applyBorder="1" applyAlignment="1">
      <alignment horizontal="center" vertical="center" wrapText="1"/>
    </xf>
    <xf numFmtId="189" fontId="15" fillId="0" borderId="3" xfId="0" applyNumberFormat="1" applyFont="1" applyBorder="1" applyAlignment="1">
      <alignment horizontal="center" vertical="center" wrapText="1"/>
    </xf>
    <xf numFmtId="189" fontId="15" fillId="0" borderId="4" xfId="0" applyNumberFormat="1" applyFont="1" applyBorder="1" applyAlignment="1">
      <alignment horizontal="center" vertical="center" wrapText="1"/>
    </xf>
    <xf numFmtId="184" fontId="15" fillId="0" borderId="5" xfId="0" applyNumberFormat="1" applyFont="1" applyFill="1" applyBorder="1" applyAlignment="1">
      <alignment horizontal="center" vertical="center" wrapText="1"/>
    </xf>
    <xf numFmtId="180" fontId="15" fillId="0" borderId="3" xfId="0" applyNumberFormat="1" applyFont="1" applyBorder="1" applyAlignment="1">
      <alignment horizontal="center" vertical="center" wrapText="1"/>
    </xf>
    <xf numFmtId="2" fontId="34" fillId="0" borderId="2" xfId="0" applyNumberFormat="1" applyFont="1" applyFill="1" applyBorder="1" applyAlignment="1">
      <alignment horizontal="center" vertical="center" wrapText="1"/>
    </xf>
    <xf numFmtId="2" fontId="34" fillId="0" borderId="8" xfId="0" applyNumberFormat="1" applyFont="1" applyFill="1" applyBorder="1" applyAlignment="1">
      <alignment horizontal="center" vertical="center" wrapText="1"/>
    </xf>
    <xf numFmtId="0" fontId="35" fillId="0" borderId="9" xfId="0" applyFont="1" applyBorder="1" applyAlignment="1">
      <alignment horizontal="center" vertical="center" wrapText="1"/>
    </xf>
    <xf numFmtId="190" fontId="15" fillId="0" borderId="3" xfId="0" applyNumberFormat="1" applyFont="1" applyBorder="1" applyAlignment="1">
      <alignment horizontal="center" vertical="center" wrapText="1"/>
    </xf>
    <xf numFmtId="190" fontId="15" fillId="0" borderId="4" xfId="0" applyNumberFormat="1" applyFont="1" applyBorder="1" applyAlignment="1">
      <alignment horizontal="center" vertical="center" wrapText="1"/>
    </xf>
    <xf numFmtId="189" fontId="15" fillId="0" borderId="3" xfId="0" applyNumberFormat="1" applyFont="1" applyFill="1" applyBorder="1" applyAlignment="1">
      <alignment horizontal="center" vertical="center" wrapText="1"/>
    </xf>
    <xf numFmtId="189" fontId="15" fillId="0" borderId="5" xfId="0" applyNumberFormat="1" applyFont="1" applyFill="1" applyBorder="1" applyAlignment="1">
      <alignment horizontal="center" vertical="center" wrapText="1"/>
    </xf>
    <xf numFmtId="189" fontId="15" fillId="0" borderId="4" xfId="0" applyNumberFormat="1" applyFont="1" applyFill="1" applyBorder="1" applyAlignment="1">
      <alignment horizontal="center" vertical="center" wrapText="1"/>
    </xf>
    <xf numFmtId="190" fontId="15" fillId="0" borderId="3" xfId="0" applyNumberFormat="1" applyFont="1" applyFill="1" applyBorder="1" applyAlignment="1">
      <alignment horizontal="center" vertical="center" wrapText="1"/>
    </xf>
    <xf numFmtId="190" fontId="15" fillId="0" borderId="4" xfId="0" applyNumberFormat="1" applyFont="1" applyFill="1" applyBorder="1" applyAlignment="1">
      <alignment horizontal="center" vertical="center" wrapText="1"/>
    </xf>
    <xf numFmtId="190" fontId="15" fillId="0" borderId="5" xfId="0" applyNumberFormat="1" applyFont="1" applyFill="1" applyBorder="1" applyAlignment="1">
      <alignment horizontal="center" vertical="center" wrapText="1"/>
    </xf>
    <xf numFmtId="190" fontId="15" fillId="0" borderId="5" xfId="0" applyNumberFormat="1" applyFont="1" applyBorder="1" applyAlignment="1">
      <alignment horizontal="center" vertical="center" wrapText="1"/>
    </xf>
    <xf numFmtId="2" fontId="15" fillId="0" borderId="11" xfId="0" applyNumberFormat="1" applyFont="1" applyBorder="1" applyAlignment="1">
      <alignment horizontal="center" vertical="center" wrapText="1"/>
    </xf>
    <xf numFmtId="2" fontId="15" fillId="0" borderId="10" xfId="0" applyNumberFormat="1" applyFont="1" applyBorder="1" applyAlignment="1">
      <alignment horizontal="center" vertical="center" wrapText="1"/>
    </xf>
    <xf numFmtId="2" fontId="15" fillId="0" borderId="13" xfId="0" applyNumberFormat="1" applyFont="1" applyBorder="1" applyAlignment="1">
      <alignment horizontal="center" vertical="center" wrapText="1"/>
    </xf>
    <xf numFmtId="178" fontId="15" fillId="0" borderId="1" xfId="0" applyNumberFormat="1" applyFont="1" applyBorder="1" applyAlignment="1">
      <alignment horizontal="center" vertical="center" wrapText="1"/>
    </xf>
    <xf numFmtId="0" fontId="10"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28" fillId="0" borderId="0" xfId="0" applyFont="1" applyFill="1" applyAlignment="1">
      <alignment horizontal="center" vertical="center" wrapText="1"/>
    </xf>
    <xf numFmtId="0" fontId="30" fillId="0" borderId="7"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25" fillId="0" borderId="5"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32" fillId="0" borderId="6" xfId="0" applyFont="1" applyFill="1" applyBorder="1" applyAlignment="1">
      <alignment horizontal="center" vertical="center" wrapText="1"/>
    </xf>
    <xf numFmtId="0" fontId="32" fillId="0" borderId="8" xfId="0" applyFont="1" applyFill="1" applyBorder="1" applyAlignment="1">
      <alignment horizontal="center" vertical="center" wrapText="1"/>
    </xf>
    <xf numFmtId="0" fontId="13" fillId="0" borderId="3" xfId="0" applyNumberFormat="1" applyFont="1" applyFill="1" applyBorder="1" applyAlignment="1">
      <alignment horizontal="center" vertical="center" wrapText="1"/>
    </xf>
    <xf numFmtId="0" fontId="13" fillId="0" borderId="4" xfId="0" applyNumberFormat="1"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4" xfId="0" applyFont="1" applyFill="1" applyBorder="1" applyAlignment="1">
      <alignment horizontal="center" vertical="center" wrapText="1"/>
    </xf>
  </cellXfs>
  <cellStyles count="14">
    <cellStyle name="百分比" xfId="1" builtinId="5"/>
    <cellStyle name="常规" xfId="0" builtinId="0"/>
    <cellStyle name="常规 11 2" xfId="7"/>
    <cellStyle name="常规 14" xfId="5"/>
    <cellStyle name="常规 2" xfId="3"/>
    <cellStyle name="常规 3" xfId="4"/>
    <cellStyle name="常规 4" xfId="6"/>
    <cellStyle name="常规 8 2" xfId="12"/>
    <cellStyle name="常规 9 3" xfId="13"/>
    <cellStyle name="常规_Sheet1" xfId="10"/>
    <cellStyle name="常规_Sheet1 2" xfId="11"/>
    <cellStyle name="常规_常嘉项目-经营月报1" xfId="9"/>
    <cellStyle name="千位分隔" xfId="8" builtinId="3"/>
    <cellStyle name="样式 1" xfId="2"/>
  </cellStyles>
  <dxfs count="60">
    <dxf>
      <fill>
        <patternFill>
          <fgColor indexed="64"/>
          <bgColor indexed="9"/>
        </patternFill>
      </fill>
    </dxf>
    <dxf>
      <fill>
        <patternFill>
          <fgColor indexed="64"/>
          <bgColor indexed="9"/>
        </patternFill>
      </fill>
    </dxf>
    <dxf>
      <fill>
        <patternFill patternType="solid">
          <fgColor indexed="64"/>
          <bgColor indexed="9"/>
        </patternFill>
      </fill>
    </dxf>
    <dxf>
      <fill>
        <patternFill patternType="solid">
          <fgColor indexed="64"/>
          <bgColor indexed="9"/>
        </patternFill>
      </fill>
    </dxf>
    <dxf>
      <fill>
        <patternFill>
          <fgColor indexed="10"/>
          <bgColor indexed="9"/>
        </patternFill>
      </fill>
    </dxf>
    <dxf>
      <fill>
        <patternFill>
          <fgColor indexed="10"/>
          <bgColor indexed="9"/>
        </patternFill>
      </fill>
    </dxf>
    <dxf>
      <fill>
        <patternFill>
          <bgColor indexed="9"/>
        </patternFill>
      </fill>
    </dxf>
    <dxf>
      <fill>
        <patternFill>
          <bgColor indexed="9"/>
        </patternFill>
      </fill>
    </dxf>
    <dxf>
      <fill>
        <patternFill patternType="solid">
          <bgColor indexed="9"/>
        </patternFill>
      </fill>
    </dxf>
    <dxf>
      <fill>
        <patternFill patternType="solid">
          <bgColor indexed="9"/>
        </patternFill>
      </fill>
    </dxf>
    <dxf>
      <fill>
        <patternFill>
          <bgColor theme="0"/>
        </patternFill>
      </fill>
    </dxf>
    <dxf>
      <fill>
        <patternFill>
          <bgColor theme="0"/>
        </patternFill>
      </fill>
    </dxf>
    <dxf>
      <fill>
        <patternFill>
          <fgColor indexed="64"/>
          <bgColor indexed="9"/>
        </patternFill>
      </fill>
    </dxf>
    <dxf>
      <fill>
        <patternFill>
          <fgColor indexed="64"/>
          <bgColor indexed="9"/>
        </patternFill>
      </fill>
    </dxf>
    <dxf>
      <fill>
        <patternFill>
          <fgColor indexed="64"/>
          <bgColor indexed="9"/>
        </patternFill>
      </fill>
    </dxf>
    <dxf>
      <fill>
        <patternFill>
          <fgColor indexed="64"/>
          <bgColor indexed="9"/>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val="0"/>
        <condense val="0"/>
        <extend val="0"/>
        <color indexed="10"/>
      </font>
      <fill>
        <patternFill patternType="none">
          <bgColor indexed="65"/>
        </patternFill>
      </fill>
    </dxf>
    <dxf>
      <fill>
        <patternFill>
          <bgColor theme="0"/>
        </patternFill>
      </fill>
    </dxf>
    <dxf>
      <fill>
        <patternFill>
          <bgColor theme="0"/>
        </patternFill>
      </fill>
    </dxf>
    <dxf>
      <fill>
        <patternFill>
          <bgColor theme="0"/>
        </patternFill>
      </fill>
    </dxf>
    <dxf>
      <fill>
        <patternFill>
          <bgColor theme="0"/>
        </patternFill>
      </fill>
    </dxf>
    <dxf>
      <fill>
        <patternFill>
          <fgColor indexed="64"/>
          <bgColor indexed="9"/>
        </patternFill>
      </fill>
    </dxf>
    <dxf>
      <fill>
        <patternFill>
          <fgColor indexed="64"/>
          <bgColor indexed="9"/>
        </patternFill>
      </fill>
    </dxf>
    <dxf>
      <fill>
        <patternFill patternType="solid">
          <fgColor indexed="64"/>
          <bgColor indexed="9"/>
        </patternFill>
      </fill>
    </dxf>
    <dxf>
      <fill>
        <patternFill patternType="solid">
          <fgColor indexed="64"/>
          <bgColor indexed="9"/>
        </patternFill>
      </fill>
    </dxf>
    <dxf>
      <fill>
        <patternFill>
          <fgColor indexed="10"/>
          <bgColor indexed="9"/>
        </patternFill>
      </fill>
    </dxf>
    <dxf>
      <fill>
        <patternFill>
          <fgColor indexed="10"/>
          <bgColor indexed="9"/>
        </patternFill>
      </fill>
    </dxf>
    <dxf>
      <fill>
        <patternFill>
          <bgColor indexed="9"/>
        </patternFill>
      </fill>
    </dxf>
    <dxf>
      <fill>
        <patternFill>
          <bgColor indexed="9"/>
        </patternFill>
      </fill>
    </dxf>
    <dxf>
      <fill>
        <patternFill patternType="solid">
          <bgColor indexed="9"/>
        </patternFill>
      </fill>
    </dxf>
    <dxf>
      <fill>
        <patternFill patternType="solid">
          <bgColor indexed="9"/>
        </patternFill>
      </fill>
    </dxf>
    <dxf>
      <fill>
        <patternFill>
          <bgColor theme="0"/>
        </patternFill>
      </fill>
    </dxf>
    <dxf>
      <fill>
        <patternFill>
          <bgColor theme="0"/>
        </patternFill>
      </fill>
    </dxf>
    <dxf>
      <fill>
        <patternFill>
          <fgColor indexed="64"/>
          <bgColor indexed="9"/>
        </patternFill>
      </fill>
    </dxf>
    <dxf>
      <fill>
        <patternFill>
          <fgColor indexed="64"/>
          <bgColor indexed="9"/>
        </patternFill>
      </fill>
    </dxf>
    <dxf>
      <fill>
        <patternFill>
          <fgColor indexed="64"/>
          <bgColor indexed="9"/>
        </patternFill>
      </fill>
    </dxf>
    <dxf>
      <fill>
        <patternFill>
          <fgColor indexed="64"/>
          <bgColor indexed="9"/>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val="0"/>
        <condense val="0"/>
        <extend val="0"/>
        <color indexed="10"/>
      </font>
      <fill>
        <patternFill patternType="none">
          <bgColor indexed="65"/>
        </patternFill>
      </fill>
    </dxf>
    <dxf>
      <fill>
        <patternFill>
          <bgColor theme="0"/>
        </patternFill>
      </fill>
    </dxf>
    <dxf>
      <fill>
        <patternFill>
          <bgColor theme="0"/>
        </patternFill>
      </fill>
    </dxf>
    <dxf>
      <fill>
        <patternFill>
          <bgColor theme="0"/>
        </patternFill>
      </fill>
    </dxf>
    <dxf>
      <fill>
        <patternFill>
          <bgColor theme="0"/>
        </patternFill>
      </fill>
    </dxf>
    <dxf>
      <fill>
        <patternFill>
          <fgColor indexed="64"/>
          <bgColor indexed="9"/>
        </patternFill>
      </fill>
    </dxf>
    <dxf>
      <fill>
        <patternFill>
          <fgColor indexed="64"/>
          <bgColor indexed="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445;&#38505;&#25253;&#34920;/&#20445;&#38505;6&#26376;/5&#12289;&#20116;&#20844;&#21496;2015&#24180;2&#23395;&#24230;&#22312;&#24314;&#39033;&#30446;&#20445;&#38505;&#29702;&#36180;&#24773;&#20917;&#32479;&#35745;&#23395;&#25253;2015.6.2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在建项目保险理赔情况统计季报汇总"/>
      <sheetName val="桑上"/>
      <sheetName val="呼伦贝尔"/>
      <sheetName val="北京试验场"/>
      <sheetName val="交通工程广场"/>
      <sheetName val="驻信9标"/>
      <sheetName val="驻信11标"/>
      <sheetName val="仙桃一分部"/>
      <sheetName val="仙桃三分部"/>
      <sheetName val="龙永"/>
      <sheetName val="新溆"/>
      <sheetName val="长韶娄"/>
      <sheetName val="邵坪"/>
      <sheetName val="兰永项目"/>
      <sheetName val="十天七标"/>
      <sheetName val="十天12标"/>
      <sheetName val="渭武"/>
      <sheetName val="铜南宣"/>
      <sheetName val="济祁"/>
      <sheetName val="S256"/>
      <sheetName val="万利3分部"/>
      <sheetName val="万利7分部"/>
      <sheetName val="宁高"/>
      <sheetName val="高芜"/>
      <sheetName val="银河时代广场"/>
      <sheetName val="张家港"/>
      <sheetName val="苏州东环"/>
      <sheetName val="连盐铁路"/>
      <sheetName val="盐城CPG-2、4"/>
      <sheetName val="徐州疏港"/>
      <sheetName val="密涿"/>
      <sheetName val="兰州绕城"/>
      <sheetName val="甘肃国道312"/>
      <sheetName val="鲁坨路二期"/>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sheetData sheetId="9"/>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Y10"/>
  <sheetViews>
    <sheetView tabSelected="1" topLeftCell="H1" zoomScale="110" zoomScaleNormal="110" workbookViewId="0">
      <selection activeCell="U9" sqref="U9"/>
    </sheetView>
  </sheetViews>
  <sheetFormatPr defaultRowHeight="15"/>
  <cols>
    <col min="1" max="1" width="3.625" style="448" customWidth="1"/>
    <col min="2" max="4" width="16.625" style="448" customWidth="1"/>
    <col min="5" max="5" width="11.75" style="448" customWidth="1"/>
    <col min="6" max="6" width="11.25" style="448" customWidth="1"/>
    <col min="7" max="7" width="12.125" style="448" customWidth="1"/>
    <col min="8" max="8" width="12.25" style="448" customWidth="1"/>
    <col min="9" max="9" width="9.25" style="448" customWidth="1"/>
    <col min="10" max="10" width="12" style="448" customWidth="1"/>
    <col min="11" max="13" width="8.875" style="448" customWidth="1"/>
    <col min="14" max="14" width="18.25" style="448" customWidth="1"/>
    <col min="15" max="15" width="10.5" style="448" customWidth="1"/>
    <col min="16" max="16" width="8.125" style="448" customWidth="1"/>
    <col min="17" max="17" width="9.25" style="448" customWidth="1"/>
    <col min="18" max="19" width="9.5" style="448" customWidth="1"/>
    <col min="20" max="20" width="9.375" style="448" customWidth="1"/>
    <col min="21" max="22" width="9.375" style="459" customWidth="1"/>
    <col min="23" max="23" width="11.75" style="459" customWidth="1"/>
    <col min="24" max="24" width="9.375" style="459" customWidth="1"/>
    <col min="25" max="25" width="5.875" style="448" customWidth="1"/>
    <col min="26" max="16384" width="9" style="448"/>
  </cols>
  <sheetData>
    <row r="1" spans="1:25" ht="43.5" customHeight="1">
      <c r="A1" s="465" t="s">
        <v>2475</v>
      </c>
      <c r="B1" s="465"/>
      <c r="C1" s="465"/>
      <c r="D1" s="465"/>
      <c r="E1" s="465"/>
      <c r="F1" s="465"/>
      <c r="G1" s="465"/>
      <c r="H1" s="465"/>
      <c r="I1" s="465"/>
      <c r="J1" s="465"/>
      <c r="K1" s="465"/>
      <c r="L1" s="465"/>
      <c r="M1" s="465"/>
      <c r="N1" s="465"/>
      <c r="O1" s="465"/>
      <c r="P1" s="465"/>
      <c r="Q1" s="465"/>
      <c r="R1" s="465"/>
      <c r="S1" s="465"/>
      <c r="T1" s="465"/>
      <c r="U1" s="465"/>
      <c r="V1" s="465"/>
      <c r="W1" s="465"/>
      <c r="X1" s="465"/>
      <c r="Y1" s="465"/>
    </row>
    <row r="2" spans="1:25" ht="19.5" customHeight="1">
      <c r="A2" s="449"/>
      <c r="B2" s="449"/>
      <c r="C2" s="449"/>
      <c r="D2" s="449"/>
      <c r="E2" s="449"/>
      <c r="F2" s="449"/>
      <c r="G2" s="449"/>
      <c r="H2" s="449"/>
      <c r="I2" s="449"/>
      <c r="J2" s="449"/>
      <c r="K2" s="449"/>
      <c r="L2" s="449"/>
      <c r="M2" s="449"/>
      <c r="N2" s="449"/>
      <c r="O2" s="449"/>
      <c r="P2" s="449"/>
      <c r="Q2" s="449"/>
      <c r="R2" s="449"/>
      <c r="S2" s="467" t="s">
        <v>2477</v>
      </c>
      <c r="T2" s="467"/>
      <c r="U2" s="467"/>
      <c r="V2" s="467"/>
      <c r="W2" s="467"/>
      <c r="X2" s="467"/>
      <c r="Y2" s="467"/>
    </row>
    <row r="3" spans="1:25" s="450" customFormat="1" ht="24" customHeight="1">
      <c r="A3" s="462" t="s">
        <v>1868</v>
      </c>
      <c r="B3" s="462" t="s">
        <v>1869</v>
      </c>
      <c r="C3" s="462" t="s">
        <v>2476</v>
      </c>
      <c r="D3" s="462" t="s">
        <v>1866</v>
      </c>
      <c r="E3" s="468" t="s">
        <v>0</v>
      </c>
      <c r="F3" s="469"/>
      <c r="G3" s="469"/>
      <c r="H3" s="469"/>
      <c r="I3" s="469"/>
      <c r="J3" s="469"/>
      <c r="K3" s="469"/>
      <c r="L3" s="469"/>
      <c r="M3" s="468" t="s">
        <v>14</v>
      </c>
      <c r="N3" s="469"/>
      <c r="O3" s="469"/>
      <c r="P3" s="469"/>
      <c r="Q3" s="469"/>
      <c r="R3" s="469"/>
      <c r="S3" s="469"/>
      <c r="T3" s="469"/>
      <c r="U3" s="469"/>
      <c r="V3" s="469"/>
      <c r="W3" s="469"/>
      <c r="X3" s="470"/>
      <c r="Y3" s="466" t="s">
        <v>1870</v>
      </c>
    </row>
    <row r="4" spans="1:25" s="450" customFormat="1" ht="27" customHeight="1">
      <c r="A4" s="463"/>
      <c r="B4" s="463"/>
      <c r="C4" s="463"/>
      <c r="D4" s="463"/>
      <c r="E4" s="466" t="s">
        <v>4</v>
      </c>
      <c r="F4" s="466"/>
      <c r="G4" s="466"/>
      <c r="H4" s="466" t="s">
        <v>2</v>
      </c>
      <c r="I4" s="466"/>
      <c r="J4" s="466" t="s">
        <v>7</v>
      </c>
      <c r="K4" s="466"/>
      <c r="L4" s="466" t="s">
        <v>10</v>
      </c>
      <c r="M4" s="466" t="s">
        <v>1867</v>
      </c>
      <c r="N4" s="466" t="s">
        <v>3</v>
      </c>
      <c r="O4" s="466" t="s">
        <v>1</v>
      </c>
      <c r="P4" s="466" t="s">
        <v>15</v>
      </c>
      <c r="Q4" s="466" t="s">
        <v>11</v>
      </c>
      <c r="R4" s="466" t="s">
        <v>1871</v>
      </c>
      <c r="S4" s="466" t="s">
        <v>12</v>
      </c>
      <c r="T4" s="466" t="s">
        <v>1833</v>
      </c>
      <c r="U4" s="471" t="s">
        <v>1830</v>
      </c>
      <c r="V4" s="471" t="s">
        <v>1831</v>
      </c>
      <c r="W4" s="466" t="s">
        <v>1832</v>
      </c>
      <c r="X4" s="471" t="s">
        <v>1834</v>
      </c>
      <c r="Y4" s="466"/>
    </row>
    <row r="5" spans="1:25" s="450" customFormat="1" ht="27" customHeight="1">
      <c r="A5" s="464"/>
      <c r="B5" s="464"/>
      <c r="C5" s="464"/>
      <c r="D5" s="464"/>
      <c r="E5" s="451" t="s">
        <v>8</v>
      </c>
      <c r="F5" s="451" t="s">
        <v>5</v>
      </c>
      <c r="G5" s="451" t="s">
        <v>6</v>
      </c>
      <c r="H5" s="451" t="s">
        <v>8</v>
      </c>
      <c r="I5" s="451" t="s">
        <v>9</v>
      </c>
      <c r="J5" s="451" t="s">
        <v>8</v>
      </c>
      <c r="K5" s="451" t="s">
        <v>9</v>
      </c>
      <c r="L5" s="466"/>
      <c r="M5" s="466"/>
      <c r="N5" s="466"/>
      <c r="O5" s="466"/>
      <c r="P5" s="466"/>
      <c r="Q5" s="466"/>
      <c r="R5" s="466"/>
      <c r="S5" s="466"/>
      <c r="T5" s="466"/>
      <c r="U5" s="472"/>
      <c r="V5" s="472"/>
      <c r="W5" s="466"/>
      <c r="X5" s="472"/>
      <c r="Y5" s="466"/>
    </row>
    <row r="6" spans="1:25" s="450" customFormat="1" ht="27" customHeight="1">
      <c r="A6" s="452">
        <v>1</v>
      </c>
      <c r="B6" s="446"/>
      <c r="C6" s="460"/>
      <c r="D6" s="444"/>
      <c r="E6" s="454"/>
      <c r="F6" s="455"/>
      <c r="G6" s="455"/>
      <c r="H6" s="454"/>
      <c r="I6" s="455"/>
      <c r="J6" s="455"/>
      <c r="K6" s="455"/>
      <c r="L6" s="455"/>
      <c r="M6" s="454"/>
      <c r="N6" s="454"/>
      <c r="O6" s="454"/>
      <c r="P6" s="447"/>
      <c r="Q6" s="447"/>
      <c r="R6" s="454"/>
      <c r="S6" s="454"/>
      <c r="T6" s="457"/>
      <c r="U6" s="441"/>
      <c r="V6" s="441"/>
      <c r="W6" s="441"/>
      <c r="X6" s="441"/>
      <c r="Y6" s="454"/>
    </row>
    <row r="7" spans="1:25" s="450" customFormat="1" ht="27" customHeight="1">
      <c r="A7" s="452">
        <v>2</v>
      </c>
      <c r="B7" s="446"/>
      <c r="C7" s="461"/>
      <c r="D7" s="453"/>
      <c r="E7" s="444"/>
      <c r="F7" s="443"/>
      <c r="G7" s="443"/>
      <c r="H7" s="445"/>
      <c r="I7" s="443"/>
      <c r="J7" s="443"/>
      <c r="K7" s="443"/>
      <c r="L7" s="443"/>
      <c r="M7" s="444"/>
      <c r="N7" s="444"/>
      <c r="O7" s="444"/>
      <c r="P7" s="445"/>
      <c r="Q7" s="445"/>
      <c r="R7" s="444"/>
      <c r="S7" s="444"/>
      <c r="T7" s="457"/>
      <c r="U7" s="441"/>
      <c r="V7" s="441"/>
      <c r="W7" s="441"/>
      <c r="X7" s="441"/>
      <c r="Y7" s="444"/>
    </row>
    <row r="8" spans="1:25" s="450" customFormat="1" ht="27" customHeight="1">
      <c r="A8" s="452">
        <v>3</v>
      </c>
      <c r="B8" s="446"/>
      <c r="C8" s="461"/>
      <c r="D8" s="453"/>
      <c r="E8" s="444"/>
      <c r="F8" s="443"/>
      <c r="G8" s="443"/>
      <c r="H8" s="445"/>
      <c r="I8" s="443"/>
      <c r="J8" s="443"/>
      <c r="K8" s="443"/>
      <c r="L8" s="443"/>
      <c r="M8" s="444"/>
      <c r="N8" s="444"/>
      <c r="O8" s="444"/>
      <c r="P8" s="445"/>
      <c r="Q8" s="445"/>
      <c r="R8" s="444"/>
      <c r="S8" s="443"/>
      <c r="T8" s="457"/>
      <c r="U8" s="441"/>
      <c r="V8" s="441"/>
      <c r="W8" s="442"/>
      <c r="X8" s="442"/>
      <c r="Y8" s="444"/>
    </row>
    <row r="9" spans="1:25" s="450" customFormat="1" ht="27" customHeight="1">
      <c r="A9" s="452">
        <v>4</v>
      </c>
      <c r="B9" s="446"/>
      <c r="C9" s="461"/>
      <c r="D9" s="453"/>
      <c r="E9" s="456"/>
      <c r="F9" s="458"/>
      <c r="G9" s="458"/>
      <c r="H9" s="456"/>
      <c r="I9" s="458"/>
      <c r="J9" s="458"/>
      <c r="K9" s="458"/>
      <c r="L9" s="458"/>
      <c r="M9" s="456"/>
      <c r="N9" s="456"/>
      <c r="O9" s="456"/>
      <c r="P9" s="440"/>
      <c r="Q9" s="440"/>
      <c r="R9" s="456"/>
      <c r="S9" s="458"/>
      <c r="T9" s="457"/>
      <c r="U9" s="441"/>
      <c r="V9" s="441"/>
      <c r="W9" s="441"/>
      <c r="X9" s="441"/>
      <c r="Y9" s="456"/>
    </row>
    <row r="10" spans="1:25" s="450" customFormat="1" ht="27" customHeight="1">
      <c r="A10" s="452">
        <v>5</v>
      </c>
      <c r="B10" s="446"/>
      <c r="C10" s="461"/>
      <c r="D10" s="453"/>
      <c r="E10" s="444"/>
      <c r="F10" s="443"/>
      <c r="G10" s="443"/>
      <c r="H10" s="445"/>
      <c r="I10" s="443"/>
      <c r="J10" s="443"/>
      <c r="K10" s="443"/>
      <c r="L10" s="443"/>
      <c r="M10" s="444"/>
      <c r="N10" s="444"/>
      <c r="O10" s="444"/>
      <c r="P10" s="445"/>
      <c r="Q10" s="445"/>
      <c r="R10" s="444"/>
      <c r="S10" s="443"/>
      <c r="T10" s="457"/>
      <c r="U10" s="441"/>
      <c r="V10" s="441"/>
      <c r="W10" s="442"/>
      <c r="X10" s="442"/>
      <c r="Y10" s="444"/>
    </row>
  </sheetData>
  <autoFilter ref="A4:Y10">
    <filterColumn colId="4" showButton="0"/>
    <filterColumn colId="5" showButton="0"/>
    <filterColumn colId="7" showButton="0"/>
    <filterColumn colId="9" showButton="0"/>
  </autoFilter>
  <mergeCells count="25">
    <mergeCell ref="D3:D5"/>
    <mergeCell ref="W4:W5"/>
    <mergeCell ref="Q4:Q5"/>
    <mergeCell ref="S2:Y2"/>
    <mergeCell ref="E3:L3"/>
    <mergeCell ref="M3:X3"/>
    <mergeCell ref="U4:U5"/>
    <mergeCell ref="X4:X5"/>
    <mergeCell ref="V4:V5"/>
    <mergeCell ref="C3:C5"/>
    <mergeCell ref="A1:Y1"/>
    <mergeCell ref="H4:I4"/>
    <mergeCell ref="J4:K4"/>
    <mergeCell ref="L4:L5"/>
    <mergeCell ref="B3:B5"/>
    <mergeCell ref="A3:A5"/>
    <mergeCell ref="E4:G4"/>
    <mergeCell ref="S4:S5"/>
    <mergeCell ref="T4:T5"/>
    <mergeCell ref="Y3:Y5"/>
    <mergeCell ref="O4:O5"/>
    <mergeCell ref="M4:M5"/>
    <mergeCell ref="R4:R5"/>
    <mergeCell ref="N4:N5"/>
    <mergeCell ref="P4:P5"/>
  </mergeCells>
  <phoneticPr fontId="1" type="noConversion"/>
  <pageMargins left="0.7" right="0.7" top="0.75" bottom="0.75" header="0.3" footer="0.3"/>
  <pageSetup paperSize="9" orientation="landscape" horizontalDpi="200" verticalDpi="200" r:id="rId1"/>
</worksheet>
</file>

<file path=xl/worksheets/sheet2.xml><?xml version="1.0" encoding="utf-8"?>
<worksheet xmlns="http://schemas.openxmlformats.org/spreadsheetml/2006/main" xmlns:r="http://schemas.openxmlformats.org/officeDocument/2006/relationships">
  <sheetPr filterMode="1"/>
  <dimension ref="A1:AG888"/>
  <sheetViews>
    <sheetView zoomScale="110" zoomScaleNormal="110" workbookViewId="0">
      <selection activeCell="AD33" sqref="AD33"/>
    </sheetView>
  </sheetViews>
  <sheetFormatPr defaultRowHeight="15"/>
  <cols>
    <col min="1" max="1" width="9" style="1"/>
    <col min="2" max="2" width="3.625" style="1" customWidth="1"/>
    <col min="3" max="3" width="16.625" style="1" customWidth="1"/>
    <col min="4" max="5" width="16.625" style="78" hidden="1" customWidth="1"/>
    <col min="6" max="6" width="11.75" style="1" hidden="1" customWidth="1"/>
    <col min="7" max="7" width="11.25" style="1" hidden="1" customWidth="1"/>
    <col min="8" max="8" width="12.125" style="1" hidden="1" customWidth="1"/>
    <col min="9" max="9" width="12.25" style="1" hidden="1" customWidth="1"/>
    <col min="10" max="10" width="9.25" style="1" hidden="1" customWidth="1"/>
    <col min="11" max="11" width="12" style="1" hidden="1" customWidth="1"/>
    <col min="12" max="14" width="8.875" style="1" hidden="1" customWidth="1"/>
    <col min="15" max="15" width="18.25" style="1" hidden="1" customWidth="1"/>
    <col min="16" max="16" width="10.5" style="1" customWidth="1"/>
    <col min="17" max="17" width="8.125" style="1" customWidth="1"/>
    <col min="18" max="18" width="9.25" style="1" customWidth="1"/>
    <col min="19" max="20" width="9.5" style="1" customWidth="1"/>
    <col min="21" max="21" width="9.375" style="1" customWidth="1"/>
    <col min="22" max="23" width="9.375" style="26" customWidth="1"/>
    <col min="24" max="24" width="11.75" style="26" customWidth="1"/>
    <col min="25" max="25" width="9.375" style="26" customWidth="1"/>
    <col min="26" max="26" width="5.875" style="1" customWidth="1"/>
    <col min="27" max="32" width="9" style="1"/>
    <col min="33" max="33" width="9.875" style="1" bestFit="1" customWidth="1"/>
    <col min="34" max="16384" width="9" style="1"/>
  </cols>
  <sheetData>
    <row r="1" spans="1:33" ht="43.5" customHeight="1">
      <c r="B1" s="473" t="s">
        <v>1863</v>
      </c>
      <c r="C1" s="473"/>
      <c r="D1" s="473"/>
      <c r="E1" s="473"/>
      <c r="F1" s="473"/>
      <c r="G1" s="473"/>
      <c r="H1" s="473"/>
      <c r="I1" s="473"/>
      <c r="J1" s="473"/>
      <c r="K1" s="473"/>
      <c r="L1" s="473"/>
      <c r="M1" s="473"/>
      <c r="N1" s="473"/>
      <c r="O1" s="473"/>
      <c r="P1" s="473"/>
      <c r="Q1" s="473"/>
      <c r="R1" s="473"/>
      <c r="S1" s="473"/>
      <c r="T1" s="473"/>
      <c r="U1" s="473"/>
      <c r="V1" s="473"/>
      <c r="W1" s="473"/>
      <c r="X1" s="473"/>
      <c r="Y1" s="473"/>
      <c r="Z1" s="473"/>
    </row>
    <row r="2" spans="1:33" ht="19.5" customHeight="1">
      <c r="B2" s="328"/>
      <c r="C2" s="328"/>
      <c r="D2" s="75"/>
      <c r="E2" s="75"/>
      <c r="F2" s="328"/>
      <c r="G2" s="328"/>
      <c r="H2" s="328"/>
      <c r="I2" s="328"/>
      <c r="J2" s="328"/>
      <c r="K2" s="328"/>
      <c r="L2" s="328"/>
      <c r="M2" s="328"/>
      <c r="N2" s="328"/>
      <c r="O2" s="328"/>
      <c r="P2" s="328"/>
      <c r="Q2" s="328"/>
      <c r="R2" s="328"/>
      <c r="S2" s="328"/>
      <c r="T2" s="474" t="s">
        <v>13</v>
      </c>
      <c r="U2" s="474"/>
      <c r="V2" s="474"/>
      <c r="W2" s="474"/>
      <c r="X2" s="474"/>
      <c r="Y2" s="474"/>
      <c r="Z2" s="474"/>
    </row>
    <row r="3" spans="1:33" s="2" customFormat="1" ht="24" customHeight="1">
      <c r="A3" s="475" t="s">
        <v>252</v>
      </c>
      <c r="B3" s="476" t="s">
        <v>1828</v>
      </c>
      <c r="C3" s="476" t="s">
        <v>1869</v>
      </c>
      <c r="D3" s="479" t="s">
        <v>2055</v>
      </c>
      <c r="E3" s="479" t="s">
        <v>1866</v>
      </c>
      <c r="F3" s="482" t="s">
        <v>0</v>
      </c>
      <c r="G3" s="483"/>
      <c r="H3" s="483"/>
      <c r="I3" s="483"/>
      <c r="J3" s="483"/>
      <c r="K3" s="483"/>
      <c r="L3" s="483"/>
      <c r="M3" s="483"/>
      <c r="N3" s="482" t="s">
        <v>14</v>
      </c>
      <c r="O3" s="483"/>
      <c r="P3" s="483"/>
      <c r="Q3" s="483"/>
      <c r="R3" s="483"/>
      <c r="S3" s="483"/>
      <c r="T3" s="483"/>
      <c r="U3" s="483"/>
      <c r="V3" s="483"/>
      <c r="W3" s="483"/>
      <c r="X3" s="483"/>
      <c r="Y3" s="484"/>
      <c r="Z3" s="485" t="s">
        <v>1870</v>
      </c>
      <c r="AA3" s="98"/>
    </row>
    <row r="4" spans="1:33" s="2" customFormat="1" ht="27" customHeight="1">
      <c r="A4" s="475"/>
      <c r="B4" s="477"/>
      <c r="C4" s="477"/>
      <c r="D4" s="480"/>
      <c r="E4" s="480"/>
      <c r="F4" s="485" t="s">
        <v>4</v>
      </c>
      <c r="G4" s="485"/>
      <c r="H4" s="485"/>
      <c r="I4" s="485" t="s">
        <v>2</v>
      </c>
      <c r="J4" s="485"/>
      <c r="K4" s="485" t="s">
        <v>7</v>
      </c>
      <c r="L4" s="485"/>
      <c r="M4" s="485" t="s">
        <v>10</v>
      </c>
      <c r="N4" s="485" t="s">
        <v>1867</v>
      </c>
      <c r="O4" s="485" t="s">
        <v>3</v>
      </c>
      <c r="P4" s="485" t="s">
        <v>1</v>
      </c>
      <c r="Q4" s="485" t="s">
        <v>15</v>
      </c>
      <c r="R4" s="485" t="s">
        <v>11</v>
      </c>
      <c r="S4" s="485" t="s">
        <v>1871</v>
      </c>
      <c r="T4" s="485" t="s">
        <v>12</v>
      </c>
      <c r="U4" s="485" t="s">
        <v>1833</v>
      </c>
      <c r="V4" s="507" t="s">
        <v>1830</v>
      </c>
      <c r="W4" s="507" t="s">
        <v>1831</v>
      </c>
      <c r="X4" s="485" t="s">
        <v>1832</v>
      </c>
      <c r="Y4" s="507" t="s">
        <v>1834</v>
      </c>
      <c r="Z4" s="485"/>
      <c r="AA4" s="98"/>
      <c r="AB4" s="329"/>
      <c r="AC4" s="315" t="s">
        <v>11</v>
      </c>
      <c r="AD4" s="315" t="s">
        <v>15</v>
      </c>
      <c r="AE4" s="315" t="s">
        <v>12</v>
      </c>
      <c r="AF4" s="435"/>
    </row>
    <row r="5" spans="1:33" s="2" customFormat="1" ht="27" hidden="1" customHeight="1">
      <c r="A5" s="475"/>
      <c r="B5" s="478"/>
      <c r="C5" s="478"/>
      <c r="D5" s="481"/>
      <c r="E5" s="481"/>
      <c r="F5" s="315" t="s">
        <v>8</v>
      </c>
      <c r="G5" s="315" t="s">
        <v>5</v>
      </c>
      <c r="H5" s="315" t="s">
        <v>6</v>
      </c>
      <c r="I5" s="315" t="s">
        <v>8</v>
      </c>
      <c r="J5" s="315" t="s">
        <v>9</v>
      </c>
      <c r="K5" s="315" t="s">
        <v>8</v>
      </c>
      <c r="L5" s="315" t="s">
        <v>9</v>
      </c>
      <c r="M5" s="485"/>
      <c r="N5" s="485"/>
      <c r="O5" s="485"/>
      <c r="P5" s="485"/>
      <c r="Q5" s="485"/>
      <c r="R5" s="485"/>
      <c r="S5" s="485"/>
      <c r="T5" s="485"/>
      <c r="U5" s="485"/>
      <c r="V5" s="508"/>
      <c r="W5" s="508"/>
      <c r="X5" s="485"/>
      <c r="Y5" s="508"/>
      <c r="Z5" s="485"/>
      <c r="AA5" s="98"/>
    </row>
    <row r="6" spans="1:33" s="2" customFormat="1" ht="27" hidden="1" customHeight="1">
      <c r="A6" s="475" t="s">
        <v>253</v>
      </c>
      <c r="B6" s="335">
        <v>1</v>
      </c>
      <c r="C6" s="99" t="s">
        <v>16</v>
      </c>
      <c r="D6" s="76">
        <v>12271.16</v>
      </c>
      <c r="E6" s="367" t="s">
        <v>2037</v>
      </c>
      <c r="F6" s="331" t="s">
        <v>17</v>
      </c>
      <c r="G6" s="330">
        <v>28.107600000000001</v>
      </c>
      <c r="H6" s="330">
        <v>0.3</v>
      </c>
      <c r="I6" s="331" t="s">
        <v>17</v>
      </c>
      <c r="J6" s="330">
        <v>11.271100000000001</v>
      </c>
      <c r="K6" s="330"/>
      <c r="L6" s="330"/>
      <c r="M6" s="330">
        <v>39.678699999999999</v>
      </c>
      <c r="N6" s="331"/>
      <c r="O6" s="331"/>
      <c r="P6" s="331"/>
      <c r="Q6" s="100"/>
      <c r="R6" s="100"/>
      <c r="S6" s="331"/>
      <c r="T6" s="331"/>
      <c r="U6" s="344"/>
      <c r="V6" s="101"/>
      <c r="W6" s="101"/>
      <c r="X6" s="101"/>
      <c r="Y6" s="101"/>
      <c r="Z6" s="331" t="s">
        <v>18</v>
      </c>
      <c r="AA6" s="331"/>
    </row>
    <row r="7" spans="1:33" s="2" customFormat="1" ht="27" hidden="1" customHeight="1">
      <c r="A7" s="475"/>
      <c r="B7" s="335">
        <v>2</v>
      </c>
      <c r="C7" s="99" t="s">
        <v>19</v>
      </c>
      <c r="D7" s="369">
        <v>54770.22</v>
      </c>
      <c r="E7" s="368" t="s">
        <v>2038</v>
      </c>
      <c r="F7" s="332" t="s">
        <v>20</v>
      </c>
      <c r="G7" s="333">
        <v>158.25890000000001</v>
      </c>
      <c r="H7" s="333"/>
      <c r="I7" s="102"/>
      <c r="J7" s="333"/>
      <c r="K7" s="333"/>
      <c r="L7" s="333"/>
      <c r="M7" s="333">
        <f>SUM(G7,H7,J7,L7)</f>
        <v>158.25890000000001</v>
      </c>
      <c r="N7" s="332"/>
      <c r="O7" s="332"/>
      <c r="P7" s="332"/>
      <c r="Q7" s="102"/>
      <c r="R7" s="102"/>
      <c r="S7" s="332"/>
      <c r="T7" s="332"/>
      <c r="U7" s="344"/>
      <c r="V7" s="101"/>
      <c r="W7" s="101"/>
      <c r="X7" s="101"/>
      <c r="Y7" s="101"/>
      <c r="Z7" s="332" t="s">
        <v>21</v>
      </c>
      <c r="AA7" s="332"/>
    </row>
    <row r="8" spans="1:33" s="2" customFormat="1" ht="27" hidden="1" customHeight="1">
      <c r="A8" s="475"/>
      <c r="B8" s="335">
        <v>3</v>
      </c>
      <c r="C8" s="99" t="s">
        <v>22</v>
      </c>
      <c r="D8" s="369">
        <v>34450.736700000001</v>
      </c>
      <c r="E8" s="368" t="s">
        <v>2039</v>
      </c>
      <c r="F8" s="332" t="s">
        <v>23</v>
      </c>
      <c r="G8" s="333">
        <v>107.6921</v>
      </c>
      <c r="H8" s="333">
        <v>0</v>
      </c>
      <c r="I8" s="102" t="s">
        <v>24</v>
      </c>
      <c r="J8" s="333">
        <v>19.646699999999999</v>
      </c>
      <c r="K8" s="333"/>
      <c r="L8" s="333"/>
      <c r="M8" s="333">
        <f>SUM(G8,H8,J8,L8)</f>
        <v>127.33879999999999</v>
      </c>
      <c r="N8" s="332" t="s">
        <v>25</v>
      </c>
      <c r="O8" s="332" t="s">
        <v>26</v>
      </c>
      <c r="P8" s="76" t="s">
        <v>27</v>
      </c>
      <c r="Q8" s="102">
        <v>5.2</v>
      </c>
      <c r="R8" s="102">
        <v>12</v>
      </c>
      <c r="S8" s="332" t="s">
        <v>28</v>
      </c>
      <c r="T8" s="333">
        <v>2.4</v>
      </c>
      <c r="U8" s="344">
        <f t="shared" ref="U8:U67" si="0">T8/Q8</f>
        <v>0.46153846153846151</v>
      </c>
      <c r="V8" s="101">
        <f>Q8</f>
        <v>5.2</v>
      </c>
      <c r="W8" s="101">
        <f>T8</f>
        <v>2.4</v>
      </c>
      <c r="X8" s="103">
        <f>W8/V8</f>
        <v>0.46153846153846151</v>
      </c>
      <c r="Y8" s="103">
        <f>W8/M8</f>
        <v>1.8847358385660932E-2</v>
      </c>
      <c r="Z8" s="332" t="s">
        <v>29</v>
      </c>
      <c r="AA8" s="332"/>
    </row>
    <row r="9" spans="1:33" s="2" customFormat="1" ht="27" hidden="1" customHeight="1">
      <c r="A9" s="475"/>
      <c r="B9" s="335">
        <v>4</v>
      </c>
      <c r="C9" s="99" t="s">
        <v>30</v>
      </c>
      <c r="D9" s="369">
        <v>25844.28</v>
      </c>
      <c r="E9" s="368" t="s">
        <v>2040</v>
      </c>
      <c r="F9" s="337" t="s">
        <v>31</v>
      </c>
      <c r="G9" s="104">
        <v>69.201300000000003</v>
      </c>
      <c r="H9" s="104">
        <v>0.3</v>
      </c>
      <c r="I9" s="337"/>
      <c r="J9" s="104"/>
      <c r="K9" s="104"/>
      <c r="L9" s="104"/>
      <c r="M9" s="104"/>
      <c r="N9" s="337"/>
      <c r="O9" s="337"/>
      <c r="P9" s="158"/>
      <c r="Q9" s="105"/>
      <c r="R9" s="105"/>
      <c r="S9" s="337"/>
      <c r="T9" s="104"/>
      <c r="U9" s="344"/>
      <c r="V9" s="101"/>
      <c r="W9" s="101"/>
      <c r="X9" s="101"/>
      <c r="Y9" s="101"/>
      <c r="Z9" s="337" t="s">
        <v>32</v>
      </c>
      <c r="AA9" s="332"/>
    </row>
    <row r="10" spans="1:33" s="2" customFormat="1" ht="27" customHeight="1">
      <c r="A10" s="475"/>
      <c r="B10" s="335">
        <v>5</v>
      </c>
      <c r="C10" s="99" t="s">
        <v>33</v>
      </c>
      <c r="D10" s="369">
        <v>28381.84</v>
      </c>
      <c r="E10" s="368" t="s">
        <v>2041</v>
      </c>
      <c r="F10" s="332" t="s">
        <v>31</v>
      </c>
      <c r="G10" s="333">
        <v>515.54999999999995</v>
      </c>
      <c r="H10" s="333">
        <v>4.2</v>
      </c>
      <c r="I10" s="102"/>
      <c r="J10" s="333"/>
      <c r="K10" s="333"/>
      <c r="L10" s="333"/>
      <c r="M10" s="333">
        <f>SUM(G10:L10)</f>
        <v>519.75</v>
      </c>
      <c r="N10" s="332" t="s">
        <v>34</v>
      </c>
      <c r="O10" s="332" t="s">
        <v>35</v>
      </c>
      <c r="P10" s="76" t="s">
        <v>36</v>
      </c>
      <c r="Q10" s="102">
        <v>20</v>
      </c>
      <c r="R10" s="102">
        <v>352.94909999999999</v>
      </c>
      <c r="S10" s="332"/>
      <c r="T10" s="333"/>
      <c r="U10" s="344">
        <f t="shared" si="0"/>
        <v>0</v>
      </c>
      <c r="V10" s="101">
        <f>Q10</f>
        <v>20</v>
      </c>
      <c r="W10" s="101">
        <f>T10</f>
        <v>0</v>
      </c>
      <c r="X10" s="103"/>
      <c r="Y10" s="103"/>
      <c r="Z10" s="332" t="s">
        <v>32</v>
      </c>
      <c r="AA10" s="332"/>
      <c r="AC10" s="437">
        <f>SUBTOTAL(9,R10:R91)</f>
        <v>2878.7775999999999</v>
      </c>
      <c r="AD10" s="437">
        <f>SUBTOTAL(9,Q10:Q91)</f>
        <v>1425.6559999999999</v>
      </c>
      <c r="AE10" s="437">
        <f>SUBTOTAL(9,T10:T91)</f>
        <v>633.19677000000001</v>
      </c>
      <c r="AF10" s="436" t="s">
        <v>253</v>
      </c>
      <c r="AG10" s="439">
        <f>AE10/AD10</f>
        <v>0.44414414837800986</v>
      </c>
    </row>
    <row r="11" spans="1:33" s="2" customFormat="1" ht="27" hidden="1" customHeight="1">
      <c r="A11" s="475"/>
      <c r="B11" s="486">
        <v>6</v>
      </c>
      <c r="C11" s="489" t="s">
        <v>37</v>
      </c>
      <c r="D11" s="492">
        <v>96937.88</v>
      </c>
      <c r="E11" s="495" t="s">
        <v>2042</v>
      </c>
      <c r="F11" s="489" t="s">
        <v>38</v>
      </c>
      <c r="G11" s="498">
        <f>924.648867/5</f>
        <v>184.92977339999999</v>
      </c>
      <c r="H11" s="498"/>
      <c r="I11" s="489" t="s">
        <v>39</v>
      </c>
      <c r="J11" s="498">
        <f>569.8525/5</f>
        <v>113.97049999999999</v>
      </c>
      <c r="K11" s="498"/>
      <c r="L11" s="498"/>
      <c r="M11" s="498">
        <f>G11+J11</f>
        <v>298.90027339999995</v>
      </c>
      <c r="N11" s="106" t="s">
        <v>40</v>
      </c>
      <c r="O11" s="337" t="s">
        <v>1872</v>
      </c>
      <c r="P11" s="76" t="s">
        <v>27</v>
      </c>
      <c r="Q11" s="105">
        <v>0.5</v>
      </c>
      <c r="R11" s="105">
        <v>0.5</v>
      </c>
      <c r="S11" s="337" t="s">
        <v>42</v>
      </c>
      <c r="T11" s="104">
        <v>0.1913</v>
      </c>
      <c r="U11" s="344">
        <f t="shared" si="0"/>
        <v>0.3826</v>
      </c>
      <c r="V11" s="501">
        <f>SUM(Q11:Q24)</f>
        <v>160.69999999999999</v>
      </c>
      <c r="W11" s="501">
        <f>SUM(T11:T24)</f>
        <v>106.393023</v>
      </c>
      <c r="X11" s="504">
        <f>W11/V11</f>
        <v>0.66205988176726827</v>
      </c>
      <c r="Y11" s="504">
        <f>W11/M11</f>
        <v>0.35594822911928464</v>
      </c>
      <c r="Z11" s="337" t="s">
        <v>43</v>
      </c>
      <c r="AA11" s="331"/>
    </row>
    <row r="12" spans="1:33" s="2" customFormat="1" ht="27" hidden="1" customHeight="1">
      <c r="A12" s="475"/>
      <c r="B12" s="487"/>
      <c r="C12" s="490"/>
      <c r="D12" s="493"/>
      <c r="E12" s="496"/>
      <c r="F12" s="490"/>
      <c r="G12" s="499"/>
      <c r="H12" s="499"/>
      <c r="I12" s="490"/>
      <c r="J12" s="499"/>
      <c r="K12" s="499"/>
      <c r="L12" s="499"/>
      <c r="M12" s="499"/>
      <c r="N12" s="106" t="s">
        <v>44</v>
      </c>
      <c r="O12" s="337" t="s">
        <v>1873</v>
      </c>
      <c r="P12" s="76" t="s">
        <v>27</v>
      </c>
      <c r="Q12" s="105">
        <v>12</v>
      </c>
      <c r="R12" s="105">
        <v>12</v>
      </c>
      <c r="S12" s="337" t="s">
        <v>45</v>
      </c>
      <c r="T12" s="104">
        <v>12.823894000000001</v>
      </c>
      <c r="U12" s="344">
        <f t="shared" si="0"/>
        <v>1.0686578333333334</v>
      </c>
      <c r="V12" s="502"/>
      <c r="W12" s="502"/>
      <c r="X12" s="505"/>
      <c r="Y12" s="505"/>
      <c r="Z12" s="337" t="s">
        <v>43</v>
      </c>
      <c r="AA12" s="331"/>
    </row>
    <row r="13" spans="1:33" s="2" customFormat="1" ht="27" hidden="1" customHeight="1">
      <c r="A13" s="475"/>
      <c r="B13" s="487"/>
      <c r="C13" s="490"/>
      <c r="D13" s="493"/>
      <c r="E13" s="496"/>
      <c r="F13" s="490"/>
      <c r="G13" s="499"/>
      <c r="H13" s="499"/>
      <c r="I13" s="490"/>
      <c r="J13" s="499"/>
      <c r="K13" s="499"/>
      <c r="L13" s="499"/>
      <c r="M13" s="499"/>
      <c r="N13" s="107">
        <v>41505</v>
      </c>
      <c r="O13" s="337" t="s">
        <v>1874</v>
      </c>
      <c r="P13" s="76" t="s">
        <v>27</v>
      </c>
      <c r="Q13" s="105">
        <v>6</v>
      </c>
      <c r="R13" s="105">
        <v>6</v>
      </c>
      <c r="S13" s="337" t="s">
        <v>46</v>
      </c>
      <c r="T13" s="104">
        <v>6.4910940000000004</v>
      </c>
      <c r="U13" s="344">
        <f t="shared" si="0"/>
        <v>1.0818490000000001</v>
      </c>
      <c r="V13" s="502"/>
      <c r="W13" s="502"/>
      <c r="X13" s="505"/>
      <c r="Y13" s="505"/>
      <c r="Z13" s="337" t="s">
        <v>43</v>
      </c>
      <c r="AA13" s="331"/>
    </row>
    <row r="14" spans="1:33" s="2" customFormat="1" ht="27" hidden="1" customHeight="1">
      <c r="A14" s="475"/>
      <c r="B14" s="487"/>
      <c r="C14" s="490"/>
      <c r="D14" s="493"/>
      <c r="E14" s="496"/>
      <c r="F14" s="490"/>
      <c r="G14" s="499"/>
      <c r="H14" s="499"/>
      <c r="I14" s="490"/>
      <c r="J14" s="499"/>
      <c r="K14" s="499"/>
      <c r="L14" s="499"/>
      <c r="M14" s="499"/>
      <c r="N14" s="108">
        <v>41643</v>
      </c>
      <c r="O14" s="337" t="s">
        <v>1875</v>
      </c>
      <c r="P14" s="76" t="s">
        <v>27</v>
      </c>
      <c r="Q14" s="105">
        <v>12</v>
      </c>
      <c r="R14" s="105">
        <v>12</v>
      </c>
      <c r="S14" s="337" t="s">
        <v>47</v>
      </c>
      <c r="T14" s="104">
        <v>1.8273830000000002</v>
      </c>
      <c r="U14" s="344">
        <f t="shared" si="0"/>
        <v>0.15228191666666668</v>
      </c>
      <c r="V14" s="502"/>
      <c r="W14" s="502"/>
      <c r="X14" s="505"/>
      <c r="Y14" s="505"/>
      <c r="Z14" s="337" t="s">
        <v>43</v>
      </c>
      <c r="AA14" s="331"/>
    </row>
    <row r="15" spans="1:33" s="2" customFormat="1" ht="27" hidden="1" customHeight="1">
      <c r="A15" s="475"/>
      <c r="B15" s="487"/>
      <c r="C15" s="490"/>
      <c r="D15" s="493"/>
      <c r="E15" s="496"/>
      <c r="F15" s="490"/>
      <c r="G15" s="499"/>
      <c r="H15" s="499"/>
      <c r="I15" s="490"/>
      <c r="J15" s="499"/>
      <c r="K15" s="499"/>
      <c r="L15" s="499"/>
      <c r="M15" s="499"/>
      <c r="N15" s="106" t="s">
        <v>48</v>
      </c>
      <c r="O15" s="337" t="s">
        <v>1876</v>
      </c>
      <c r="P15" s="76" t="s">
        <v>27</v>
      </c>
      <c r="Q15" s="105">
        <v>18</v>
      </c>
      <c r="R15" s="105">
        <v>18</v>
      </c>
      <c r="S15" s="337" t="s">
        <v>45</v>
      </c>
      <c r="T15" s="104">
        <v>9</v>
      </c>
      <c r="U15" s="344">
        <f t="shared" si="0"/>
        <v>0.5</v>
      </c>
      <c r="V15" s="502"/>
      <c r="W15" s="502"/>
      <c r="X15" s="505"/>
      <c r="Y15" s="505"/>
      <c r="Z15" s="337" t="s">
        <v>43</v>
      </c>
      <c r="AA15" s="331"/>
    </row>
    <row r="16" spans="1:33" s="2" customFormat="1" ht="27" hidden="1" customHeight="1">
      <c r="A16" s="475"/>
      <c r="B16" s="487"/>
      <c r="C16" s="490"/>
      <c r="D16" s="493"/>
      <c r="E16" s="496"/>
      <c r="F16" s="490"/>
      <c r="G16" s="499"/>
      <c r="H16" s="499"/>
      <c r="I16" s="490"/>
      <c r="J16" s="499"/>
      <c r="K16" s="499"/>
      <c r="L16" s="499"/>
      <c r="M16" s="499"/>
      <c r="N16" s="106" t="s">
        <v>49</v>
      </c>
      <c r="O16" s="337" t="s">
        <v>50</v>
      </c>
      <c r="P16" s="76" t="s">
        <v>27</v>
      </c>
      <c r="Q16" s="105">
        <v>9</v>
      </c>
      <c r="R16" s="105">
        <v>9</v>
      </c>
      <c r="S16" s="337" t="s">
        <v>51</v>
      </c>
      <c r="T16" s="104">
        <v>7.2264179999999989</v>
      </c>
      <c r="U16" s="344">
        <f t="shared" si="0"/>
        <v>0.80293533333333322</v>
      </c>
      <c r="V16" s="502"/>
      <c r="W16" s="502"/>
      <c r="X16" s="505"/>
      <c r="Y16" s="505"/>
      <c r="Z16" s="337" t="s">
        <v>43</v>
      </c>
      <c r="AA16" s="331"/>
    </row>
    <row r="17" spans="1:33" s="2" customFormat="1" ht="27" hidden="1" customHeight="1">
      <c r="A17" s="475"/>
      <c r="B17" s="487"/>
      <c r="C17" s="490"/>
      <c r="D17" s="493"/>
      <c r="E17" s="496"/>
      <c r="F17" s="490"/>
      <c r="G17" s="499"/>
      <c r="H17" s="499"/>
      <c r="I17" s="490"/>
      <c r="J17" s="499"/>
      <c r="K17" s="499"/>
      <c r="L17" s="499"/>
      <c r="M17" s="499"/>
      <c r="N17" s="106" t="s">
        <v>52</v>
      </c>
      <c r="O17" s="337" t="s">
        <v>1877</v>
      </c>
      <c r="P17" s="76" t="s">
        <v>27</v>
      </c>
      <c r="Q17" s="105">
        <v>1.5</v>
      </c>
      <c r="R17" s="105">
        <v>1.5</v>
      </c>
      <c r="S17" s="337" t="s">
        <v>53</v>
      </c>
      <c r="T17" s="104">
        <v>0.18</v>
      </c>
      <c r="U17" s="344">
        <f t="shared" si="0"/>
        <v>0.12</v>
      </c>
      <c r="V17" s="502"/>
      <c r="W17" s="502"/>
      <c r="X17" s="505"/>
      <c r="Y17" s="505"/>
      <c r="Z17" s="337" t="s">
        <v>43</v>
      </c>
      <c r="AA17" s="331"/>
    </row>
    <row r="18" spans="1:33" s="2" customFormat="1" ht="27" hidden="1" customHeight="1">
      <c r="A18" s="475"/>
      <c r="B18" s="487"/>
      <c r="C18" s="490"/>
      <c r="D18" s="493"/>
      <c r="E18" s="496"/>
      <c r="F18" s="490"/>
      <c r="G18" s="499"/>
      <c r="H18" s="499"/>
      <c r="I18" s="490"/>
      <c r="J18" s="499"/>
      <c r="K18" s="499"/>
      <c r="L18" s="499"/>
      <c r="M18" s="499"/>
      <c r="N18" s="106" t="s">
        <v>52</v>
      </c>
      <c r="O18" s="337" t="s">
        <v>1878</v>
      </c>
      <c r="P18" s="76" t="s">
        <v>27</v>
      </c>
      <c r="Q18" s="105">
        <v>1.7</v>
      </c>
      <c r="R18" s="105">
        <v>1.7</v>
      </c>
      <c r="S18" s="337" t="s">
        <v>53</v>
      </c>
      <c r="T18" s="104">
        <v>0.44428800000000002</v>
      </c>
      <c r="U18" s="344">
        <f t="shared" si="0"/>
        <v>0.26134588235294121</v>
      </c>
      <c r="V18" s="502"/>
      <c r="W18" s="502"/>
      <c r="X18" s="505"/>
      <c r="Y18" s="505"/>
      <c r="Z18" s="337" t="s">
        <v>43</v>
      </c>
      <c r="AA18" s="331"/>
    </row>
    <row r="19" spans="1:33" s="2" customFormat="1" ht="27" hidden="1" customHeight="1">
      <c r="A19" s="475"/>
      <c r="B19" s="487"/>
      <c r="C19" s="490"/>
      <c r="D19" s="493"/>
      <c r="E19" s="496"/>
      <c r="F19" s="490"/>
      <c r="G19" s="499"/>
      <c r="H19" s="499"/>
      <c r="I19" s="490"/>
      <c r="J19" s="499"/>
      <c r="K19" s="499"/>
      <c r="L19" s="499"/>
      <c r="M19" s="499"/>
      <c r="N19" s="106" t="s">
        <v>52</v>
      </c>
      <c r="O19" s="337" t="s">
        <v>1879</v>
      </c>
      <c r="P19" s="76" t="s">
        <v>27</v>
      </c>
      <c r="Q19" s="105">
        <v>1.5</v>
      </c>
      <c r="R19" s="105">
        <v>1.5</v>
      </c>
      <c r="S19" s="337" t="s">
        <v>54</v>
      </c>
      <c r="T19" s="104">
        <v>0.37551899999999999</v>
      </c>
      <c r="U19" s="344">
        <f t="shared" si="0"/>
        <v>0.25034600000000001</v>
      </c>
      <c r="V19" s="502"/>
      <c r="W19" s="502"/>
      <c r="X19" s="505"/>
      <c r="Y19" s="505"/>
      <c r="Z19" s="337" t="s">
        <v>43</v>
      </c>
      <c r="AA19" s="331"/>
    </row>
    <row r="20" spans="1:33" s="2" customFormat="1" ht="27" hidden="1" customHeight="1">
      <c r="A20" s="475"/>
      <c r="B20" s="487"/>
      <c r="C20" s="490"/>
      <c r="D20" s="493"/>
      <c r="E20" s="496"/>
      <c r="F20" s="490"/>
      <c r="G20" s="499"/>
      <c r="H20" s="499"/>
      <c r="I20" s="490"/>
      <c r="J20" s="499"/>
      <c r="K20" s="499"/>
      <c r="L20" s="499"/>
      <c r="M20" s="499"/>
      <c r="N20" s="106" t="s">
        <v>55</v>
      </c>
      <c r="O20" s="337" t="s">
        <v>1880</v>
      </c>
      <c r="P20" s="76" t="s">
        <v>27</v>
      </c>
      <c r="Q20" s="105">
        <v>1.8</v>
      </c>
      <c r="R20" s="105">
        <v>1.8</v>
      </c>
      <c r="S20" s="337" t="s">
        <v>56</v>
      </c>
      <c r="T20" s="104">
        <v>0.96297600000000005</v>
      </c>
      <c r="U20" s="344">
        <f t="shared" si="0"/>
        <v>0.53498666666666672</v>
      </c>
      <c r="V20" s="502"/>
      <c r="W20" s="502"/>
      <c r="X20" s="505"/>
      <c r="Y20" s="505"/>
      <c r="Z20" s="337" t="s">
        <v>43</v>
      </c>
      <c r="AA20" s="331"/>
    </row>
    <row r="21" spans="1:33" s="2" customFormat="1" ht="27" hidden="1" customHeight="1">
      <c r="A21" s="475"/>
      <c r="B21" s="487"/>
      <c r="C21" s="490"/>
      <c r="D21" s="493"/>
      <c r="E21" s="496"/>
      <c r="F21" s="490"/>
      <c r="G21" s="499"/>
      <c r="H21" s="499"/>
      <c r="I21" s="490"/>
      <c r="J21" s="499"/>
      <c r="K21" s="499"/>
      <c r="L21" s="499"/>
      <c r="M21" s="499"/>
      <c r="N21" s="106" t="s">
        <v>55</v>
      </c>
      <c r="O21" s="337" t="s">
        <v>1881</v>
      </c>
      <c r="P21" s="76" t="s">
        <v>27</v>
      </c>
      <c r="Q21" s="105">
        <v>6</v>
      </c>
      <c r="R21" s="105">
        <v>6</v>
      </c>
      <c r="S21" s="337" t="s">
        <v>56</v>
      </c>
      <c r="T21" s="104">
        <v>0.47015100000000004</v>
      </c>
      <c r="U21" s="344">
        <f t="shared" si="0"/>
        <v>7.8358500000000011E-2</v>
      </c>
      <c r="V21" s="502"/>
      <c r="W21" s="502"/>
      <c r="X21" s="505"/>
      <c r="Y21" s="505"/>
      <c r="Z21" s="337" t="s">
        <v>43</v>
      </c>
      <c r="AA21" s="331"/>
    </row>
    <row r="22" spans="1:33" s="2" customFormat="1" ht="27" hidden="1" customHeight="1">
      <c r="A22" s="475"/>
      <c r="B22" s="487"/>
      <c r="C22" s="490"/>
      <c r="D22" s="493"/>
      <c r="E22" s="496"/>
      <c r="F22" s="490"/>
      <c r="G22" s="499"/>
      <c r="H22" s="499"/>
      <c r="I22" s="490"/>
      <c r="J22" s="499"/>
      <c r="K22" s="499"/>
      <c r="L22" s="499"/>
      <c r="M22" s="499"/>
      <c r="N22" s="106" t="s">
        <v>57</v>
      </c>
      <c r="O22" s="99" t="s">
        <v>58</v>
      </c>
      <c r="P22" s="76" t="s">
        <v>27</v>
      </c>
      <c r="Q22" s="105">
        <v>81</v>
      </c>
      <c r="R22" s="105">
        <v>60</v>
      </c>
      <c r="S22" s="337" t="s">
        <v>59</v>
      </c>
      <c r="T22" s="104">
        <v>60</v>
      </c>
      <c r="U22" s="344">
        <f t="shared" si="0"/>
        <v>0.7407407407407407</v>
      </c>
      <c r="V22" s="502"/>
      <c r="W22" s="502"/>
      <c r="X22" s="505"/>
      <c r="Y22" s="505"/>
      <c r="Z22" s="337" t="s">
        <v>43</v>
      </c>
      <c r="AA22" s="331"/>
    </row>
    <row r="23" spans="1:33" s="2" customFormat="1" ht="27" hidden="1" customHeight="1">
      <c r="A23" s="475"/>
      <c r="B23" s="487"/>
      <c r="C23" s="490"/>
      <c r="D23" s="493"/>
      <c r="E23" s="496"/>
      <c r="F23" s="490"/>
      <c r="G23" s="499"/>
      <c r="H23" s="499"/>
      <c r="I23" s="490"/>
      <c r="J23" s="499"/>
      <c r="K23" s="499"/>
      <c r="L23" s="499"/>
      <c r="M23" s="499"/>
      <c r="N23" s="106" t="s">
        <v>60</v>
      </c>
      <c r="O23" s="99" t="s">
        <v>61</v>
      </c>
      <c r="P23" s="76" t="s">
        <v>27</v>
      </c>
      <c r="Q23" s="105">
        <v>6</v>
      </c>
      <c r="R23" s="105">
        <v>3</v>
      </c>
      <c r="S23" s="337" t="s">
        <v>62</v>
      </c>
      <c r="T23" s="104">
        <v>3</v>
      </c>
      <c r="U23" s="344">
        <f t="shared" si="0"/>
        <v>0.5</v>
      </c>
      <c r="V23" s="502"/>
      <c r="W23" s="502"/>
      <c r="X23" s="505"/>
      <c r="Y23" s="505"/>
      <c r="Z23" s="337" t="s">
        <v>43</v>
      </c>
      <c r="AA23" s="331"/>
    </row>
    <row r="24" spans="1:33" s="2" customFormat="1" ht="27" customHeight="1">
      <c r="A24" s="475"/>
      <c r="B24" s="488"/>
      <c r="C24" s="491"/>
      <c r="D24" s="494"/>
      <c r="E24" s="497"/>
      <c r="F24" s="491"/>
      <c r="G24" s="500"/>
      <c r="H24" s="500"/>
      <c r="I24" s="491"/>
      <c r="J24" s="500"/>
      <c r="K24" s="500"/>
      <c r="L24" s="500"/>
      <c r="M24" s="500"/>
      <c r="N24" s="106" t="s">
        <v>63</v>
      </c>
      <c r="O24" s="109" t="s">
        <v>64</v>
      </c>
      <c r="P24" s="76" t="s">
        <v>36</v>
      </c>
      <c r="Q24" s="105">
        <v>3.7</v>
      </c>
      <c r="R24" s="105">
        <v>3.7</v>
      </c>
      <c r="S24" s="337" t="s">
        <v>65</v>
      </c>
      <c r="T24" s="104">
        <v>3.4</v>
      </c>
      <c r="U24" s="344">
        <f t="shared" si="0"/>
        <v>0.91891891891891886</v>
      </c>
      <c r="V24" s="503"/>
      <c r="W24" s="503"/>
      <c r="X24" s="506"/>
      <c r="Y24" s="506"/>
      <c r="Z24" s="337" t="s">
        <v>43</v>
      </c>
      <c r="AA24" s="331"/>
      <c r="AC24" s="437">
        <f>SUBTOTAL(9,R101:R178)</f>
        <v>2636.2343599999999</v>
      </c>
      <c r="AD24" s="437">
        <f>SUBTOTAL(9,Q101:Q178)</f>
        <v>1286.9325599999997</v>
      </c>
      <c r="AE24" s="437">
        <f>SUBTOTAL(9,T101:T178)</f>
        <v>944.86187600000005</v>
      </c>
      <c r="AF24" s="436" t="s">
        <v>2465</v>
      </c>
      <c r="AG24" s="439">
        <f t="shared" ref="AG24:AG33" si="1">AE24/AD24</f>
        <v>0.73419688441172104</v>
      </c>
    </row>
    <row r="25" spans="1:33" s="2" customFormat="1" ht="27" customHeight="1">
      <c r="A25" s="475"/>
      <c r="B25" s="486">
        <v>7</v>
      </c>
      <c r="C25" s="489" t="s">
        <v>66</v>
      </c>
      <c r="D25" s="492">
        <v>215110.82</v>
      </c>
      <c r="E25" s="495" t="s">
        <v>2043</v>
      </c>
      <c r="F25" s="489" t="s">
        <v>67</v>
      </c>
      <c r="G25" s="498">
        <v>431.34840000000003</v>
      </c>
      <c r="H25" s="498">
        <v>1</v>
      </c>
      <c r="I25" s="489" t="s">
        <v>68</v>
      </c>
      <c r="J25" s="498">
        <v>225.40029999999999</v>
      </c>
      <c r="K25" s="498"/>
      <c r="L25" s="498"/>
      <c r="M25" s="498">
        <f>SUM(G25,H25,J25,L25)</f>
        <v>657.74869999999999</v>
      </c>
      <c r="N25" s="337" t="s">
        <v>69</v>
      </c>
      <c r="O25" s="332" t="s">
        <v>1882</v>
      </c>
      <c r="P25" s="76" t="s">
        <v>36</v>
      </c>
      <c r="Q25" s="105">
        <v>18</v>
      </c>
      <c r="R25" s="105">
        <v>20</v>
      </c>
      <c r="S25" s="337"/>
      <c r="T25" s="104"/>
      <c r="U25" s="344">
        <f t="shared" si="0"/>
        <v>0</v>
      </c>
      <c r="V25" s="501">
        <f>SUM(Q25:Q67)</f>
        <v>755.66359999999975</v>
      </c>
      <c r="W25" s="501">
        <f>SUM(T25:T67)</f>
        <v>17.221700000000002</v>
      </c>
      <c r="X25" s="504">
        <f>W25/V25</f>
        <v>2.2790167476639086E-2</v>
      </c>
      <c r="Y25" s="504">
        <f>W25/M25</f>
        <v>2.6182795952314316E-2</v>
      </c>
      <c r="Z25" s="110" t="s">
        <v>43</v>
      </c>
      <c r="AA25" s="337" t="s">
        <v>70</v>
      </c>
      <c r="AC25" s="437">
        <f>SUBTOTAL(9,R182:R194)</f>
        <v>752.24109999999996</v>
      </c>
      <c r="AD25" s="437">
        <f>SUBTOTAL(9,Q182:Q194)</f>
        <v>452.2405</v>
      </c>
      <c r="AE25" s="437">
        <f>SUBTOTAL(9,T182:T194)</f>
        <v>372.83460000000002</v>
      </c>
      <c r="AF25" s="436" t="s">
        <v>2466</v>
      </c>
      <c r="AG25" s="439">
        <f t="shared" si="1"/>
        <v>0.82441665441286227</v>
      </c>
    </row>
    <row r="26" spans="1:33" s="2" customFormat="1" ht="27" customHeight="1">
      <c r="A26" s="475"/>
      <c r="B26" s="487"/>
      <c r="C26" s="490"/>
      <c r="D26" s="493"/>
      <c r="E26" s="496"/>
      <c r="F26" s="490"/>
      <c r="G26" s="499"/>
      <c r="H26" s="499"/>
      <c r="I26" s="490"/>
      <c r="J26" s="499"/>
      <c r="K26" s="499"/>
      <c r="L26" s="499"/>
      <c r="M26" s="499"/>
      <c r="N26" s="337" t="s">
        <v>71</v>
      </c>
      <c r="O26" s="332" t="s">
        <v>1883</v>
      </c>
      <c r="P26" s="76" t="s">
        <v>36</v>
      </c>
      <c r="Q26" s="105">
        <v>11</v>
      </c>
      <c r="R26" s="105">
        <v>15</v>
      </c>
      <c r="S26" s="337"/>
      <c r="T26" s="104"/>
      <c r="U26" s="344">
        <f t="shared" si="0"/>
        <v>0</v>
      </c>
      <c r="V26" s="502"/>
      <c r="W26" s="502"/>
      <c r="X26" s="505"/>
      <c r="Y26" s="505"/>
      <c r="Z26" s="110" t="s">
        <v>43</v>
      </c>
      <c r="AA26" s="337" t="s">
        <v>70</v>
      </c>
      <c r="AC26" s="437">
        <f>SUBTOTAL(9,R207:R293)</f>
        <v>8602.0139999999992</v>
      </c>
      <c r="AD26" s="437">
        <f>SUBTOTAL(9,Q207:Q293)</f>
        <v>3121.2532000000001</v>
      </c>
      <c r="AE26" s="437">
        <f>SUBTOTAL(9,T207:T293)</f>
        <v>1248.6013540000001</v>
      </c>
      <c r="AF26" s="436" t="s">
        <v>2467</v>
      </c>
      <c r="AG26" s="439">
        <f t="shared" si="1"/>
        <v>0.40003206212171449</v>
      </c>
    </row>
    <row r="27" spans="1:33" s="2" customFormat="1" ht="27" customHeight="1">
      <c r="A27" s="475"/>
      <c r="B27" s="487"/>
      <c r="C27" s="490"/>
      <c r="D27" s="493"/>
      <c r="E27" s="496"/>
      <c r="F27" s="490"/>
      <c r="G27" s="499"/>
      <c r="H27" s="499"/>
      <c r="I27" s="490"/>
      <c r="J27" s="499"/>
      <c r="K27" s="499"/>
      <c r="L27" s="499"/>
      <c r="M27" s="499"/>
      <c r="N27" s="332" t="s">
        <v>72</v>
      </c>
      <c r="O27" s="332" t="s">
        <v>1884</v>
      </c>
      <c r="P27" s="76" t="s">
        <v>36</v>
      </c>
      <c r="Q27" s="102">
        <v>30</v>
      </c>
      <c r="R27" s="102">
        <v>35</v>
      </c>
      <c r="S27" s="332"/>
      <c r="T27" s="333"/>
      <c r="U27" s="344">
        <f t="shared" si="0"/>
        <v>0</v>
      </c>
      <c r="V27" s="502"/>
      <c r="W27" s="502"/>
      <c r="X27" s="505"/>
      <c r="Y27" s="505"/>
      <c r="Z27" s="332" t="s">
        <v>43</v>
      </c>
      <c r="AA27" s="337" t="s">
        <v>73</v>
      </c>
      <c r="AC27" s="437">
        <f>SUBTOTAL(9,R299:R327)</f>
        <v>490.29330000000004</v>
      </c>
      <c r="AD27" s="437">
        <f>SUBTOTAL(9,Q299:Q327)</f>
        <v>134.9348</v>
      </c>
      <c r="AE27" s="437">
        <f>SUBTOTAL(9,T299:T327)</f>
        <v>116</v>
      </c>
      <c r="AF27" s="436" t="s">
        <v>2468</v>
      </c>
      <c r="AG27" s="439">
        <f t="shared" si="1"/>
        <v>0.85967445017890121</v>
      </c>
    </row>
    <row r="28" spans="1:33" s="2" customFormat="1" ht="27" customHeight="1">
      <c r="A28" s="475"/>
      <c r="B28" s="487"/>
      <c r="C28" s="490"/>
      <c r="D28" s="493"/>
      <c r="E28" s="496"/>
      <c r="F28" s="490"/>
      <c r="G28" s="499"/>
      <c r="H28" s="499"/>
      <c r="I28" s="490"/>
      <c r="J28" s="499"/>
      <c r="K28" s="499"/>
      <c r="L28" s="499"/>
      <c r="M28" s="499"/>
      <c r="N28" s="337" t="s">
        <v>74</v>
      </c>
      <c r="O28" s="332" t="s">
        <v>1885</v>
      </c>
      <c r="P28" s="76" t="s">
        <v>36</v>
      </c>
      <c r="Q28" s="102">
        <v>25</v>
      </c>
      <c r="R28" s="102">
        <v>30</v>
      </c>
      <c r="S28" s="332"/>
      <c r="T28" s="333"/>
      <c r="U28" s="344">
        <f t="shared" si="0"/>
        <v>0</v>
      </c>
      <c r="V28" s="502"/>
      <c r="W28" s="502"/>
      <c r="X28" s="505"/>
      <c r="Y28" s="505"/>
      <c r="Z28" s="332" t="s">
        <v>43</v>
      </c>
      <c r="AA28" s="337" t="s">
        <v>73</v>
      </c>
      <c r="AC28" s="437">
        <f>SUBTOTAL(9,R345:R393)</f>
        <v>3523.3340499999999</v>
      </c>
      <c r="AD28" s="437">
        <f>SUBTOTAL(9,Q345:Q393)</f>
        <v>1316.5949000000001</v>
      </c>
      <c r="AE28" s="437">
        <f>SUBTOTAL(9,T345:T393)</f>
        <v>1027.3193040000001</v>
      </c>
      <c r="AF28" s="436" t="s">
        <v>2469</v>
      </c>
      <c r="AG28" s="439">
        <f t="shared" si="1"/>
        <v>0.78028503984027286</v>
      </c>
    </row>
    <row r="29" spans="1:33" s="2" customFormat="1" ht="27" customHeight="1">
      <c r="A29" s="475"/>
      <c r="B29" s="487"/>
      <c r="C29" s="490"/>
      <c r="D29" s="493"/>
      <c r="E29" s="496"/>
      <c r="F29" s="490"/>
      <c r="G29" s="499"/>
      <c r="H29" s="499"/>
      <c r="I29" s="490"/>
      <c r="J29" s="499"/>
      <c r="K29" s="499"/>
      <c r="L29" s="499"/>
      <c r="M29" s="499"/>
      <c r="N29" s="332" t="s">
        <v>75</v>
      </c>
      <c r="O29" s="332" t="s">
        <v>1886</v>
      </c>
      <c r="P29" s="76" t="s">
        <v>36</v>
      </c>
      <c r="Q29" s="105">
        <v>20</v>
      </c>
      <c r="R29" s="105">
        <v>25</v>
      </c>
      <c r="S29" s="337"/>
      <c r="T29" s="104"/>
      <c r="U29" s="344">
        <f t="shared" si="0"/>
        <v>0</v>
      </c>
      <c r="V29" s="502"/>
      <c r="W29" s="502"/>
      <c r="X29" s="505"/>
      <c r="Y29" s="505"/>
      <c r="Z29" s="332" t="s">
        <v>43</v>
      </c>
      <c r="AA29" s="337" t="s">
        <v>73</v>
      </c>
      <c r="AC29" s="437">
        <f>SUBTOTAL(9,R429:R540)</f>
        <v>4285.5267999999996</v>
      </c>
      <c r="AD29" s="437">
        <f>SUBTOTAL(9,Q429:Q540)</f>
        <v>1378.6448000000003</v>
      </c>
      <c r="AE29" s="437">
        <f>SUBTOTAL(9,T429:T540)</f>
        <v>716.56422099999997</v>
      </c>
      <c r="AF29" s="21" t="s">
        <v>1257</v>
      </c>
      <c r="AG29" s="439">
        <f t="shared" si="1"/>
        <v>0.51975985475011388</v>
      </c>
    </row>
    <row r="30" spans="1:33" s="2" customFormat="1" ht="27" customHeight="1">
      <c r="A30" s="475"/>
      <c r="B30" s="487"/>
      <c r="C30" s="490"/>
      <c r="D30" s="493"/>
      <c r="E30" s="496"/>
      <c r="F30" s="490"/>
      <c r="G30" s="499"/>
      <c r="H30" s="499"/>
      <c r="I30" s="490"/>
      <c r="J30" s="499"/>
      <c r="K30" s="499"/>
      <c r="L30" s="499"/>
      <c r="M30" s="499"/>
      <c r="N30" s="332" t="s">
        <v>76</v>
      </c>
      <c r="O30" s="332" t="s">
        <v>77</v>
      </c>
      <c r="P30" s="76" t="s">
        <v>36</v>
      </c>
      <c r="Q30" s="105">
        <v>70</v>
      </c>
      <c r="R30" s="105">
        <v>100</v>
      </c>
      <c r="S30" s="337"/>
      <c r="T30" s="104"/>
      <c r="U30" s="344">
        <f t="shared" si="0"/>
        <v>0</v>
      </c>
      <c r="V30" s="502"/>
      <c r="W30" s="502"/>
      <c r="X30" s="505"/>
      <c r="Y30" s="505"/>
      <c r="Z30" s="332" t="s">
        <v>43</v>
      </c>
      <c r="AA30" s="337" t="s">
        <v>73</v>
      </c>
      <c r="AC30" s="437">
        <f>SUBTOTAL(9,R569:R593)</f>
        <v>1694.3053999999997</v>
      </c>
      <c r="AD30" s="437">
        <f>SUBTOTAL(9,Q569:Q593)</f>
        <v>686.82449999999994</v>
      </c>
      <c r="AE30" s="437">
        <f>SUBTOTAL(9,T569:T593)</f>
        <v>348.63839999999999</v>
      </c>
      <c r="AF30" s="21" t="s">
        <v>1334</v>
      </c>
      <c r="AG30" s="439">
        <f t="shared" si="1"/>
        <v>0.50760914906209664</v>
      </c>
    </row>
    <row r="31" spans="1:33" s="2" customFormat="1" ht="27" customHeight="1">
      <c r="A31" s="475"/>
      <c r="B31" s="487"/>
      <c r="C31" s="490"/>
      <c r="D31" s="493"/>
      <c r="E31" s="496"/>
      <c r="F31" s="490"/>
      <c r="G31" s="499"/>
      <c r="H31" s="499"/>
      <c r="I31" s="490"/>
      <c r="J31" s="499"/>
      <c r="K31" s="499"/>
      <c r="L31" s="499"/>
      <c r="M31" s="499"/>
      <c r="N31" s="332" t="s">
        <v>76</v>
      </c>
      <c r="O31" s="332" t="s">
        <v>78</v>
      </c>
      <c r="P31" s="76" t="s">
        <v>36</v>
      </c>
      <c r="Q31" s="105">
        <v>92.117999999999995</v>
      </c>
      <c r="R31" s="105">
        <v>100</v>
      </c>
      <c r="S31" s="337"/>
      <c r="T31" s="104"/>
      <c r="U31" s="344">
        <f t="shared" si="0"/>
        <v>0</v>
      </c>
      <c r="V31" s="502"/>
      <c r="W31" s="502"/>
      <c r="X31" s="505"/>
      <c r="Y31" s="505"/>
      <c r="Z31" s="332" t="s">
        <v>43</v>
      </c>
      <c r="AA31" s="337" t="s">
        <v>73</v>
      </c>
      <c r="AC31" s="437">
        <f>SUBTOTAL(9,R595:R675)</f>
        <v>3763.8906389800004</v>
      </c>
      <c r="AD31" s="437">
        <f>SUBTOTAL(9,Q595:Q675)</f>
        <v>1792.52433898</v>
      </c>
      <c r="AE31" s="437">
        <f>SUBTOTAL(9,T595:T675)</f>
        <v>971.10686700000008</v>
      </c>
      <c r="AF31" s="21" t="s">
        <v>1526</v>
      </c>
      <c r="AG31" s="439">
        <f t="shared" si="1"/>
        <v>0.54175379707959159</v>
      </c>
    </row>
    <row r="32" spans="1:33" s="2" customFormat="1" ht="27" customHeight="1">
      <c r="A32" s="475"/>
      <c r="B32" s="487"/>
      <c r="C32" s="490"/>
      <c r="D32" s="493"/>
      <c r="E32" s="496"/>
      <c r="F32" s="490"/>
      <c r="G32" s="499"/>
      <c r="H32" s="499"/>
      <c r="I32" s="490"/>
      <c r="J32" s="499"/>
      <c r="K32" s="499"/>
      <c r="L32" s="499"/>
      <c r="M32" s="499"/>
      <c r="N32" s="332" t="s">
        <v>79</v>
      </c>
      <c r="O32" s="332" t="s">
        <v>1887</v>
      </c>
      <c r="P32" s="76" t="s">
        <v>36</v>
      </c>
      <c r="Q32" s="102">
        <v>3.06</v>
      </c>
      <c r="R32" s="102">
        <v>5</v>
      </c>
      <c r="S32" s="332"/>
      <c r="T32" s="333"/>
      <c r="U32" s="344">
        <f t="shared" si="0"/>
        <v>0</v>
      </c>
      <c r="V32" s="502"/>
      <c r="W32" s="502"/>
      <c r="X32" s="505"/>
      <c r="Y32" s="505"/>
      <c r="Z32" s="111" t="s">
        <v>43</v>
      </c>
      <c r="AA32" s="337" t="s">
        <v>80</v>
      </c>
      <c r="AC32" s="437">
        <f>SUBTOTAL(9,R682:R770)</f>
        <v>2419.8250290000001</v>
      </c>
      <c r="AD32" s="437">
        <f>SUBTOTAL(9,Q682:Q770)</f>
        <v>1835.9290290000001</v>
      </c>
      <c r="AE32" s="437">
        <f>SUBTOTAL(9,T682:T770)</f>
        <v>106.42888099999999</v>
      </c>
      <c r="AF32" s="21" t="s">
        <v>1708</v>
      </c>
      <c r="AG32" s="439">
        <f t="shared" si="1"/>
        <v>5.7970040954126653E-2</v>
      </c>
    </row>
    <row r="33" spans="1:33" s="2" customFormat="1" ht="27" customHeight="1">
      <c r="A33" s="475"/>
      <c r="B33" s="487"/>
      <c r="C33" s="490"/>
      <c r="D33" s="493"/>
      <c r="E33" s="496"/>
      <c r="F33" s="490"/>
      <c r="G33" s="499"/>
      <c r="H33" s="499"/>
      <c r="I33" s="490"/>
      <c r="J33" s="499"/>
      <c r="K33" s="499"/>
      <c r="L33" s="499"/>
      <c r="M33" s="499"/>
      <c r="N33" s="332" t="s">
        <v>81</v>
      </c>
      <c r="O33" s="332" t="s">
        <v>1888</v>
      </c>
      <c r="P33" s="76" t="s">
        <v>36</v>
      </c>
      <c r="Q33" s="102">
        <v>5</v>
      </c>
      <c r="R33" s="102">
        <v>8</v>
      </c>
      <c r="S33" s="332"/>
      <c r="T33" s="333"/>
      <c r="U33" s="344">
        <f t="shared" si="0"/>
        <v>0</v>
      </c>
      <c r="V33" s="502"/>
      <c r="W33" s="502"/>
      <c r="X33" s="505"/>
      <c r="Y33" s="505"/>
      <c r="Z33" s="111" t="s">
        <v>43</v>
      </c>
      <c r="AA33" s="337" t="s">
        <v>80</v>
      </c>
      <c r="AC33" s="437">
        <f>SUBTOTAL(9,R794:R876)</f>
        <v>8370.4908983044697</v>
      </c>
      <c r="AD33" s="437">
        <f>SUBTOTAL(9,Q794:Q876)</f>
        <v>3275.1017309999993</v>
      </c>
      <c r="AE33" s="437">
        <f>SUBTOTAL(9,T794:T876)</f>
        <v>1800.3085465689999</v>
      </c>
      <c r="AF33" s="21" t="s">
        <v>1827</v>
      </c>
      <c r="AG33" s="439">
        <f t="shared" si="1"/>
        <v>0.54969545816804444</v>
      </c>
    </row>
    <row r="34" spans="1:33" s="2" customFormat="1" ht="27" customHeight="1">
      <c r="A34" s="475"/>
      <c r="B34" s="487"/>
      <c r="C34" s="490"/>
      <c r="D34" s="493"/>
      <c r="E34" s="496"/>
      <c r="F34" s="490"/>
      <c r="G34" s="499"/>
      <c r="H34" s="499"/>
      <c r="I34" s="490"/>
      <c r="J34" s="499"/>
      <c r="K34" s="499"/>
      <c r="L34" s="499"/>
      <c r="M34" s="499"/>
      <c r="N34" s="332" t="s">
        <v>82</v>
      </c>
      <c r="O34" s="332" t="s">
        <v>1889</v>
      </c>
      <c r="P34" s="76" t="s">
        <v>36</v>
      </c>
      <c r="Q34" s="102">
        <v>6</v>
      </c>
      <c r="R34" s="102">
        <v>8</v>
      </c>
      <c r="S34" s="332"/>
      <c r="T34" s="333"/>
      <c r="U34" s="344">
        <f t="shared" si="0"/>
        <v>0</v>
      </c>
      <c r="V34" s="502"/>
      <c r="W34" s="502"/>
      <c r="X34" s="505"/>
      <c r="Y34" s="505"/>
      <c r="Z34" s="111" t="s">
        <v>43</v>
      </c>
      <c r="AA34" s="337" t="s">
        <v>80</v>
      </c>
    </row>
    <row r="35" spans="1:33" s="2" customFormat="1" ht="27" customHeight="1">
      <c r="A35" s="475"/>
      <c r="B35" s="487"/>
      <c r="C35" s="490"/>
      <c r="D35" s="493"/>
      <c r="E35" s="496"/>
      <c r="F35" s="490"/>
      <c r="G35" s="499"/>
      <c r="H35" s="499"/>
      <c r="I35" s="490"/>
      <c r="J35" s="499"/>
      <c r="K35" s="499"/>
      <c r="L35" s="499"/>
      <c r="M35" s="499"/>
      <c r="N35" s="332" t="s">
        <v>83</v>
      </c>
      <c r="O35" s="332" t="s">
        <v>1890</v>
      </c>
      <c r="P35" s="76" t="s">
        <v>36</v>
      </c>
      <c r="Q35" s="102">
        <v>5</v>
      </c>
      <c r="R35" s="102">
        <v>6</v>
      </c>
      <c r="S35" s="332"/>
      <c r="T35" s="333"/>
      <c r="U35" s="344">
        <f t="shared" si="0"/>
        <v>0</v>
      </c>
      <c r="V35" s="502"/>
      <c r="W35" s="502"/>
      <c r="X35" s="505"/>
      <c r="Y35" s="505"/>
      <c r="Z35" s="111" t="s">
        <v>43</v>
      </c>
      <c r="AA35" s="337" t="s">
        <v>80</v>
      </c>
    </row>
    <row r="36" spans="1:33" s="2" customFormat="1" ht="27" customHeight="1">
      <c r="A36" s="475"/>
      <c r="B36" s="487"/>
      <c r="C36" s="490"/>
      <c r="D36" s="493"/>
      <c r="E36" s="496"/>
      <c r="F36" s="490"/>
      <c r="G36" s="499"/>
      <c r="H36" s="499"/>
      <c r="I36" s="490"/>
      <c r="J36" s="499"/>
      <c r="K36" s="499"/>
      <c r="L36" s="499"/>
      <c r="M36" s="499"/>
      <c r="N36" s="332" t="s">
        <v>84</v>
      </c>
      <c r="O36" s="337" t="s">
        <v>1891</v>
      </c>
      <c r="P36" s="76" t="s">
        <v>36</v>
      </c>
      <c r="Q36" s="102">
        <v>8</v>
      </c>
      <c r="R36" s="102">
        <v>10</v>
      </c>
      <c r="S36" s="332"/>
      <c r="T36" s="333"/>
      <c r="U36" s="344">
        <f t="shared" si="0"/>
        <v>0</v>
      </c>
      <c r="V36" s="502"/>
      <c r="W36" s="502"/>
      <c r="X36" s="505"/>
      <c r="Y36" s="505"/>
      <c r="Z36" s="111" t="s">
        <v>43</v>
      </c>
      <c r="AA36" s="337" t="s">
        <v>80</v>
      </c>
    </row>
    <row r="37" spans="1:33" s="2" customFormat="1" ht="27" customHeight="1">
      <c r="A37" s="475"/>
      <c r="B37" s="487"/>
      <c r="C37" s="490"/>
      <c r="D37" s="493"/>
      <c r="E37" s="496"/>
      <c r="F37" s="490"/>
      <c r="G37" s="499"/>
      <c r="H37" s="499"/>
      <c r="I37" s="490"/>
      <c r="J37" s="499"/>
      <c r="K37" s="499"/>
      <c r="L37" s="499"/>
      <c r="M37" s="499"/>
      <c r="N37" s="337" t="s">
        <v>85</v>
      </c>
      <c r="O37" s="332" t="s">
        <v>1892</v>
      </c>
      <c r="P37" s="76" t="s">
        <v>36</v>
      </c>
      <c r="Q37" s="102">
        <v>7.2</v>
      </c>
      <c r="R37" s="102">
        <v>10</v>
      </c>
      <c r="S37" s="332"/>
      <c r="T37" s="333"/>
      <c r="U37" s="344">
        <f t="shared" si="0"/>
        <v>0</v>
      </c>
      <c r="V37" s="502"/>
      <c r="W37" s="502"/>
      <c r="X37" s="505"/>
      <c r="Y37" s="505"/>
      <c r="Z37" s="111" t="s">
        <v>43</v>
      </c>
      <c r="AA37" s="337" t="s">
        <v>80</v>
      </c>
    </row>
    <row r="38" spans="1:33" s="2" customFormat="1" ht="27" customHeight="1">
      <c r="A38" s="475"/>
      <c r="B38" s="487"/>
      <c r="C38" s="490"/>
      <c r="D38" s="493"/>
      <c r="E38" s="496"/>
      <c r="F38" s="490"/>
      <c r="G38" s="499"/>
      <c r="H38" s="499"/>
      <c r="I38" s="490"/>
      <c r="J38" s="499"/>
      <c r="K38" s="499"/>
      <c r="L38" s="499"/>
      <c r="M38" s="499"/>
      <c r="N38" s="332" t="s">
        <v>86</v>
      </c>
      <c r="O38" s="332" t="s">
        <v>87</v>
      </c>
      <c r="P38" s="76" t="s">
        <v>36</v>
      </c>
      <c r="Q38" s="102">
        <v>3</v>
      </c>
      <c r="R38" s="102">
        <v>5</v>
      </c>
      <c r="S38" s="332"/>
      <c r="T38" s="333"/>
      <c r="U38" s="344">
        <f t="shared" si="0"/>
        <v>0</v>
      </c>
      <c r="V38" s="502"/>
      <c r="W38" s="502"/>
      <c r="X38" s="505"/>
      <c r="Y38" s="505"/>
      <c r="Z38" s="111" t="s">
        <v>43</v>
      </c>
      <c r="AA38" s="337" t="s">
        <v>80</v>
      </c>
    </row>
    <row r="39" spans="1:33" s="2" customFormat="1" ht="27" customHeight="1">
      <c r="A39" s="475"/>
      <c r="B39" s="487"/>
      <c r="C39" s="490"/>
      <c r="D39" s="493"/>
      <c r="E39" s="496"/>
      <c r="F39" s="490"/>
      <c r="G39" s="499"/>
      <c r="H39" s="499"/>
      <c r="I39" s="490"/>
      <c r="J39" s="499"/>
      <c r="K39" s="499"/>
      <c r="L39" s="499"/>
      <c r="M39" s="499"/>
      <c r="N39" s="332" t="s">
        <v>86</v>
      </c>
      <c r="O39" s="332" t="s">
        <v>88</v>
      </c>
      <c r="P39" s="76" t="s">
        <v>36</v>
      </c>
      <c r="Q39" s="102">
        <v>2</v>
      </c>
      <c r="R39" s="102">
        <v>3</v>
      </c>
      <c r="S39" s="332"/>
      <c r="T39" s="333"/>
      <c r="U39" s="344">
        <f t="shared" si="0"/>
        <v>0</v>
      </c>
      <c r="V39" s="502"/>
      <c r="W39" s="502"/>
      <c r="X39" s="505"/>
      <c r="Y39" s="505"/>
      <c r="Z39" s="111" t="s">
        <v>43</v>
      </c>
      <c r="AA39" s="337" t="s">
        <v>80</v>
      </c>
    </row>
    <row r="40" spans="1:33" s="2" customFormat="1" ht="27" customHeight="1">
      <c r="A40" s="475"/>
      <c r="B40" s="487"/>
      <c r="C40" s="490"/>
      <c r="D40" s="493"/>
      <c r="E40" s="496"/>
      <c r="F40" s="490"/>
      <c r="G40" s="499"/>
      <c r="H40" s="499"/>
      <c r="I40" s="490"/>
      <c r="J40" s="499"/>
      <c r="K40" s="499"/>
      <c r="L40" s="499"/>
      <c r="M40" s="499"/>
      <c r="N40" s="332" t="s">
        <v>86</v>
      </c>
      <c r="O40" s="332" t="s">
        <v>89</v>
      </c>
      <c r="P40" s="76" t="s">
        <v>36</v>
      </c>
      <c r="Q40" s="102">
        <v>1</v>
      </c>
      <c r="R40" s="102">
        <v>2</v>
      </c>
      <c r="S40" s="332"/>
      <c r="T40" s="333"/>
      <c r="U40" s="344">
        <f t="shared" si="0"/>
        <v>0</v>
      </c>
      <c r="V40" s="502"/>
      <c r="W40" s="502"/>
      <c r="X40" s="505"/>
      <c r="Y40" s="505"/>
      <c r="Z40" s="111" t="s">
        <v>43</v>
      </c>
      <c r="AA40" s="337" t="s">
        <v>80</v>
      </c>
    </row>
    <row r="41" spans="1:33" s="2" customFormat="1" ht="27" customHeight="1">
      <c r="A41" s="475"/>
      <c r="B41" s="487"/>
      <c r="C41" s="490"/>
      <c r="D41" s="493"/>
      <c r="E41" s="496"/>
      <c r="F41" s="490"/>
      <c r="G41" s="499"/>
      <c r="H41" s="499"/>
      <c r="I41" s="490"/>
      <c r="J41" s="499"/>
      <c r="K41" s="499"/>
      <c r="L41" s="499"/>
      <c r="M41" s="499"/>
      <c r="N41" s="337" t="s">
        <v>90</v>
      </c>
      <c r="O41" s="337" t="s">
        <v>1893</v>
      </c>
      <c r="P41" s="76" t="s">
        <v>36</v>
      </c>
      <c r="Q41" s="105">
        <v>40</v>
      </c>
      <c r="R41" s="105">
        <v>52.7</v>
      </c>
      <c r="S41" s="337"/>
      <c r="T41" s="104"/>
      <c r="U41" s="344">
        <f t="shared" si="0"/>
        <v>0</v>
      </c>
      <c r="V41" s="502"/>
      <c r="W41" s="502"/>
      <c r="X41" s="505"/>
      <c r="Y41" s="505"/>
      <c r="Z41" s="110" t="s">
        <v>43</v>
      </c>
      <c r="AA41" s="337" t="s">
        <v>91</v>
      </c>
    </row>
    <row r="42" spans="1:33" s="2" customFormat="1" ht="27" customHeight="1">
      <c r="A42" s="475"/>
      <c r="B42" s="487"/>
      <c r="C42" s="490"/>
      <c r="D42" s="493"/>
      <c r="E42" s="496"/>
      <c r="F42" s="490"/>
      <c r="G42" s="499"/>
      <c r="H42" s="499"/>
      <c r="I42" s="490"/>
      <c r="J42" s="499"/>
      <c r="K42" s="499"/>
      <c r="L42" s="499"/>
      <c r="M42" s="499"/>
      <c r="N42" s="337" t="s">
        <v>92</v>
      </c>
      <c r="O42" s="337" t="s">
        <v>1894</v>
      </c>
      <c r="P42" s="76" t="s">
        <v>36</v>
      </c>
      <c r="Q42" s="105">
        <v>14</v>
      </c>
      <c r="R42" s="105">
        <v>16</v>
      </c>
      <c r="S42" s="337"/>
      <c r="T42" s="104"/>
      <c r="U42" s="344">
        <f t="shared" si="0"/>
        <v>0</v>
      </c>
      <c r="V42" s="502"/>
      <c r="W42" s="502"/>
      <c r="X42" s="505"/>
      <c r="Y42" s="505"/>
      <c r="Z42" s="110" t="s">
        <v>43</v>
      </c>
      <c r="AA42" s="337" t="s">
        <v>91</v>
      </c>
    </row>
    <row r="43" spans="1:33" s="2" customFormat="1" ht="27" customHeight="1">
      <c r="A43" s="475"/>
      <c r="B43" s="487"/>
      <c r="C43" s="490"/>
      <c r="D43" s="493"/>
      <c r="E43" s="496"/>
      <c r="F43" s="490"/>
      <c r="G43" s="499"/>
      <c r="H43" s="499"/>
      <c r="I43" s="490"/>
      <c r="J43" s="499"/>
      <c r="K43" s="499"/>
      <c r="L43" s="499"/>
      <c r="M43" s="499"/>
      <c r="N43" s="337" t="s">
        <v>93</v>
      </c>
      <c r="O43" s="337" t="s">
        <v>1895</v>
      </c>
      <c r="P43" s="76" t="s">
        <v>36</v>
      </c>
      <c r="Q43" s="105">
        <v>20</v>
      </c>
      <c r="R43" s="105">
        <v>26.4</v>
      </c>
      <c r="S43" s="337"/>
      <c r="T43" s="104"/>
      <c r="U43" s="344">
        <f t="shared" si="0"/>
        <v>0</v>
      </c>
      <c r="V43" s="502"/>
      <c r="W43" s="502"/>
      <c r="X43" s="505"/>
      <c r="Y43" s="505"/>
      <c r="Z43" s="110" t="s">
        <v>43</v>
      </c>
      <c r="AA43" s="337" t="s">
        <v>91</v>
      </c>
    </row>
    <row r="44" spans="1:33" s="2" customFormat="1" ht="27" customHeight="1">
      <c r="A44" s="475"/>
      <c r="B44" s="487"/>
      <c r="C44" s="490"/>
      <c r="D44" s="493"/>
      <c r="E44" s="496"/>
      <c r="F44" s="490"/>
      <c r="G44" s="499"/>
      <c r="H44" s="499"/>
      <c r="I44" s="490"/>
      <c r="J44" s="499"/>
      <c r="K44" s="499"/>
      <c r="L44" s="499"/>
      <c r="M44" s="499"/>
      <c r="N44" s="337" t="s">
        <v>94</v>
      </c>
      <c r="O44" s="337" t="s">
        <v>1896</v>
      </c>
      <c r="P44" s="76" t="s">
        <v>36</v>
      </c>
      <c r="Q44" s="105">
        <v>35</v>
      </c>
      <c r="R44" s="105">
        <v>41</v>
      </c>
      <c r="S44" s="337"/>
      <c r="T44" s="104"/>
      <c r="U44" s="344">
        <f t="shared" si="0"/>
        <v>0</v>
      </c>
      <c r="V44" s="502"/>
      <c r="W44" s="502"/>
      <c r="X44" s="505"/>
      <c r="Y44" s="505"/>
      <c r="Z44" s="110" t="s">
        <v>43</v>
      </c>
      <c r="AA44" s="337" t="s">
        <v>91</v>
      </c>
    </row>
    <row r="45" spans="1:33" s="2" customFormat="1" ht="27" customHeight="1">
      <c r="A45" s="475"/>
      <c r="B45" s="487"/>
      <c r="C45" s="490"/>
      <c r="D45" s="493"/>
      <c r="E45" s="496"/>
      <c r="F45" s="490"/>
      <c r="G45" s="499"/>
      <c r="H45" s="499"/>
      <c r="I45" s="490"/>
      <c r="J45" s="499"/>
      <c r="K45" s="499"/>
      <c r="L45" s="499"/>
      <c r="M45" s="499"/>
      <c r="N45" s="337" t="s">
        <v>95</v>
      </c>
      <c r="O45" s="337" t="s">
        <v>1897</v>
      </c>
      <c r="P45" s="76" t="s">
        <v>36</v>
      </c>
      <c r="Q45" s="105">
        <v>30</v>
      </c>
      <c r="R45" s="105">
        <v>42</v>
      </c>
      <c r="S45" s="337"/>
      <c r="T45" s="104"/>
      <c r="U45" s="344">
        <f t="shared" si="0"/>
        <v>0</v>
      </c>
      <c r="V45" s="502"/>
      <c r="W45" s="502"/>
      <c r="X45" s="505"/>
      <c r="Y45" s="505"/>
      <c r="Z45" s="110" t="s">
        <v>43</v>
      </c>
      <c r="AA45" s="337" t="s">
        <v>91</v>
      </c>
    </row>
    <row r="46" spans="1:33" s="2" customFormat="1" ht="27" customHeight="1">
      <c r="A46" s="475"/>
      <c r="B46" s="487"/>
      <c r="C46" s="490"/>
      <c r="D46" s="493"/>
      <c r="E46" s="496"/>
      <c r="F46" s="490"/>
      <c r="G46" s="499"/>
      <c r="H46" s="499"/>
      <c r="I46" s="490"/>
      <c r="J46" s="499"/>
      <c r="K46" s="499"/>
      <c r="L46" s="499"/>
      <c r="M46" s="499"/>
      <c r="N46" s="337" t="s">
        <v>96</v>
      </c>
      <c r="O46" s="337" t="s">
        <v>1898</v>
      </c>
      <c r="P46" s="76" t="s">
        <v>36</v>
      </c>
      <c r="Q46" s="105">
        <v>5</v>
      </c>
      <c r="R46" s="105">
        <v>8.5</v>
      </c>
      <c r="S46" s="337"/>
      <c r="T46" s="104"/>
      <c r="U46" s="344">
        <f t="shared" si="0"/>
        <v>0</v>
      </c>
      <c r="V46" s="502"/>
      <c r="W46" s="502"/>
      <c r="X46" s="505"/>
      <c r="Y46" s="505"/>
      <c r="Z46" s="110" t="s">
        <v>43</v>
      </c>
      <c r="AA46" s="337" t="s">
        <v>91</v>
      </c>
    </row>
    <row r="47" spans="1:33" s="2" customFormat="1" ht="27" customHeight="1">
      <c r="A47" s="475"/>
      <c r="B47" s="487"/>
      <c r="C47" s="490"/>
      <c r="D47" s="493"/>
      <c r="E47" s="496"/>
      <c r="F47" s="490"/>
      <c r="G47" s="499"/>
      <c r="H47" s="499"/>
      <c r="I47" s="490"/>
      <c r="J47" s="499"/>
      <c r="K47" s="499"/>
      <c r="L47" s="499"/>
      <c r="M47" s="499"/>
      <c r="N47" s="337" t="s">
        <v>97</v>
      </c>
      <c r="O47" s="337" t="s">
        <v>1899</v>
      </c>
      <c r="P47" s="76" t="s">
        <v>36</v>
      </c>
      <c r="Q47" s="105">
        <v>30</v>
      </c>
      <c r="R47" s="105">
        <v>35</v>
      </c>
      <c r="S47" s="337"/>
      <c r="T47" s="104"/>
      <c r="U47" s="344">
        <f t="shared" si="0"/>
        <v>0</v>
      </c>
      <c r="V47" s="502"/>
      <c r="W47" s="502"/>
      <c r="X47" s="505"/>
      <c r="Y47" s="505"/>
      <c r="Z47" s="110" t="s">
        <v>43</v>
      </c>
      <c r="AA47" s="337" t="s">
        <v>91</v>
      </c>
    </row>
    <row r="48" spans="1:33" s="2" customFormat="1" ht="27" customHeight="1">
      <c r="A48" s="475"/>
      <c r="B48" s="487"/>
      <c r="C48" s="490"/>
      <c r="D48" s="493"/>
      <c r="E48" s="496"/>
      <c r="F48" s="490"/>
      <c r="G48" s="499"/>
      <c r="H48" s="499"/>
      <c r="I48" s="490"/>
      <c r="J48" s="499"/>
      <c r="K48" s="499"/>
      <c r="L48" s="499"/>
      <c r="M48" s="499"/>
      <c r="N48" s="337" t="s">
        <v>98</v>
      </c>
      <c r="O48" s="337" t="s">
        <v>1900</v>
      </c>
      <c r="P48" s="76" t="s">
        <v>36</v>
      </c>
      <c r="Q48" s="105">
        <v>40</v>
      </c>
      <c r="R48" s="105">
        <v>42</v>
      </c>
      <c r="S48" s="337"/>
      <c r="T48" s="104"/>
      <c r="U48" s="344">
        <f t="shared" si="0"/>
        <v>0</v>
      </c>
      <c r="V48" s="502"/>
      <c r="W48" s="502"/>
      <c r="X48" s="505"/>
      <c r="Y48" s="505"/>
      <c r="Z48" s="110" t="s">
        <v>43</v>
      </c>
      <c r="AA48" s="337" t="s">
        <v>91</v>
      </c>
    </row>
    <row r="49" spans="1:27" s="2" customFormat="1" ht="27" customHeight="1">
      <c r="A49" s="475"/>
      <c r="B49" s="487"/>
      <c r="C49" s="490"/>
      <c r="D49" s="493"/>
      <c r="E49" s="496"/>
      <c r="F49" s="490"/>
      <c r="G49" s="499"/>
      <c r="H49" s="499"/>
      <c r="I49" s="490"/>
      <c r="J49" s="499"/>
      <c r="K49" s="499"/>
      <c r="L49" s="499"/>
      <c r="M49" s="499"/>
      <c r="N49" s="337" t="s">
        <v>99</v>
      </c>
      <c r="O49" s="337" t="s">
        <v>100</v>
      </c>
      <c r="P49" s="76" t="s">
        <v>36</v>
      </c>
      <c r="Q49" s="105">
        <v>50.18</v>
      </c>
      <c r="R49" s="105">
        <v>52</v>
      </c>
      <c r="S49" s="337"/>
      <c r="T49" s="104"/>
      <c r="U49" s="344">
        <f t="shared" si="0"/>
        <v>0</v>
      </c>
      <c r="V49" s="502"/>
      <c r="W49" s="502"/>
      <c r="X49" s="505"/>
      <c r="Y49" s="505"/>
      <c r="Z49" s="110" t="s">
        <v>43</v>
      </c>
      <c r="AA49" s="337" t="s">
        <v>91</v>
      </c>
    </row>
    <row r="50" spans="1:27" s="2" customFormat="1" ht="27" customHeight="1">
      <c r="A50" s="475"/>
      <c r="B50" s="487"/>
      <c r="C50" s="490"/>
      <c r="D50" s="493"/>
      <c r="E50" s="496"/>
      <c r="F50" s="490"/>
      <c r="G50" s="499"/>
      <c r="H50" s="499"/>
      <c r="I50" s="490"/>
      <c r="J50" s="499"/>
      <c r="K50" s="499"/>
      <c r="L50" s="499"/>
      <c r="M50" s="499"/>
      <c r="N50" s="337" t="s">
        <v>99</v>
      </c>
      <c r="O50" s="337" t="s">
        <v>101</v>
      </c>
      <c r="P50" s="76" t="s">
        <v>36</v>
      </c>
      <c r="Q50" s="105">
        <v>81.89</v>
      </c>
      <c r="R50" s="105">
        <v>82</v>
      </c>
      <c r="S50" s="337"/>
      <c r="T50" s="104"/>
      <c r="U50" s="344">
        <f t="shared" si="0"/>
        <v>0</v>
      </c>
      <c r="V50" s="502"/>
      <c r="W50" s="502"/>
      <c r="X50" s="505"/>
      <c r="Y50" s="505"/>
      <c r="Z50" s="110" t="s">
        <v>43</v>
      </c>
      <c r="AA50" s="337" t="s">
        <v>91</v>
      </c>
    </row>
    <row r="51" spans="1:27" s="2" customFormat="1" ht="27" customHeight="1">
      <c r="A51" s="475"/>
      <c r="B51" s="487"/>
      <c r="C51" s="490"/>
      <c r="D51" s="493"/>
      <c r="E51" s="496"/>
      <c r="F51" s="490"/>
      <c r="G51" s="499"/>
      <c r="H51" s="499"/>
      <c r="I51" s="490"/>
      <c r="J51" s="499"/>
      <c r="K51" s="499"/>
      <c r="L51" s="499"/>
      <c r="M51" s="499"/>
      <c r="N51" s="337" t="s">
        <v>99</v>
      </c>
      <c r="O51" s="337" t="s">
        <v>102</v>
      </c>
      <c r="P51" s="76" t="s">
        <v>36</v>
      </c>
      <c r="Q51" s="105">
        <v>40.31</v>
      </c>
      <c r="R51" s="105">
        <v>42</v>
      </c>
      <c r="S51" s="337"/>
      <c r="T51" s="104"/>
      <c r="U51" s="344">
        <f t="shared" si="0"/>
        <v>0</v>
      </c>
      <c r="V51" s="502"/>
      <c r="W51" s="502"/>
      <c r="X51" s="505"/>
      <c r="Y51" s="505"/>
      <c r="Z51" s="110" t="s">
        <v>43</v>
      </c>
      <c r="AA51" s="337" t="s">
        <v>91</v>
      </c>
    </row>
    <row r="52" spans="1:27" s="2" customFormat="1" ht="27" customHeight="1">
      <c r="A52" s="475"/>
      <c r="B52" s="487"/>
      <c r="C52" s="490"/>
      <c r="D52" s="493"/>
      <c r="E52" s="496"/>
      <c r="F52" s="490"/>
      <c r="G52" s="499"/>
      <c r="H52" s="499"/>
      <c r="I52" s="490"/>
      <c r="J52" s="499"/>
      <c r="K52" s="499"/>
      <c r="L52" s="499"/>
      <c r="M52" s="499"/>
      <c r="N52" s="337" t="s">
        <v>99</v>
      </c>
      <c r="O52" s="337" t="s">
        <v>103</v>
      </c>
      <c r="P52" s="76" t="s">
        <v>36</v>
      </c>
      <c r="Q52" s="105">
        <v>15.97</v>
      </c>
      <c r="R52" s="105">
        <v>17</v>
      </c>
      <c r="S52" s="337"/>
      <c r="T52" s="104"/>
      <c r="U52" s="344">
        <f t="shared" si="0"/>
        <v>0</v>
      </c>
      <c r="V52" s="502"/>
      <c r="W52" s="502"/>
      <c r="X52" s="505"/>
      <c r="Y52" s="505"/>
      <c r="Z52" s="110" t="s">
        <v>43</v>
      </c>
      <c r="AA52" s="337" t="s">
        <v>91</v>
      </c>
    </row>
    <row r="53" spans="1:27" s="2" customFormat="1" ht="27" hidden="1" customHeight="1">
      <c r="A53" s="475"/>
      <c r="B53" s="487"/>
      <c r="C53" s="490"/>
      <c r="D53" s="493"/>
      <c r="E53" s="496"/>
      <c r="F53" s="490"/>
      <c r="G53" s="499"/>
      <c r="H53" s="499"/>
      <c r="I53" s="490"/>
      <c r="J53" s="499"/>
      <c r="K53" s="499"/>
      <c r="L53" s="499"/>
      <c r="M53" s="499"/>
      <c r="N53" s="337" t="s">
        <v>104</v>
      </c>
      <c r="O53" s="337" t="s">
        <v>105</v>
      </c>
      <c r="P53" s="76" t="s">
        <v>27</v>
      </c>
      <c r="Q53" s="105">
        <v>5.3628</v>
      </c>
      <c r="R53" s="105">
        <v>5.3628</v>
      </c>
      <c r="S53" s="337" t="s">
        <v>106</v>
      </c>
      <c r="T53" s="104">
        <v>3.5619999999999998</v>
      </c>
      <c r="U53" s="344">
        <f t="shared" si="0"/>
        <v>0.66420526590587003</v>
      </c>
      <c r="V53" s="502"/>
      <c r="W53" s="502"/>
      <c r="X53" s="505"/>
      <c r="Y53" s="505"/>
      <c r="Z53" s="110" t="s">
        <v>43</v>
      </c>
      <c r="AA53" s="337" t="s">
        <v>70</v>
      </c>
    </row>
    <row r="54" spans="1:27" s="2" customFormat="1" ht="27" hidden="1" customHeight="1">
      <c r="A54" s="475"/>
      <c r="B54" s="487"/>
      <c r="C54" s="490"/>
      <c r="D54" s="493"/>
      <c r="E54" s="496"/>
      <c r="F54" s="490"/>
      <c r="G54" s="499"/>
      <c r="H54" s="499"/>
      <c r="I54" s="490"/>
      <c r="J54" s="499"/>
      <c r="K54" s="499"/>
      <c r="L54" s="499"/>
      <c r="M54" s="499"/>
      <c r="N54" s="337" t="s">
        <v>107</v>
      </c>
      <c r="O54" s="337" t="s">
        <v>108</v>
      </c>
      <c r="P54" s="76" t="s">
        <v>27</v>
      </c>
      <c r="Q54" s="105">
        <v>1.8953</v>
      </c>
      <c r="R54" s="105">
        <v>1.8953</v>
      </c>
      <c r="S54" s="337" t="s">
        <v>109</v>
      </c>
      <c r="T54" s="104">
        <v>1.1284000000000001</v>
      </c>
      <c r="U54" s="344">
        <f t="shared" si="0"/>
        <v>0.59536748799662331</v>
      </c>
      <c r="V54" s="502"/>
      <c r="W54" s="502"/>
      <c r="X54" s="505"/>
      <c r="Y54" s="505"/>
      <c r="Z54" s="110" t="s">
        <v>43</v>
      </c>
      <c r="AA54" s="337" t="s">
        <v>70</v>
      </c>
    </row>
    <row r="55" spans="1:27" s="2" customFormat="1" ht="27" hidden="1" customHeight="1">
      <c r="A55" s="475"/>
      <c r="B55" s="487"/>
      <c r="C55" s="490"/>
      <c r="D55" s="493"/>
      <c r="E55" s="496"/>
      <c r="F55" s="490"/>
      <c r="G55" s="499"/>
      <c r="H55" s="499"/>
      <c r="I55" s="490"/>
      <c r="J55" s="499"/>
      <c r="K55" s="499"/>
      <c r="L55" s="499"/>
      <c r="M55" s="499"/>
      <c r="N55" s="337" t="s">
        <v>97</v>
      </c>
      <c r="O55" s="337" t="s">
        <v>110</v>
      </c>
      <c r="P55" s="76" t="s">
        <v>27</v>
      </c>
      <c r="Q55" s="105">
        <v>1.5229999999999999</v>
      </c>
      <c r="R55" s="105">
        <v>1.5229999999999999</v>
      </c>
      <c r="S55" s="337" t="s">
        <v>111</v>
      </c>
      <c r="T55" s="104">
        <v>0.85619999999999996</v>
      </c>
      <c r="U55" s="344">
        <f t="shared" si="0"/>
        <v>0.56217990807616547</v>
      </c>
      <c r="V55" s="502"/>
      <c r="W55" s="502"/>
      <c r="X55" s="505"/>
      <c r="Y55" s="505"/>
      <c r="Z55" s="110" t="s">
        <v>43</v>
      </c>
      <c r="AA55" s="337" t="s">
        <v>70</v>
      </c>
    </row>
    <row r="56" spans="1:27" s="2" customFormat="1" ht="27" hidden="1" customHeight="1">
      <c r="A56" s="475"/>
      <c r="B56" s="487"/>
      <c r="C56" s="490"/>
      <c r="D56" s="493"/>
      <c r="E56" s="496"/>
      <c r="F56" s="490"/>
      <c r="G56" s="499"/>
      <c r="H56" s="499"/>
      <c r="I56" s="490"/>
      <c r="J56" s="499"/>
      <c r="K56" s="499"/>
      <c r="L56" s="499"/>
      <c r="M56" s="499"/>
      <c r="N56" s="337" t="s">
        <v>112</v>
      </c>
      <c r="O56" s="337" t="s">
        <v>113</v>
      </c>
      <c r="P56" s="76" t="s">
        <v>27</v>
      </c>
      <c r="Q56" s="105">
        <v>4.5229999999999997</v>
      </c>
      <c r="R56" s="105">
        <v>4.5229999999999997</v>
      </c>
      <c r="S56" s="337" t="s">
        <v>114</v>
      </c>
      <c r="T56" s="104">
        <v>3.0264000000000002</v>
      </c>
      <c r="U56" s="344">
        <f t="shared" si="0"/>
        <v>0.66911342029626364</v>
      </c>
      <c r="V56" s="502"/>
      <c r="W56" s="502"/>
      <c r="X56" s="505"/>
      <c r="Y56" s="505"/>
      <c r="Z56" s="110" t="s">
        <v>43</v>
      </c>
      <c r="AA56" s="337" t="s">
        <v>70</v>
      </c>
    </row>
    <row r="57" spans="1:27" s="2" customFormat="1" ht="27" hidden="1" customHeight="1">
      <c r="A57" s="475"/>
      <c r="B57" s="487"/>
      <c r="C57" s="490"/>
      <c r="D57" s="493"/>
      <c r="E57" s="496"/>
      <c r="F57" s="490"/>
      <c r="G57" s="499"/>
      <c r="H57" s="499"/>
      <c r="I57" s="490"/>
      <c r="J57" s="499"/>
      <c r="K57" s="499"/>
      <c r="L57" s="499"/>
      <c r="M57" s="499"/>
      <c r="N57" s="337" t="s">
        <v>115</v>
      </c>
      <c r="O57" s="337" t="s">
        <v>116</v>
      </c>
      <c r="P57" s="76" t="s">
        <v>27</v>
      </c>
      <c r="Q57" s="105">
        <v>2.3620000000000001</v>
      </c>
      <c r="R57" s="105">
        <v>2.3620000000000001</v>
      </c>
      <c r="S57" s="337" t="s">
        <v>117</v>
      </c>
      <c r="T57" s="104">
        <v>1.5629999999999999</v>
      </c>
      <c r="U57" s="344">
        <f t="shared" si="0"/>
        <v>0.66172734970364089</v>
      </c>
      <c r="V57" s="502"/>
      <c r="W57" s="502"/>
      <c r="X57" s="505"/>
      <c r="Y57" s="505"/>
      <c r="Z57" s="110" t="s">
        <v>43</v>
      </c>
      <c r="AA57" s="337" t="s">
        <v>70</v>
      </c>
    </row>
    <row r="58" spans="1:27" s="2" customFormat="1" ht="27" hidden="1" customHeight="1">
      <c r="A58" s="475"/>
      <c r="B58" s="487"/>
      <c r="C58" s="490"/>
      <c r="D58" s="493"/>
      <c r="E58" s="496"/>
      <c r="F58" s="490"/>
      <c r="G58" s="499"/>
      <c r="H58" s="499"/>
      <c r="I58" s="490"/>
      <c r="J58" s="499"/>
      <c r="K58" s="499"/>
      <c r="L58" s="499"/>
      <c r="M58" s="499"/>
      <c r="N58" s="337" t="s">
        <v>118</v>
      </c>
      <c r="O58" s="337" t="s">
        <v>119</v>
      </c>
      <c r="P58" s="76" t="s">
        <v>27</v>
      </c>
      <c r="Q58" s="105">
        <v>0.86950000000000005</v>
      </c>
      <c r="R58" s="105">
        <v>0.86950000000000005</v>
      </c>
      <c r="S58" s="337"/>
      <c r="T58" s="104"/>
      <c r="U58" s="344">
        <f t="shared" si="0"/>
        <v>0</v>
      </c>
      <c r="V58" s="502"/>
      <c r="W58" s="502"/>
      <c r="X58" s="505"/>
      <c r="Y58" s="505"/>
      <c r="Z58" s="110" t="s">
        <v>43</v>
      </c>
      <c r="AA58" s="337" t="s">
        <v>70</v>
      </c>
    </row>
    <row r="59" spans="1:27" s="2" customFormat="1" ht="27" hidden="1" customHeight="1">
      <c r="A59" s="475"/>
      <c r="B59" s="487"/>
      <c r="C59" s="490"/>
      <c r="D59" s="493"/>
      <c r="E59" s="496"/>
      <c r="F59" s="490"/>
      <c r="G59" s="499"/>
      <c r="H59" s="499"/>
      <c r="I59" s="490"/>
      <c r="J59" s="499"/>
      <c r="K59" s="499"/>
      <c r="L59" s="499"/>
      <c r="M59" s="499"/>
      <c r="N59" s="337" t="s">
        <v>120</v>
      </c>
      <c r="O59" s="337" t="s">
        <v>121</v>
      </c>
      <c r="P59" s="76" t="s">
        <v>27</v>
      </c>
      <c r="Q59" s="105">
        <v>1.6</v>
      </c>
      <c r="R59" s="105">
        <v>1.6</v>
      </c>
      <c r="S59" s="337" t="s">
        <v>122</v>
      </c>
      <c r="T59" s="104">
        <v>0.77729999999999999</v>
      </c>
      <c r="U59" s="344">
        <f t="shared" si="0"/>
        <v>0.48581249999999998</v>
      </c>
      <c r="V59" s="502"/>
      <c r="W59" s="502"/>
      <c r="X59" s="505"/>
      <c r="Y59" s="505"/>
      <c r="Z59" s="110" t="s">
        <v>43</v>
      </c>
      <c r="AA59" s="337" t="s">
        <v>91</v>
      </c>
    </row>
    <row r="60" spans="1:27" s="2" customFormat="1" ht="27" hidden="1" customHeight="1">
      <c r="A60" s="475"/>
      <c r="B60" s="487"/>
      <c r="C60" s="490"/>
      <c r="D60" s="493"/>
      <c r="E60" s="496"/>
      <c r="F60" s="490"/>
      <c r="G60" s="499"/>
      <c r="H60" s="499"/>
      <c r="I60" s="490"/>
      <c r="J60" s="499"/>
      <c r="K60" s="499"/>
      <c r="L60" s="499"/>
      <c r="M60" s="499"/>
      <c r="N60" s="337" t="s">
        <v>123</v>
      </c>
      <c r="O60" s="337" t="s">
        <v>124</v>
      </c>
      <c r="P60" s="76" t="s">
        <v>27</v>
      </c>
      <c r="Q60" s="105">
        <v>2.9</v>
      </c>
      <c r="R60" s="105">
        <v>2.9</v>
      </c>
      <c r="S60" s="337" t="s">
        <v>125</v>
      </c>
      <c r="T60" s="104">
        <v>2.0171999999999999</v>
      </c>
      <c r="U60" s="344">
        <f t="shared" si="0"/>
        <v>0.69558620689655171</v>
      </c>
      <c r="V60" s="502"/>
      <c r="W60" s="502"/>
      <c r="X60" s="505"/>
      <c r="Y60" s="505"/>
      <c r="Z60" s="110" t="s">
        <v>43</v>
      </c>
      <c r="AA60" s="337" t="s">
        <v>91</v>
      </c>
    </row>
    <row r="61" spans="1:27" s="2" customFormat="1" ht="27" hidden="1" customHeight="1">
      <c r="A61" s="475"/>
      <c r="B61" s="487"/>
      <c r="C61" s="490"/>
      <c r="D61" s="493"/>
      <c r="E61" s="496"/>
      <c r="F61" s="490"/>
      <c r="G61" s="499"/>
      <c r="H61" s="499"/>
      <c r="I61" s="490"/>
      <c r="J61" s="499"/>
      <c r="K61" s="499"/>
      <c r="L61" s="499"/>
      <c r="M61" s="499"/>
      <c r="N61" s="337" t="s">
        <v>126</v>
      </c>
      <c r="O61" s="337" t="s">
        <v>127</v>
      </c>
      <c r="P61" s="76" t="s">
        <v>27</v>
      </c>
      <c r="Q61" s="105">
        <v>15</v>
      </c>
      <c r="R61" s="105">
        <v>15</v>
      </c>
      <c r="S61" s="337" t="s">
        <v>128</v>
      </c>
      <c r="T61" s="104">
        <v>2.3584999999999998</v>
      </c>
      <c r="U61" s="344">
        <f t="shared" si="0"/>
        <v>0.15723333333333331</v>
      </c>
      <c r="V61" s="502"/>
      <c r="W61" s="502"/>
      <c r="X61" s="505"/>
      <c r="Y61" s="505"/>
      <c r="Z61" s="110" t="s">
        <v>43</v>
      </c>
      <c r="AA61" s="337" t="s">
        <v>91</v>
      </c>
    </row>
    <row r="62" spans="1:27" s="2" customFormat="1" ht="27" hidden="1" customHeight="1">
      <c r="A62" s="475"/>
      <c r="B62" s="487"/>
      <c r="C62" s="490"/>
      <c r="D62" s="493"/>
      <c r="E62" s="496"/>
      <c r="F62" s="490"/>
      <c r="G62" s="499"/>
      <c r="H62" s="499"/>
      <c r="I62" s="490"/>
      <c r="J62" s="499"/>
      <c r="K62" s="499"/>
      <c r="L62" s="499"/>
      <c r="M62" s="499"/>
      <c r="N62" s="337" t="s">
        <v>129</v>
      </c>
      <c r="O62" s="337" t="s">
        <v>130</v>
      </c>
      <c r="P62" s="76" t="s">
        <v>27</v>
      </c>
      <c r="Q62" s="105">
        <v>0.3</v>
      </c>
      <c r="R62" s="105">
        <v>0.3</v>
      </c>
      <c r="S62" s="337" t="s">
        <v>131</v>
      </c>
      <c r="T62" s="104">
        <v>0.16309999999999999</v>
      </c>
      <c r="U62" s="344">
        <f t="shared" si="0"/>
        <v>0.54366666666666663</v>
      </c>
      <c r="V62" s="502"/>
      <c r="W62" s="502"/>
      <c r="X62" s="505"/>
      <c r="Y62" s="505"/>
      <c r="Z62" s="110" t="s">
        <v>43</v>
      </c>
      <c r="AA62" s="337" t="s">
        <v>91</v>
      </c>
    </row>
    <row r="63" spans="1:27" s="2" customFormat="1" ht="27" hidden="1" customHeight="1">
      <c r="A63" s="475"/>
      <c r="B63" s="487"/>
      <c r="C63" s="490"/>
      <c r="D63" s="493"/>
      <c r="E63" s="496"/>
      <c r="F63" s="490"/>
      <c r="G63" s="499"/>
      <c r="H63" s="499"/>
      <c r="I63" s="490"/>
      <c r="J63" s="499"/>
      <c r="K63" s="499"/>
      <c r="L63" s="499"/>
      <c r="M63" s="499"/>
      <c r="N63" s="337" t="s">
        <v>132</v>
      </c>
      <c r="O63" s="337" t="s">
        <v>133</v>
      </c>
      <c r="P63" s="76" t="s">
        <v>27</v>
      </c>
      <c r="Q63" s="105">
        <v>1.8</v>
      </c>
      <c r="R63" s="105">
        <v>1.8</v>
      </c>
      <c r="S63" s="337" t="s">
        <v>134</v>
      </c>
      <c r="T63" s="104">
        <v>1.0088999999999999</v>
      </c>
      <c r="U63" s="344">
        <f t="shared" si="0"/>
        <v>0.56049999999999989</v>
      </c>
      <c r="V63" s="502"/>
      <c r="W63" s="502"/>
      <c r="X63" s="505"/>
      <c r="Y63" s="505"/>
      <c r="Z63" s="110" t="s">
        <v>43</v>
      </c>
      <c r="AA63" s="337" t="s">
        <v>91</v>
      </c>
    </row>
    <row r="64" spans="1:27" s="2" customFormat="1" ht="27" hidden="1" customHeight="1">
      <c r="A64" s="475"/>
      <c r="B64" s="487"/>
      <c r="C64" s="490"/>
      <c r="D64" s="493"/>
      <c r="E64" s="496"/>
      <c r="F64" s="490"/>
      <c r="G64" s="499"/>
      <c r="H64" s="499"/>
      <c r="I64" s="490"/>
      <c r="J64" s="499"/>
      <c r="K64" s="499"/>
      <c r="L64" s="499"/>
      <c r="M64" s="499"/>
      <c r="N64" s="337" t="s">
        <v>135</v>
      </c>
      <c r="O64" s="337" t="s">
        <v>136</v>
      </c>
      <c r="P64" s="76" t="s">
        <v>27</v>
      </c>
      <c r="Q64" s="105">
        <v>1.3</v>
      </c>
      <c r="R64" s="105">
        <v>1.3</v>
      </c>
      <c r="S64" s="337" t="s">
        <v>137</v>
      </c>
      <c r="T64" s="104">
        <v>0.76070000000000004</v>
      </c>
      <c r="U64" s="344">
        <f t="shared" si="0"/>
        <v>0.58515384615384614</v>
      </c>
      <c r="V64" s="502"/>
      <c r="W64" s="502"/>
      <c r="X64" s="505"/>
      <c r="Y64" s="505"/>
      <c r="Z64" s="110" t="s">
        <v>43</v>
      </c>
      <c r="AA64" s="337" t="s">
        <v>91</v>
      </c>
    </row>
    <row r="65" spans="1:27" s="2" customFormat="1" ht="27" hidden="1" customHeight="1">
      <c r="A65" s="475"/>
      <c r="B65" s="487"/>
      <c r="C65" s="490"/>
      <c r="D65" s="493"/>
      <c r="E65" s="496"/>
      <c r="F65" s="490"/>
      <c r="G65" s="499"/>
      <c r="H65" s="499"/>
      <c r="I65" s="490"/>
      <c r="J65" s="499"/>
      <c r="K65" s="499"/>
      <c r="L65" s="499"/>
      <c r="M65" s="499"/>
      <c r="N65" s="337" t="s">
        <v>138</v>
      </c>
      <c r="O65" s="337" t="s">
        <v>1901</v>
      </c>
      <c r="P65" s="76" t="s">
        <v>27</v>
      </c>
      <c r="Q65" s="105">
        <v>6</v>
      </c>
      <c r="R65" s="105">
        <v>6</v>
      </c>
      <c r="S65" s="337"/>
      <c r="T65" s="104"/>
      <c r="U65" s="344">
        <f t="shared" si="0"/>
        <v>0</v>
      </c>
      <c r="V65" s="502"/>
      <c r="W65" s="502"/>
      <c r="X65" s="505"/>
      <c r="Y65" s="505"/>
      <c r="Z65" s="110" t="s">
        <v>43</v>
      </c>
      <c r="AA65" s="337" t="s">
        <v>91</v>
      </c>
    </row>
    <row r="66" spans="1:27" s="2" customFormat="1" ht="27" hidden="1" customHeight="1">
      <c r="A66" s="475"/>
      <c r="B66" s="487"/>
      <c r="C66" s="490"/>
      <c r="D66" s="493"/>
      <c r="E66" s="496"/>
      <c r="F66" s="490"/>
      <c r="G66" s="499"/>
      <c r="H66" s="499"/>
      <c r="I66" s="490"/>
      <c r="J66" s="499"/>
      <c r="K66" s="499"/>
      <c r="L66" s="499"/>
      <c r="M66" s="499"/>
      <c r="N66" s="337" t="s">
        <v>139</v>
      </c>
      <c r="O66" s="337" t="s">
        <v>140</v>
      </c>
      <c r="P66" s="76" t="s">
        <v>27</v>
      </c>
      <c r="Q66" s="105">
        <v>0.5</v>
      </c>
      <c r="R66" s="105">
        <v>0.5</v>
      </c>
      <c r="S66" s="337"/>
      <c r="T66" s="104"/>
      <c r="U66" s="344">
        <f t="shared" si="0"/>
        <v>0</v>
      </c>
      <c r="V66" s="502"/>
      <c r="W66" s="502"/>
      <c r="X66" s="505"/>
      <c r="Y66" s="505"/>
      <c r="Z66" s="110" t="s">
        <v>43</v>
      </c>
      <c r="AA66" s="337" t="s">
        <v>141</v>
      </c>
    </row>
    <row r="67" spans="1:27" s="2" customFormat="1" ht="27" hidden="1" customHeight="1">
      <c r="A67" s="475"/>
      <c r="B67" s="488"/>
      <c r="C67" s="491"/>
      <c r="D67" s="494"/>
      <c r="E67" s="497"/>
      <c r="F67" s="491"/>
      <c r="G67" s="500"/>
      <c r="H67" s="500"/>
      <c r="I67" s="491"/>
      <c r="J67" s="500"/>
      <c r="K67" s="500"/>
      <c r="L67" s="500"/>
      <c r="M67" s="500"/>
      <c r="N67" s="337" t="s">
        <v>142</v>
      </c>
      <c r="O67" s="337" t="s">
        <v>143</v>
      </c>
      <c r="P67" s="76" t="s">
        <v>27</v>
      </c>
      <c r="Q67" s="105">
        <v>1</v>
      </c>
      <c r="R67" s="105">
        <v>1</v>
      </c>
      <c r="S67" s="337"/>
      <c r="T67" s="104"/>
      <c r="U67" s="344">
        <f t="shared" si="0"/>
        <v>0</v>
      </c>
      <c r="V67" s="503"/>
      <c r="W67" s="503"/>
      <c r="X67" s="506"/>
      <c r="Y67" s="506"/>
      <c r="Z67" s="110" t="s">
        <v>43</v>
      </c>
      <c r="AA67" s="337" t="s">
        <v>141</v>
      </c>
    </row>
    <row r="68" spans="1:27" s="2" customFormat="1" ht="27" hidden="1" customHeight="1">
      <c r="A68" s="475"/>
      <c r="B68" s="486">
        <v>8</v>
      </c>
      <c r="C68" s="489" t="s">
        <v>1902</v>
      </c>
      <c r="D68" s="492" t="s">
        <v>2044</v>
      </c>
      <c r="E68" s="495" t="s">
        <v>2045</v>
      </c>
      <c r="F68" s="489" t="s">
        <v>144</v>
      </c>
      <c r="G68" s="498">
        <v>124</v>
      </c>
      <c r="H68" s="498">
        <v>0.72</v>
      </c>
      <c r="I68" s="489" t="s">
        <v>39</v>
      </c>
      <c r="J68" s="498">
        <v>44</v>
      </c>
      <c r="K68" s="498"/>
      <c r="L68" s="498"/>
      <c r="M68" s="498">
        <f>G68+H68+J68+L68</f>
        <v>168.72</v>
      </c>
      <c r="N68" s="337" t="s">
        <v>145</v>
      </c>
      <c r="O68" s="337" t="s">
        <v>146</v>
      </c>
      <c r="P68" s="76" t="s">
        <v>27</v>
      </c>
      <c r="Q68" s="105">
        <v>2.81</v>
      </c>
      <c r="R68" s="105">
        <v>2.81</v>
      </c>
      <c r="S68" s="337" t="s">
        <v>147</v>
      </c>
      <c r="T68" s="104">
        <v>2.35</v>
      </c>
      <c r="U68" s="112">
        <f>T68/Q68</f>
        <v>0.83629893238434161</v>
      </c>
      <c r="V68" s="509">
        <f>SUM(Q68:Q70)</f>
        <v>21.132200000000001</v>
      </c>
      <c r="W68" s="509">
        <f>SUM(T68:T70)</f>
        <v>2.9962</v>
      </c>
      <c r="X68" s="512">
        <f>W68/V68</f>
        <v>0.14178362877504472</v>
      </c>
      <c r="Y68" s="512">
        <f>W68/M68</f>
        <v>1.7758416311047891E-2</v>
      </c>
      <c r="Z68" s="337" t="s">
        <v>148</v>
      </c>
      <c r="AA68" s="331"/>
    </row>
    <row r="69" spans="1:27" s="2" customFormat="1" ht="27" hidden="1" customHeight="1">
      <c r="A69" s="475"/>
      <c r="B69" s="487"/>
      <c r="C69" s="490"/>
      <c r="D69" s="493"/>
      <c r="E69" s="496"/>
      <c r="F69" s="490"/>
      <c r="G69" s="499"/>
      <c r="H69" s="499"/>
      <c r="I69" s="490"/>
      <c r="J69" s="499"/>
      <c r="K69" s="499"/>
      <c r="L69" s="499"/>
      <c r="M69" s="499"/>
      <c r="N69" s="337" t="s">
        <v>149</v>
      </c>
      <c r="O69" s="337" t="s">
        <v>150</v>
      </c>
      <c r="P69" s="76" t="s">
        <v>27</v>
      </c>
      <c r="Q69" s="105">
        <v>0.75990000000000002</v>
      </c>
      <c r="R69" s="105">
        <v>0.75990000000000002</v>
      </c>
      <c r="S69" s="337" t="s">
        <v>151</v>
      </c>
      <c r="T69" s="104">
        <v>0.6462</v>
      </c>
      <c r="U69" s="112">
        <f>T69/Q69</f>
        <v>0.85037504934859842</v>
      </c>
      <c r="V69" s="510"/>
      <c r="W69" s="510"/>
      <c r="X69" s="513"/>
      <c r="Y69" s="513"/>
      <c r="Z69" s="337" t="s">
        <v>148</v>
      </c>
      <c r="AA69" s="331"/>
    </row>
    <row r="70" spans="1:27" s="2" customFormat="1" ht="27" customHeight="1">
      <c r="A70" s="475"/>
      <c r="B70" s="488"/>
      <c r="C70" s="491"/>
      <c r="D70" s="494"/>
      <c r="E70" s="497"/>
      <c r="F70" s="491"/>
      <c r="G70" s="500"/>
      <c r="H70" s="500"/>
      <c r="I70" s="491"/>
      <c r="J70" s="500"/>
      <c r="K70" s="500"/>
      <c r="L70" s="500"/>
      <c r="M70" s="500"/>
      <c r="N70" s="337" t="s">
        <v>152</v>
      </c>
      <c r="O70" s="337" t="s">
        <v>153</v>
      </c>
      <c r="P70" s="76" t="s">
        <v>36</v>
      </c>
      <c r="Q70" s="105">
        <v>17.5623</v>
      </c>
      <c r="R70" s="105">
        <v>171.95500000000001</v>
      </c>
      <c r="S70" s="337" t="s">
        <v>154</v>
      </c>
      <c r="T70" s="104"/>
      <c r="U70" s="337"/>
      <c r="V70" s="511"/>
      <c r="W70" s="511"/>
      <c r="X70" s="514"/>
      <c r="Y70" s="514"/>
      <c r="Z70" s="337" t="s">
        <v>148</v>
      </c>
      <c r="AA70" s="331"/>
    </row>
    <row r="71" spans="1:27" s="2" customFormat="1" ht="27" customHeight="1">
      <c r="A71" s="475"/>
      <c r="B71" s="486">
        <v>9</v>
      </c>
      <c r="C71" s="515" t="s">
        <v>155</v>
      </c>
      <c r="D71" s="492">
        <v>316366.5</v>
      </c>
      <c r="E71" s="495" t="s">
        <v>2046</v>
      </c>
      <c r="F71" s="332" t="s">
        <v>156</v>
      </c>
      <c r="G71" s="333">
        <v>1109.0676000000001</v>
      </c>
      <c r="H71" s="333"/>
      <c r="I71" s="332"/>
      <c r="J71" s="333"/>
      <c r="K71" s="333"/>
      <c r="L71" s="333"/>
      <c r="M71" s="498">
        <f>G71+H72</f>
        <v>1110.5676000000001</v>
      </c>
      <c r="N71" s="332">
        <v>2012.6</v>
      </c>
      <c r="O71" s="332" t="s">
        <v>157</v>
      </c>
      <c r="P71" s="76" t="s">
        <v>36</v>
      </c>
      <c r="Q71" s="102">
        <v>610.5</v>
      </c>
      <c r="R71" s="102">
        <v>1420.2</v>
      </c>
      <c r="S71" s="332" t="s">
        <v>158</v>
      </c>
      <c r="T71" s="333">
        <v>588.03200000000004</v>
      </c>
      <c r="U71" s="113">
        <f>T71/Q71</f>
        <v>0.96319737919737924</v>
      </c>
      <c r="V71" s="101">
        <f>Q71</f>
        <v>610.5</v>
      </c>
      <c r="W71" s="101">
        <f>T71</f>
        <v>588.03200000000004</v>
      </c>
      <c r="X71" s="103">
        <f>W71/V71</f>
        <v>0.96319737919737924</v>
      </c>
      <c r="Y71" s="103">
        <f>W71/M71</f>
        <v>0.52948780425432906</v>
      </c>
      <c r="Z71" s="332" t="s">
        <v>159</v>
      </c>
      <c r="AA71" s="331"/>
    </row>
    <row r="72" spans="1:27" s="2" customFormat="1" ht="27" hidden="1" customHeight="1">
      <c r="A72" s="475"/>
      <c r="B72" s="488"/>
      <c r="C72" s="516"/>
      <c r="D72" s="494"/>
      <c r="E72" s="497"/>
      <c r="F72" s="332" t="s">
        <v>24</v>
      </c>
      <c r="G72" s="333"/>
      <c r="H72" s="333">
        <v>1.5</v>
      </c>
      <c r="I72" s="332"/>
      <c r="J72" s="333"/>
      <c r="K72" s="333"/>
      <c r="L72" s="333"/>
      <c r="M72" s="500"/>
      <c r="N72" s="332"/>
      <c r="O72" s="332"/>
      <c r="P72" s="332"/>
      <c r="Q72" s="102"/>
      <c r="R72" s="102"/>
      <c r="S72" s="332"/>
      <c r="T72" s="333"/>
      <c r="U72" s="344">
        <v>0</v>
      </c>
      <c r="V72" s="101"/>
      <c r="W72" s="101"/>
      <c r="X72" s="101"/>
      <c r="Y72" s="101"/>
      <c r="Z72" s="332" t="s">
        <v>159</v>
      </c>
      <c r="AA72" s="331"/>
    </row>
    <row r="73" spans="1:27" s="2" customFormat="1" ht="27" customHeight="1">
      <c r="A73" s="475"/>
      <c r="B73" s="486">
        <v>10</v>
      </c>
      <c r="C73" s="526" t="s">
        <v>160</v>
      </c>
      <c r="D73" s="492">
        <v>66715.59</v>
      </c>
      <c r="E73" s="495" t="s">
        <v>2047</v>
      </c>
      <c r="F73" s="523" t="s">
        <v>161</v>
      </c>
      <c r="G73" s="520">
        <f>910.915968/4</f>
        <v>227.72899200000001</v>
      </c>
      <c r="H73" s="520"/>
      <c r="I73" s="523" t="s">
        <v>162</v>
      </c>
      <c r="J73" s="520">
        <f>146.706/4</f>
        <v>36.676499999999997</v>
      </c>
      <c r="K73" s="520" t="s">
        <v>163</v>
      </c>
      <c r="L73" s="520" t="s">
        <v>163</v>
      </c>
      <c r="M73" s="520">
        <f>G73+J73</f>
        <v>264.40549199999998</v>
      </c>
      <c r="N73" s="331" t="s">
        <v>164</v>
      </c>
      <c r="O73" s="331" t="s">
        <v>165</v>
      </c>
      <c r="P73" s="76" t="s">
        <v>36</v>
      </c>
      <c r="Q73" s="100">
        <v>11.5</v>
      </c>
      <c r="R73" s="100">
        <v>15</v>
      </c>
      <c r="S73" s="331" t="s">
        <v>166</v>
      </c>
      <c r="T73" s="330">
        <v>5.1308999999999996</v>
      </c>
      <c r="U73" s="344">
        <f t="shared" ref="U73:U92" si="2">T73/Q73</f>
        <v>0.44616521739130433</v>
      </c>
      <c r="V73" s="501">
        <f>SUM(Q73:Q88)</f>
        <v>48.636000000000003</v>
      </c>
      <c r="W73" s="501">
        <f>SUM(T73:T88)</f>
        <v>26.027644000000009</v>
      </c>
      <c r="X73" s="504">
        <f>W73/V73</f>
        <v>0.53515182169586328</v>
      </c>
      <c r="Y73" s="504">
        <f>W73/M73</f>
        <v>9.843836375380588E-2</v>
      </c>
      <c r="Z73" s="331" t="s">
        <v>167</v>
      </c>
      <c r="AA73" s="331"/>
    </row>
    <row r="74" spans="1:27" s="2" customFormat="1" ht="27" customHeight="1">
      <c r="A74" s="475"/>
      <c r="B74" s="487"/>
      <c r="C74" s="527"/>
      <c r="D74" s="493"/>
      <c r="E74" s="496"/>
      <c r="F74" s="524"/>
      <c r="G74" s="521"/>
      <c r="H74" s="521"/>
      <c r="I74" s="524"/>
      <c r="J74" s="521"/>
      <c r="K74" s="521"/>
      <c r="L74" s="521"/>
      <c r="M74" s="521"/>
      <c r="N74" s="331" t="s">
        <v>168</v>
      </c>
      <c r="O74" s="331" t="s">
        <v>169</v>
      </c>
      <c r="P74" s="76" t="s">
        <v>36</v>
      </c>
      <c r="Q74" s="100">
        <v>6</v>
      </c>
      <c r="R74" s="100">
        <v>12</v>
      </c>
      <c r="S74" s="331" t="s">
        <v>170</v>
      </c>
      <c r="T74" s="330">
        <v>1.7592859999999999</v>
      </c>
      <c r="U74" s="344">
        <f t="shared" si="2"/>
        <v>0.2932143333333333</v>
      </c>
      <c r="V74" s="502"/>
      <c r="W74" s="502"/>
      <c r="X74" s="505"/>
      <c r="Y74" s="505"/>
      <c r="Z74" s="331" t="s">
        <v>167</v>
      </c>
      <c r="AA74" s="331"/>
    </row>
    <row r="75" spans="1:27" s="2" customFormat="1" ht="27" customHeight="1">
      <c r="A75" s="475"/>
      <c r="B75" s="487"/>
      <c r="C75" s="527"/>
      <c r="D75" s="493"/>
      <c r="E75" s="496"/>
      <c r="F75" s="524"/>
      <c r="G75" s="521"/>
      <c r="H75" s="521"/>
      <c r="I75" s="524"/>
      <c r="J75" s="521"/>
      <c r="K75" s="521"/>
      <c r="L75" s="521"/>
      <c r="M75" s="521"/>
      <c r="N75" s="331" t="s">
        <v>171</v>
      </c>
      <c r="O75" s="331" t="s">
        <v>172</v>
      </c>
      <c r="P75" s="76" t="s">
        <v>36</v>
      </c>
      <c r="Q75" s="100">
        <v>2.5</v>
      </c>
      <c r="R75" s="100">
        <v>5</v>
      </c>
      <c r="S75" s="331" t="s">
        <v>173</v>
      </c>
      <c r="T75" s="330">
        <v>1.0864</v>
      </c>
      <c r="U75" s="344">
        <f t="shared" si="2"/>
        <v>0.43456</v>
      </c>
      <c r="V75" s="502"/>
      <c r="W75" s="502"/>
      <c r="X75" s="505"/>
      <c r="Y75" s="505"/>
      <c r="Z75" s="331" t="s">
        <v>167</v>
      </c>
      <c r="AA75" s="331"/>
    </row>
    <row r="76" spans="1:27" s="2" customFormat="1" ht="27" customHeight="1">
      <c r="A76" s="475"/>
      <c r="B76" s="487"/>
      <c r="C76" s="527"/>
      <c r="D76" s="493"/>
      <c r="E76" s="496"/>
      <c r="F76" s="524"/>
      <c r="G76" s="521"/>
      <c r="H76" s="521"/>
      <c r="I76" s="524"/>
      <c r="J76" s="521"/>
      <c r="K76" s="521"/>
      <c r="L76" s="521"/>
      <c r="M76" s="521"/>
      <c r="N76" s="331" t="s">
        <v>174</v>
      </c>
      <c r="O76" s="331" t="s">
        <v>175</v>
      </c>
      <c r="P76" s="76" t="s">
        <v>36</v>
      </c>
      <c r="Q76" s="100">
        <v>9</v>
      </c>
      <c r="R76" s="100">
        <v>13</v>
      </c>
      <c r="S76" s="331" t="s">
        <v>176</v>
      </c>
      <c r="T76" s="330">
        <v>2.8677839999999999</v>
      </c>
      <c r="U76" s="344">
        <f t="shared" si="2"/>
        <v>0.31864266666666663</v>
      </c>
      <c r="V76" s="502"/>
      <c r="W76" s="502"/>
      <c r="X76" s="505"/>
      <c r="Y76" s="505"/>
      <c r="Z76" s="331" t="s">
        <v>167</v>
      </c>
      <c r="AA76" s="331"/>
    </row>
    <row r="77" spans="1:27" s="2" customFormat="1" ht="27" hidden="1" customHeight="1">
      <c r="A77" s="475"/>
      <c r="B77" s="487"/>
      <c r="C77" s="527"/>
      <c r="D77" s="493"/>
      <c r="E77" s="496"/>
      <c r="F77" s="524"/>
      <c r="G77" s="521"/>
      <c r="H77" s="521"/>
      <c r="I77" s="524"/>
      <c r="J77" s="521"/>
      <c r="K77" s="521"/>
      <c r="L77" s="521"/>
      <c r="M77" s="521"/>
      <c r="N77" s="331" t="s">
        <v>177</v>
      </c>
      <c r="O77" s="331" t="s">
        <v>178</v>
      </c>
      <c r="P77" s="76" t="s">
        <v>27</v>
      </c>
      <c r="Q77" s="100">
        <v>0.9</v>
      </c>
      <c r="R77" s="100">
        <v>1</v>
      </c>
      <c r="S77" s="331" t="s">
        <v>179</v>
      </c>
      <c r="T77" s="330">
        <v>0.81006199999999995</v>
      </c>
      <c r="U77" s="344">
        <f t="shared" si="2"/>
        <v>0.90006888888888881</v>
      </c>
      <c r="V77" s="502"/>
      <c r="W77" s="502"/>
      <c r="X77" s="505"/>
      <c r="Y77" s="505"/>
      <c r="Z77" s="331" t="s">
        <v>167</v>
      </c>
      <c r="AA77" s="331"/>
    </row>
    <row r="78" spans="1:27" s="2" customFormat="1" ht="27" hidden="1" customHeight="1">
      <c r="A78" s="475"/>
      <c r="B78" s="487"/>
      <c r="C78" s="527"/>
      <c r="D78" s="493"/>
      <c r="E78" s="496"/>
      <c r="F78" s="524"/>
      <c r="G78" s="521"/>
      <c r="H78" s="521"/>
      <c r="I78" s="524"/>
      <c r="J78" s="521"/>
      <c r="K78" s="521"/>
      <c r="L78" s="521"/>
      <c r="M78" s="521"/>
      <c r="N78" s="331" t="s">
        <v>180</v>
      </c>
      <c r="O78" s="331" t="s">
        <v>181</v>
      </c>
      <c r="P78" s="76" t="s">
        <v>27</v>
      </c>
      <c r="Q78" s="100">
        <v>1.1000000000000001</v>
      </c>
      <c r="R78" s="100">
        <v>1.5</v>
      </c>
      <c r="S78" s="331" t="s">
        <v>182</v>
      </c>
      <c r="T78" s="330">
        <v>1.09857</v>
      </c>
      <c r="U78" s="344">
        <f t="shared" si="2"/>
        <v>0.99869999999999992</v>
      </c>
      <c r="V78" s="502"/>
      <c r="W78" s="502"/>
      <c r="X78" s="505"/>
      <c r="Y78" s="505"/>
      <c r="Z78" s="331" t="s">
        <v>167</v>
      </c>
      <c r="AA78" s="331"/>
    </row>
    <row r="79" spans="1:27" s="2" customFormat="1" ht="27" hidden="1" customHeight="1">
      <c r="A79" s="475"/>
      <c r="B79" s="487"/>
      <c r="C79" s="527"/>
      <c r="D79" s="493"/>
      <c r="E79" s="496"/>
      <c r="F79" s="524"/>
      <c r="G79" s="521"/>
      <c r="H79" s="521"/>
      <c r="I79" s="524"/>
      <c r="J79" s="521"/>
      <c r="K79" s="521"/>
      <c r="L79" s="521"/>
      <c r="M79" s="521"/>
      <c r="N79" s="331" t="s">
        <v>183</v>
      </c>
      <c r="O79" s="331" t="s">
        <v>181</v>
      </c>
      <c r="P79" s="76" t="s">
        <v>27</v>
      </c>
      <c r="Q79" s="100">
        <v>1.2</v>
      </c>
      <c r="R79" s="100">
        <v>1.5</v>
      </c>
      <c r="S79" s="331" t="s">
        <v>184</v>
      </c>
      <c r="T79" s="330">
        <v>1.3035920000000001</v>
      </c>
      <c r="U79" s="344">
        <f t="shared" si="2"/>
        <v>1.0863266666666669</v>
      </c>
      <c r="V79" s="502"/>
      <c r="W79" s="502"/>
      <c r="X79" s="505"/>
      <c r="Y79" s="505"/>
      <c r="Z79" s="331" t="s">
        <v>167</v>
      </c>
      <c r="AA79" s="331"/>
    </row>
    <row r="80" spans="1:27" s="2" customFormat="1" ht="27" hidden="1" customHeight="1">
      <c r="A80" s="475"/>
      <c r="B80" s="487"/>
      <c r="C80" s="527"/>
      <c r="D80" s="493"/>
      <c r="E80" s="496"/>
      <c r="F80" s="524"/>
      <c r="G80" s="521"/>
      <c r="H80" s="521"/>
      <c r="I80" s="524"/>
      <c r="J80" s="521"/>
      <c r="K80" s="521"/>
      <c r="L80" s="521"/>
      <c r="M80" s="521"/>
      <c r="N80" s="331" t="s">
        <v>185</v>
      </c>
      <c r="O80" s="331" t="s">
        <v>186</v>
      </c>
      <c r="P80" s="76" t="s">
        <v>27</v>
      </c>
      <c r="Q80" s="100">
        <v>0.8</v>
      </c>
      <c r="R80" s="100">
        <v>0.9</v>
      </c>
      <c r="S80" s="331" t="s">
        <v>187</v>
      </c>
      <c r="T80" s="330">
        <v>0.87743400000000005</v>
      </c>
      <c r="U80" s="344">
        <f t="shared" si="2"/>
        <v>1.0967925000000001</v>
      </c>
      <c r="V80" s="502"/>
      <c r="W80" s="502"/>
      <c r="X80" s="505"/>
      <c r="Y80" s="505"/>
      <c r="Z80" s="331" t="s">
        <v>167</v>
      </c>
      <c r="AA80" s="331"/>
    </row>
    <row r="81" spans="1:27" s="2" customFormat="1" ht="27" hidden="1" customHeight="1">
      <c r="A81" s="475"/>
      <c r="B81" s="487"/>
      <c r="C81" s="527"/>
      <c r="D81" s="493"/>
      <c r="E81" s="496"/>
      <c r="F81" s="524"/>
      <c r="G81" s="521"/>
      <c r="H81" s="521"/>
      <c r="I81" s="524"/>
      <c r="J81" s="521"/>
      <c r="K81" s="521"/>
      <c r="L81" s="521"/>
      <c r="M81" s="521"/>
      <c r="N81" s="331" t="s">
        <v>188</v>
      </c>
      <c r="O81" s="331" t="s">
        <v>189</v>
      </c>
      <c r="P81" s="76" t="s">
        <v>27</v>
      </c>
      <c r="Q81" s="100">
        <v>2.7</v>
      </c>
      <c r="R81" s="100">
        <v>2.7</v>
      </c>
      <c r="S81" s="331" t="s">
        <v>190</v>
      </c>
      <c r="T81" s="330">
        <v>2.553388</v>
      </c>
      <c r="U81" s="344">
        <f t="shared" si="2"/>
        <v>0.94569925925925924</v>
      </c>
      <c r="V81" s="502"/>
      <c r="W81" s="502"/>
      <c r="X81" s="505"/>
      <c r="Y81" s="505"/>
      <c r="Z81" s="331" t="s">
        <v>167</v>
      </c>
      <c r="AA81" s="331"/>
    </row>
    <row r="82" spans="1:27" s="2" customFormat="1" ht="27" hidden="1" customHeight="1">
      <c r="A82" s="475"/>
      <c r="B82" s="487"/>
      <c r="C82" s="527"/>
      <c r="D82" s="493"/>
      <c r="E82" s="496"/>
      <c r="F82" s="524"/>
      <c r="G82" s="521"/>
      <c r="H82" s="521"/>
      <c r="I82" s="524"/>
      <c r="J82" s="521"/>
      <c r="K82" s="521"/>
      <c r="L82" s="521"/>
      <c r="M82" s="521"/>
      <c r="N82" s="331" t="s">
        <v>191</v>
      </c>
      <c r="O82" s="331" t="s">
        <v>181</v>
      </c>
      <c r="P82" s="76" t="s">
        <v>27</v>
      </c>
      <c r="Q82" s="100">
        <v>0.18</v>
      </c>
      <c r="R82" s="100">
        <v>0.2</v>
      </c>
      <c r="S82" s="331" t="s">
        <v>192</v>
      </c>
      <c r="T82" s="330">
        <v>0.167795</v>
      </c>
      <c r="U82" s="344">
        <f t="shared" si="2"/>
        <v>0.93219444444444444</v>
      </c>
      <c r="V82" s="502"/>
      <c r="W82" s="502"/>
      <c r="X82" s="505"/>
      <c r="Y82" s="505"/>
      <c r="Z82" s="331" t="s">
        <v>167</v>
      </c>
      <c r="AA82" s="331"/>
    </row>
    <row r="83" spans="1:27" s="2" customFormat="1" ht="27" hidden="1" customHeight="1">
      <c r="A83" s="475"/>
      <c r="B83" s="487"/>
      <c r="C83" s="527"/>
      <c r="D83" s="493"/>
      <c r="E83" s="496"/>
      <c r="F83" s="524"/>
      <c r="G83" s="521"/>
      <c r="H83" s="521"/>
      <c r="I83" s="524"/>
      <c r="J83" s="521"/>
      <c r="K83" s="521"/>
      <c r="L83" s="521"/>
      <c r="M83" s="521"/>
      <c r="N83" s="331" t="s">
        <v>193</v>
      </c>
      <c r="O83" s="331" t="s">
        <v>194</v>
      </c>
      <c r="P83" s="76" t="s">
        <v>27</v>
      </c>
      <c r="Q83" s="100">
        <v>4.2</v>
      </c>
      <c r="R83" s="100">
        <v>3.9</v>
      </c>
      <c r="S83" s="331" t="s">
        <v>195</v>
      </c>
      <c r="T83" s="330">
        <v>3.3302239999999999</v>
      </c>
      <c r="U83" s="344">
        <f t="shared" si="2"/>
        <v>0.79291047619047617</v>
      </c>
      <c r="V83" s="502"/>
      <c r="W83" s="502"/>
      <c r="X83" s="505"/>
      <c r="Y83" s="505"/>
      <c r="Z83" s="331" t="s">
        <v>167</v>
      </c>
      <c r="AA83" s="331"/>
    </row>
    <row r="84" spans="1:27" s="2" customFormat="1" ht="27" hidden="1" customHeight="1">
      <c r="A84" s="475"/>
      <c r="B84" s="487"/>
      <c r="C84" s="527"/>
      <c r="D84" s="493"/>
      <c r="E84" s="496"/>
      <c r="F84" s="524"/>
      <c r="G84" s="521"/>
      <c r="H84" s="521"/>
      <c r="I84" s="524"/>
      <c r="J84" s="521"/>
      <c r="K84" s="521"/>
      <c r="L84" s="521"/>
      <c r="M84" s="521"/>
      <c r="N84" s="331" t="s">
        <v>196</v>
      </c>
      <c r="O84" s="331" t="s">
        <v>197</v>
      </c>
      <c r="P84" s="76" t="s">
        <v>27</v>
      </c>
      <c r="Q84" s="100">
        <v>1</v>
      </c>
      <c r="R84" s="100">
        <v>1.2</v>
      </c>
      <c r="S84" s="331" t="s">
        <v>198</v>
      </c>
      <c r="T84" s="330">
        <v>0.85982499999999995</v>
      </c>
      <c r="U84" s="344">
        <f t="shared" si="2"/>
        <v>0.85982499999999995</v>
      </c>
      <c r="V84" s="502"/>
      <c r="W84" s="502"/>
      <c r="X84" s="505"/>
      <c r="Y84" s="505"/>
      <c r="Z84" s="331" t="s">
        <v>167</v>
      </c>
      <c r="AA84" s="331"/>
    </row>
    <row r="85" spans="1:27" s="2" customFormat="1" ht="27" hidden="1" customHeight="1">
      <c r="A85" s="475"/>
      <c r="B85" s="487"/>
      <c r="C85" s="527"/>
      <c r="D85" s="493"/>
      <c r="E85" s="496"/>
      <c r="F85" s="524"/>
      <c r="G85" s="521"/>
      <c r="H85" s="521"/>
      <c r="I85" s="524"/>
      <c r="J85" s="521"/>
      <c r="K85" s="521"/>
      <c r="L85" s="521"/>
      <c r="M85" s="521"/>
      <c r="N85" s="331" t="s">
        <v>199</v>
      </c>
      <c r="O85" s="331" t="s">
        <v>181</v>
      </c>
      <c r="P85" s="76" t="s">
        <v>27</v>
      </c>
      <c r="Q85" s="100">
        <v>1.5</v>
      </c>
      <c r="R85" s="100">
        <v>1.5</v>
      </c>
      <c r="S85" s="331" t="s">
        <v>198</v>
      </c>
      <c r="T85" s="330">
        <v>1.325823</v>
      </c>
      <c r="U85" s="344">
        <f t="shared" si="2"/>
        <v>0.88388199999999995</v>
      </c>
      <c r="V85" s="502"/>
      <c r="W85" s="502"/>
      <c r="X85" s="505"/>
      <c r="Y85" s="505"/>
      <c r="Z85" s="331" t="s">
        <v>167</v>
      </c>
      <c r="AA85" s="331"/>
    </row>
    <row r="86" spans="1:27" s="2" customFormat="1" ht="27" hidden="1" customHeight="1">
      <c r="A86" s="475"/>
      <c r="B86" s="487"/>
      <c r="C86" s="527"/>
      <c r="D86" s="493"/>
      <c r="E86" s="496"/>
      <c r="F86" s="524"/>
      <c r="G86" s="521"/>
      <c r="H86" s="521"/>
      <c r="I86" s="524"/>
      <c r="J86" s="521"/>
      <c r="K86" s="521"/>
      <c r="L86" s="521"/>
      <c r="M86" s="521"/>
      <c r="N86" s="331" t="s">
        <v>200</v>
      </c>
      <c r="O86" s="331" t="s">
        <v>201</v>
      </c>
      <c r="P86" s="76" t="s">
        <v>27</v>
      </c>
      <c r="Q86" s="100">
        <v>2</v>
      </c>
      <c r="R86" s="100">
        <v>1.8</v>
      </c>
      <c r="S86" s="331" t="s">
        <v>202</v>
      </c>
      <c r="T86" s="330">
        <v>1.5118929999999999</v>
      </c>
      <c r="U86" s="344">
        <f t="shared" si="2"/>
        <v>0.75594649999999997</v>
      </c>
      <c r="V86" s="502"/>
      <c r="W86" s="502"/>
      <c r="X86" s="505"/>
      <c r="Y86" s="505"/>
      <c r="Z86" s="331" t="s">
        <v>167</v>
      </c>
      <c r="AA86" s="331"/>
    </row>
    <row r="87" spans="1:27" s="2" customFormat="1" ht="27" hidden="1" customHeight="1">
      <c r="A87" s="475"/>
      <c r="B87" s="487"/>
      <c r="C87" s="527"/>
      <c r="D87" s="493"/>
      <c r="E87" s="496"/>
      <c r="F87" s="524"/>
      <c r="G87" s="521"/>
      <c r="H87" s="521"/>
      <c r="I87" s="524"/>
      <c r="J87" s="521"/>
      <c r="K87" s="521"/>
      <c r="L87" s="521"/>
      <c r="M87" s="521"/>
      <c r="N87" s="331" t="s">
        <v>203</v>
      </c>
      <c r="O87" s="331" t="s">
        <v>204</v>
      </c>
      <c r="P87" s="76" t="s">
        <v>27</v>
      </c>
      <c r="Q87" s="100">
        <v>2</v>
      </c>
      <c r="R87" s="100">
        <v>3</v>
      </c>
      <c r="S87" s="331" t="s">
        <v>205</v>
      </c>
      <c r="T87" s="330">
        <v>6.8959999999999994E-2</v>
      </c>
      <c r="U87" s="344">
        <f t="shared" si="2"/>
        <v>3.4479999999999997E-2</v>
      </c>
      <c r="V87" s="502"/>
      <c r="W87" s="502"/>
      <c r="X87" s="505"/>
      <c r="Y87" s="505"/>
      <c r="Z87" s="331" t="s">
        <v>167</v>
      </c>
      <c r="AA87" s="331"/>
    </row>
    <row r="88" spans="1:27" s="2" customFormat="1" ht="27" hidden="1" customHeight="1">
      <c r="A88" s="475"/>
      <c r="B88" s="488"/>
      <c r="C88" s="528"/>
      <c r="D88" s="494"/>
      <c r="E88" s="497"/>
      <c r="F88" s="525"/>
      <c r="G88" s="522"/>
      <c r="H88" s="522"/>
      <c r="I88" s="525"/>
      <c r="J88" s="522"/>
      <c r="K88" s="522"/>
      <c r="L88" s="522"/>
      <c r="M88" s="522"/>
      <c r="N88" s="331" t="s">
        <v>206</v>
      </c>
      <c r="O88" s="331" t="s">
        <v>207</v>
      </c>
      <c r="P88" s="76" t="s">
        <v>27</v>
      </c>
      <c r="Q88" s="100">
        <v>2.056</v>
      </c>
      <c r="R88" s="100">
        <v>2.056</v>
      </c>
      <c r="S88" s="331" t="s">
        <v>208</v>
      </c>
      <c r="T88" s="330">
        <v>1.2757080000000001</v>
      </c>
      <c r="U88" s="344">
        <f t="shared" si="2"/>
        <v>0.6204805447470817</v>
      </c>
      <c r="V88" s="503"/>
      <c r="W88" s="503"/>
      <c r="X88" s="506"/>
      <c r="Y88" s="506"/>
      <c r="Z88" s="331" t="s">
        <v>167</v>
      </c>
      <c r="AA88" s="331"/>
    </row>
    <row r="89" spans="1:27" s="2" customFormat="1" ht="27" customHeight="1">
      <c r="A89" s="475"/>
      <c r="B89" s="486">
        <v>11</v>
      </c>
      <c r="C89" s="517" t="s">
        <v>209</v>
      </c>
      <c r="D89" s="492" t="s">
        <v>2048</v>
      </c>
      <c r="E89" s="495" t="s">
        <v>2049</v>
      </c>
      <c r="F89" s="517" t="s">
        <v>210</v>
      </c>
      <c r="G89" s="498">
        <v>172.3895</v>
      </c>
      <c r="H89" s="498"/>
      <c r="I89" s="517" t="s">
        <v>211</v>
      </c>
      <c r="J89" s="498">
        <v>57.913499999999999</v>
      </c>
      <c r="K89" s="498"/>
      <c r="L89" s="498"/>
      <c r="M89" s="498">
        <f>SUM(G89,H89,J89,L89)</f>
        <v>230.303</v>
      </c>
      <c r="N89" s="332" t="s">
        <v>212</v>
      </c>
      <c r="O89" s="332" t="s">
        <v>213</v>
      </c>
      <c r="P89" s="76" t="s">
        <v>36</v>
      </c>
      <c r="Q89" s="102">
        <v>0.31019999999999998</v>
      </c>
      <c r="R89" s="102">
        <v>0.438</v>
      </c>
      <c r="S89" s="102" t="s">
        <v>214</v>
      </c>
      <c r="T89" s="333">
        <v>0.2984</v>
      </c>
      <c r="U89" s="344">
        <f t="shared" si="2"/>
        <v>0.9619600257898131</v>
      </c>
      <c r="V89" s="543">
        <f>SUM(Q89:Q92)</f>
        <v>39.9726</v>
      </c>
      <c r="W89" s="543">
        <f>SUM(T89:T92)</f>
        <v>34.193553000000001</v>
      </c>
      <c r="X89" s="504">
        <f>W89/V89</f>
        <v>0.85542479098182256</v>
      </c>
      <c r="Y89" s="504">
        <f>W89/M89</f>
        <v>0.14847202598316131</v>
      </c>
      <c r="Z89" s="332" t="s">
        <v>215</v>
      </c>
      <c r="AA89" s="331"/>
    </row>
    <row r="90" spans="1:27" s="2" customFormat="1" ht="27" customHeight="1">
      <c r="A90" s="475"/>
      <c r="B90" s="487"/>
      <c r="C90" s="518"/>
      <c r="D90" s="493"/>
      <c r="E90" s="496"/>
      <c r="F90" s="518"/>
      <c r="G90" s="499"/>
      <c r="H90" s="499"/>
      <c r="I90" s="518"/>
      <c r="J90" s="499"/>
      <c r="K90" s="499"/>
      <c r="L90" s="499"/>
      <c r="M90" s="499"/>
      <c r="N90" s="332" t="s">
        <v>216</v>
      </c>
      <c r="O90" s="332" t="s">
        <v>217</v>
      </c>
      <c r="P90" s="76" t="s">
        <v>36</v>
      </c>
      <c r="Q90" s="102">
        <v>19.975999999999999</v>
      </c>
      <c r="R90" s="102">
        <v>25.039000000000001</v>
      </c>
      <c r="S90" s="102" t="s">
        <v>214</v>
      </c>
      <c r="T90" s="333">
        <v>17.7315</v>
      </c>
      <c r="U90" s="344">
        <f t="shared" si="2"/>
        <v>0.88764016820184233</v>
      </c>
      <c r="V90" s="502"/>
      <c r="W90" s="502"/>
      <c r="X90" s="505"/>
      <c r="Y90" s="505"/>
      <c r="Z90" s="332" t="s">
        <v>215</v>
      </c>
      <c r="AA90" s="331"/>
    </row>
    <row r="91" spans="1:27" s="2" customFormat="1" ht="27" customHeight="1">
      <c r="A91" s="475"/>
      <c r="B91" s="487"/>
      <c r="C91" s="518"/>
      <c r="D91" s="493"/>
      <c r="E91" s="496"/>
      <c r="F91" s="518"/>
      <c r="G91" s="499"/>
      <c r="H91" s="499"/>
      <c r="I91" s="518"/>
      <c r="J91" s="499"/>
      <c r="K91" s="499"/>
      <c r="L91" s="499"/>
      <c r="M91" s="499"/>
      <c r="N91" s="332" t="s">
        <v>218</v>
      </c>
      <c r="O91" s="332" t="s">
        <v>217</v>
      </c>
      <c r="P91" s="76" t="s">
        <v>36</v>
      </c>
      <c r="Q91" s="102">
        <v>15.8795</v>
      </c>
      <c r="R91" s="102">
        <v>20.8965</v>
      </c>
      <c r="S91" s="102" t="s">
        <v>214</v>
      </c>
      <c r="T91" s="333">
        <v>12.890499999999999</v>
      </c>
      <c r="U91" s="344">
        <f t="shared" si="2"/>
        <v>0.81176989199911831</v>
      </c>
      <c r="V91" s="502"/>
      <c r="W91" s="502"/>
      <c r="X91" s="505"/>
      <c r="Y91" s="505"/>
      <c r="Z91" s="332" t="s">
        <v>215</v>
      </c>
      <c r="AA91" s="331"/>
    </row>
    <row r="92" spans="1:27" s="2" customFormat="1" ht="27" hidden="1" customHeight="1">
      <c r="A92" s="475"/>
      <c r="B92" s="488"/>
      <c r="C92" s="519"/>
      <c r="D92" s="494"/>
      <c r="E92" s="497"/>
      <c r="F92" s="519"/>
      <c r="G92" s="500"/>
      <c r="H92" s="500"/>
      <c r="I92" s="519"/>
      <c r="J92" s="500"/>
      <c r="K92" s="500"/>
      <c r="L92" s="500"/>
      <c r="M92" s="500"/>
      <c r="N92" s="332" t="s">
        <v>219</v>
      </c>
      <c r="O92" s="332" t="s">
        <v>220</v>
      </c>
      <c r="P92" s="76" t="s">
        <v>27</v>
      </c>
      <c r="Q92" s="102">
        <v>3.8069000000000002</v>
      </c>
      <c r="R92" s="102">
        <v>5.5839999999999996</v>
      </c>
      <c r="S92" s="102" t="s">
        <v>221</v>
      </c>
      <c r="T92" s="333">
        <v>3.2731529999999998</v>
      </c>
      <c r="U92" s="344">
        <f t="shared" si="2"/>
        <v>0.85979484620032032</v>
      </c>
      <c r="V92" s="503"/>
      <c r="W92" s="503"/>
      <c r="X92" s="506"/>
      <c r="Y92" s="506"/>
      <c r="Z92" s="332" t="s">
        <v>215</v>
      </c>
      <c r="AA92" s="331"/>
    </row>
    <row r="93" spans="1:27" s="2" customFormat="1" ht="27" hidden="1" customHeight="1">
      <c r="A93" s="475"/>
      <c r="B93" s="335">
        <v>12</v>
      </c>
      <c r="C93" s="114" t="s">
        <v>222</v>
      </c>
      <c r="D93" s="369">
        <v>54345.47</v>
      </c>
      <c r="E93" s="368" t="s">
        <v>2050</v>
      </c>
      <c r="F93" s="332" t="s">
        <v>223</v>
      </c>
      <c r="G93" s="333">
        <v>146.411</v>
      </c>
      <c r="H93" s="333">
        <v>0.35</v>
      </c>
      <c r="I93" s="332" t="s">
        <v>223</v>
      </c>
      <c r="J93" s="333">
        <v>58.74</v>
      </c>
      <c r="K93" s="333"/>
      <c r="L93" s="333"/>
      <c r="M93" s="333">
        <f>SUM(G93,H93,J93,L93)</f>
        <v>205.501</v>
      </c>
      <c r="N93" s="332"/>
      <c r="O93" s="115"/>
      <c r="P93" s="115"/>
      <c r="Q93" s="116"/>
      <c r="R93" s="116"/>
      <c r="S93" s="115"/>
      <c r="T93" s="338"/>
      <c r="U93" s="344"/>
      <c r="V93" s="101"/>
      <c r="W93" s="101"/>
      <c r="X93" s="101"/>
      <c r="Y93" s="101"/>
      <c r="Z93" s="332" t="s">
        <v>224</v>
      </c>
      <c r="AA93" s="331"/>
    </row>
    <row r="94" spans="1:27" s="2" customFormat="1" ht="27" hidden="1" customHeight="1">
      <c r="A94" s="475"/>
      <c r="B94" s="335">
        <v>13</v>
      </c>
      <c r="C94" s="114" t="s">
        <v>225</v>
      </c>
      <c r="D94" s="369">
        <v>23805.439999999999</v>
      </c>
      <c r="E94" s="368" t="s">
        <v>2051</v>
      </c>
      <c r="F94" s="332" t="s">
        <v>223</v>
      </c>
      <c r="G94" s="330">
        <v>34.447200000000002</v>
      </c>
      <c r="H94" s="330">
        <v>0.15</v>
      </c>
      <c r="I94" s="332" t="s">
        <v>223</v>
      </c>
      <c r="J94" s="330">
        <v>23.682400000000001</v>
      </c>
      <c r="K94" s="330"/>
      <c r="L94" s="330"/>
      <c r="M94" s="333">
        <f>SUM(G94,H94,J94,L94)</f>
        <v>58.279600000000002</v>
      </c>
      <c r="N94" s="331"/>
      <c r="O94" s="331"/>
      <c r="P94" s="331"/>
      <c r="Q94" s="100"/>
      <c r="R94" s="100"/>
      <c r="S94" s="331"/>
      <c r="T94" s="330"/>
      <c r="U94" s="344"/>
      <c r="V94" s="101"/>
      <c r="W94" s="101"/>
      <c r="X94" s="101"/>
      <c r="Y94" s="101"/>
      <c r="Z94" s="332" t="s">
        <v>224</v>
      </c>
      <c r="AA94" s="331"/>
    </row>
    <row r="95" spans="1:27" s="2" customFormat="1" ht="27" hidden="1" customHeight="1">
      <c r="A95" s="475"/>
      <c r="B95" s="335">
        <v>14</v>
      </c>
      <c r="C95" s="99" t="s">
        <v>226</v>
      </c>
      <c r="D95" s="76">
        <v>31500</v>
      </c>
      <c r="E95" s="367" t="s">
        <v>2052</v>
      </c>
      <c r="F95" s="331"/>
      <c r="G95" s="330"/>
      <c r="H95" s="330"/>
      <c r="I95" s="331"/>
      <c r="J95" s="330"/>
      <c r="K95" s="330"/>
      <c r="L95" s="330"/>
      <c r="M95" s="330"/>
      <c r="N95" s="331"/>
      <c r="O95" s="331"/>
      <c r="P95" s="331"/>
      <c r="Q95" s="100"/>
      <c r="R95" s="100"/>
      <c r="S95" s="331"/>
      <c r="T95" s="330"/>
      <c r="U95" s="344"/>
      <c r="V95" s="101"/>
      <c r="W95" s="101"/>
      <c r="X95" s="101"/>
      <c r="Y95" s="101"/>
      <c r="Z95" s="331" t="s">
        <v>227</v>
      </c>
      <c r="AA95" s="331"/>
    </row>
    <row r="96" spans="1:27" s="2" customFormat="1" ht="27" hidden="1" customHeight="1">
      <c r="A96" s="475"/>
      <c r="B96" s="486">
        <v>15.16</v>
      </c>
      <c r="C96" s="540" t="s">
        <v>228</v>
      </c>
      <c r="D96" s="492">
        <v>59906.870600000002</v>
      </c>
      <c r="E96" s="495" t="s">
        <v>2053</v>
      </c>
      <c r="F96" s="540" t="s">
        <v>229</v>
      </c>
      <c r="G96" s="537">
        <f>420.544694/4</f>
        <v>105.1361735</v>
      </c>
      <c r="H96" s="537">
        <v>5</v>
      </c>
      <c r="I96" s="540" t="s">
        <v>229</v>
      </c>
      <c r="J96" s="537">
        <f>279.950854/4</f>
        <v>69.987713499999998</v>
      </c>
      <c r="K96" s="537"/>
      <c r="L96" s="537"/>
      <c r="M96" s="537">
        <f>SUM(G96,H96,J96,L96)</f>
        <v>180.123887</v>
      </c>
      <c r="N96" s="331" t="s">
        <v>230</v>
      </c>
      <c r="O96" s="331" t="s">
        <v>231</v>
      </c>
      <c r="P96" s="76" t="s">
        <v>27</v>
      </c>
      <c r="Q96" s="100">
        <f>R96-T96</f>
        <v>2.3096399999999999</v>
      </c>
      <c r="R96" s="100">
        <v>3.9552999999999998</v>
      </c>
      <c r="S96" s="331" t="s">
        <v>230</v>
      </c>
      <c r="T96" s="330">
        <v>1.6456599999999999</v>
      </c>
      <c r="U96" s="344">
        <f>T96/Q96</f>
        <v>0.71251796816819934</v>
      </c>
      <c r="V96" s="498">
        <f>SUM(Q96:Q99)</f>
        <v>10.245210999999999</v>
      </c>
      <c r="W96" s="498">
        <f>SUM(T96:T99)</f>
        <v>2.1470889999999998</v>
      </c>
      <c r="X96" s="504">
        <f>W96/V96</f>
        <v>0.20957001276010812</v>
      </c>
      <c r="Y96" s="504">
        <f>W96/M96</f>
        <v>1.1920068102905195E-2</v>
      </c>
      <c r="Z96" s="331" t="s">
        <v>159</v>
      </c>
      <c r="AA96" s="332"/>
    </row>
    <row r="97" spans="1:27" s="2" customFormat="1" ht="27" hidden="1" customHeight="1">
      <c r="A97" s="475"/>
      <c r="B97" s="487"/>
      <c r="C97" s="541"/>
      <c r="D97" s="493"/>
      <c r="E97" s="496"/>
      <c r="F97" s="541"/>
      <c r="G97" s="538"/>
      <c r="H97" s="538"/>
      <c r="I97" s="541"/>
      <c r="J97" s="538"/>
      <c r="K97" s="538"/>
      <c r="L97" s="538"/>
      <c r="M97" s="538"/>
      <c r="N97" s="331" t="s">
        <v>232</v>
      </c>
      <c r="O97" s="331" t="s">
        <v>233</v>
      </c>
      <c r="P97" s="76" t="s">
        <v>27</v>
      </c>
      <c r="Q97" s="100"/>
      <c r="R97" s="100">
        <v>4.1031000000000004</v>
      </c>
      <c r="S97" s="331"/>
      <c r="T97" s="338" t="s">
        <v>234</v>
      </c>
      <c r="U97" s="344"/>
      <c r="V97" s="499"/>
      <c r="W97" s="499"/>
      <c r="X97" s="505"/>
      <c r="Y97" s="505"/>
      <c r="Z97" s="331" t="s">
        <v>159</v>
      </c>
      <c r="AA97" s="332"/>
    </row>
    <row r="98" spans="1:27" s="2" customFormat="1" ht="27" hidden="1" customHeight="1">
      <c r="A98" s="475"/>
      <c r="B98" s="487"/>
      <c r="C98" s="541"/>
      <c r="D98" s="493"/>
      <c r="E98" s="496"/>
      <c r="F98" s="541"/>
      <c r="G98" s="538"/>
      <c r="H98" s="538"/>
      <c r="I98" s="541"/>
      <c r="J98" s="538"/>
      <c r="K98" s="538"/>
      <c r="L98" s="538"/>
      <c r="M98" s="538"/>
      <c r="N98" s="331" t="s">
        <v>235</v>
      </c>
      <c r="O98" s="331" t="s">
        <v>236</v>
      </c>
      <c r="P98" s="76" t="s">
        <v>27</v>
      </c>
      <c r="Q98" s="100">
        <f t="shared" ref="Q98:Q99" si="3">R98-T98</f>
        <v>6.6012769999999996</v>
      </c>
      <c r="R98" s="100">
        <v>6.8849999999999998</v>
      </c>
      <c r="S98" s="331" t="s">
        <v>235</v>
      </c>
      <c r="T98" s="330">
        <v>0.283723</v>
      </c>
      <c r="U98" s="344">
        <f>T98/Q98</f>
        <v>4.2980017351188268E-2</v>
      </c>
      <c r="V98" s="499"/>
      <c r="W98" s="499"/>
      <c r="X98" s="505"/>
      <c r="Y98" s="505"/>
      <c r="Z98" s="331" t="s">
        <v>159</v>
      </c>
      <c r="AA98" s="332"/>
    </row>
    <row r="99" spans="1:27" s="2" customFormat="1" ht="27" hidden="1" customHeight="1">
      <c r="A99" s="475"/>
      <c r="B99" s="488"/>
      <c r="C99" s="542"/>
      <c r="D99" s="494"/>
      <c r="E99" s="497"/>
      <c r="F99" s="542"/>
      <c r="G99" s="539"/>
      <c r="H99" s="539"/>
      <c r="I99" s="542"/>
      <c r="J99" s="539"/>
      <c r="K99" s="539"/>
      <c r="L99" s="539"/>
      <c r="M99" s="539"/>
      <c r="N99" s="331" t="s">
        <v>237</v>
      </c>
      <c r="O99" s="331" t="s">
        <v>1903</v>
      </c>
      <c r="P99" s="76" t="s">
        <v>27</v>
      </c>
      <c r="Q99" s="100">
        <f t="shared" si="3"/>
        <v>1.3342940000000001</v>
      </c>
      <c r="R99" s="100">
        <v>1.552</v>
      </c>
      <c r="S99" s="331" t="s">
        <v>237</v>
      </c>
      <c r="T99" s="330">
        <v>0.21770600000000001</v>
      </c>
      <c r="U99" s="344">
        <f>T99/Q99</f>
        <v>0.16316194182091803</v>
      </c>
      <c r="V99" s="500"/>
      <c r="W99" s="500"/>
      <c r="X99" s="506"/>
      <c r="Y99" s="506"/>
      <c r="Z99" s="331" t="s">
        <v>159</v>
      </c>
      <c r="AA99" s="332"/>
    </row>
    <row r="100" spans="1:27" s="2" customFormat="1" ht="27" hidden="1" customHeight="1">
      <c r="A100" s="475"/>
      <c r="B100" s="335">
        <v>16</v>
      </c>
      <c r="C100" s="117" t="s">
        <v>1835</v>
      </c>
      <c r="D100" s="369">
        <v>56341.777600000001</v>
      </c>
      <c r="E100" s="368" t="s">
        <v>2054</v>
      </c>
      <c r="F100" s="332"/>
      <c r="G100" s="333">
        <v>168.73</v>
      </c>
      <c r="H100" s="333"/>
      <c r="I100" s="102" t="s">
        <v>39</v>
      </c>
      <c r="J100" s="333">
        <v>0.72560000000000002</v>
      </c>
      <c r="K100" s="333">
        <v>0</v>
      </c>
      <c r="L100" s="333">
        <v>0</v>
      </c>
      <c r="M100" s="333">
        <f>SUM(G100,H100,J100,L100)</f>
        <v>169.4556</v>
      </c>
      <c r="N100" s="102" t="s">
        <v>75</v>
      </c>
      <c r="O100" s="102" t="s">
        <v>238</v>
      </c>
      <c r="P100" s="76" t="s">
        <v>27</v>
      </c>
      <c r="Q100" s="102">
        <v>0.72560000000000002</v>
      </c>
      <c r="R100" s="102">
        <v>0.72560000000000002</v>
      </c>
      <c r="S100" s="102" t="s">
        <v>239</v>
      </c>
      <c r="T100" s="333">
        <v>0.65784399999999998</v>
      </c>
      <c r="U100" s="344">
        <f t="shared" ref="U100" si="4">T100/Q100</f>
        <v>0.90662072767364932</v>
      </c>
      <c r="V100" s="102">
        <f>Q100</f>
        <v>0.72560000000000002</v>
      </c>
      <c r="W100" s="102">
        <f>T100</f>
        <v>0.65784399999999998</v>
      </c>
      <c r="X100" s="118">
        <f>W100/V100</f>
        <v>0.90662072767364932</v>
      </c>
      <c r="Y100" s="118">
        <f>W100/M100</f>
        <v>3.882102450435394E-3</v>
      </c>
      <c r="Z100" s="332" t="s">
        <v>159</v>
      </c>
      <c r="AA100" s="332"/>
    </row>
    <row r="101" spans="1:27">
      <c r="A101" s="475" t="s">
        <v>462</v>
      </c>
      <c r="B101" s="334">
        <v>1</v>
      </c>
      <c r="C101" s="332" t="s">
        <v>1904</v>
      </c>
      <c r="D101" s="370">
        <v>68248.510899999994</v>
      </c>
      <c r="E101" s="371" t="s">
        <v>2056</v>
      </c>
      <c r="F101" s="332" t="s">
        <v>254</v>
      </c>
      <c r="G101" s="333">
        <v>211.72980000000001</v>
      </c>
      <c r="H101" s="333"/>
      <c r="I101" s="332" t="s">
        <v>255</v>
      </c>
      <c r="J101" s="333">
        <v>65.026499999999999</v>
      </c>
      <c r="K101" s="333"/>
      <c r="L101" s="333"/>
      <c r="M101" s="333">
        <f>SUM(G101,H101,J101,L101)</f>
        <v>276.75630000000001</v>
      </c>
      <c r="N101" s="332" t="s">
        <v>256</v>
      </c>
      <c r="O101" s="332" t="s">
        <v>1905</v>
      </c>
      <c r="P101" s="76" t="s">
        <v>36</v>
      </c>
      <c r="Q101" s="102">
        <v>112</v>
      </c>
      <c r="R101" s="102">
        <v>423</v>
      </c>
      <c r="S101" s="332" t="s">
        <v>257</v>
      </c>
      <c r="T101" s="333">
        <v>206</v>
      </c>
      <c r="U101" s="344">
        <f>T101/Q101</f>
        <v>1.8392857142857142</v>
      </c>
      <c r="V101" s="101">
        <f>Q101</f>
        <v>112</v>
      </c>
      <c r="W101" s="101">
        <f>T101</f>
        <v>206</v>
      </c>
      <c r="X101" s="103">
        <f>W101/V101</f>
        <v>1.8392857142857142</v>
      </c>
      <c r="Y101" s="103">
        <f>W101/M101</f>
        <v>0.74433716594708044</v>
      </c>
      <c r="Z101" s="332" t="s">
        <v>258</v>
      </c>
      <c r="AA101" s="98"/>
    </row>
    <row r="102" spans="1:27" ht="24">
      <c r="A102" s="475"/>
      <c r="B102" s="334">
        <v>2</v>
      </c>
      <c r="C102" s="332" t="s">
        <v>259</v>
      </c>
      <c r="D102" s="370">
        <v>37882.972999999904</v>
      </c>
      <c r="E102" s="372" t="s">
        <v>2057</v>
      </c>
      <c r="F102" s="332" t="s">
        <v>260</v>
      </c>
      <c r="G102" s="333">
        <v>63.18</v>
      </c>
      <c r="H102" s="333">
        <v>9</v>
      </c>
      <c r="I102" s="332" t="s">
        <v>261</v>
      </c>
      <c r="J102" s="333">
        <v>36.5</v>
      </c>
      <c r="K102" s="333"/>
      <c r="L102" s="333"/>
      <c r="M102" s="333">
        <f t="shared" ref="M102" si="5">SUM(G102,H102,J102,L102)</f>
        <v>108.68</v>
      </c>
      <c r="N102" s="332" t="s">
        <v>262</v>
      </c>
      <c r="O102" s="332" t="s">
        <v>263</v>
      </c>
      <c r="P102" s="76" t="s">
        <v>36</v>
      </c>
      <c r="Q102" s="102">
        <v>13</v>
      </c>
      <c r="R102" s="102">
        <v>13</v>
      </c>
      <c r="S102" s="332" t="s">
        <v>264</v>
      </c>
      <c r="T102" s="333">
        <v>10.82</v>
      </c>
      <c r="U102" s="344">
        <f>T102/Q102</f>
        <v>0.8323076923076923</v>
      </c>
      <c r="V102" s="101">
        <f>Q102</f>
        <v>13</v>
      </c>
      <c r="W102" s="101">
        <f>T102</f>
        <v>10.82</v>
      </c>
      <c r="X102" s="103">
        <f>W102/V102</f>
        <v>0.8323076923076923</v>
      </c>
      <c r="Y102" s="103">
        <f>W102/M102</f>
        <v>9.9558336400441663E-2</v>
      </c>
      <c r="Z102" s="332" t="s">
        <v>265</v>
      </c>
      <c r="AA102" s="98"/>
    </row>
    <row r="103" spans="1:27" ht="24" hidden="1" customHeight="1">
      <c r="A103" s="475"/>
      <c r="B103" s="529">
        <v>3</v>
      </c>
      <c r="C103" s="530" t="s">
        <v>1906</v>
      </c>
      <c r="D103" s="531">
        <v>123655.6</v>
      </c>
      <c r="E103" s="534" t="s">
        <v>2058</v>
      </c>
      <c r="F103" s="530" t="s">
        <v>266</v>
      </c>
      <c r="G103" s="548">
        <v>462.06236100000001</v>
      </c>
      <c r="H103" s="548">
        <v>20</v>
      </c>
      <c r="I103" s="530" t="s">
        <v>267</v>
      </c>
      <c r="J103" s="548">
        <v>141.37010000000001</v>
      </c>
      <c r="K103" s="548"/>
      <c r="L103" s="548"/>
      <c r="M103" s="548">
        <f>SUM(G103,H103,J103,L103)</f>
        <v>623.43246099999999</v>
      </c>
      <c r="N103" s="331" t="s">
        <v>268</v>
      </c>
      <c r="O103" s="120" t="s">
        <v>269</v>
      </c>
      <c r="P103" s="76" t="s">
        <v>27</v>
      </c>
      <c r="Q103" s="100">
        <v>0.55000000000000004</v>
      </c>
      <c r="R103" s="100">
        <v>0.55000000000000004</v>
      </c>
      <c r="S103" s="331" t="s">
        <v>270</v>
      </c>
      <c r="T103" s="330">
        <v>0.55000000000000004</v>
      </c>
      <c r="U103" s="121">
        <f>T103/Q103</f>
        <v>1</v>
      </c>
      <c r="V103" s="549">
        <f>SUM(Q103:Q112)</f>
        <v>4.05</v>
      </c>
      <c r="W103" s="549">
        <f>SUM(T103:T112)</f>
        <v>2.9520000000000004</v>
      </c>
      <c r="X103" s="552">
        <f>W103/V103</f>
        <v>0.72888888888888903</v>
      </c>
      <c r="Y103" s="552">
        <f>W103/M103</f>
        <v>4.735075865740011E-3</v>
      </c>
      <c r="Z103" s="331" t="s">
        <v>258</v>
      </c>
      <c r="AA103" s="98"/>
    </row>
    <row r="104" spans="1:27" ht="24" hidden="1" customHeight="1">
      <c r="A104" s="475"/>
      <c r="B104" s="529"/>
      <c r="C104" s="530"/>
      <c r="D104" s="532"/>
      <c r="E104" s="535"/>
      <c r="F104" s="530"/>
      <c r="G104" s="548"/>
      <c r="H104" s="548"/>
      <c r="I104" s="530"/>
      <c r="J104" s="548"/>
      <c r="K104" s="548"/>
      <c r="L104" s="548"/>
      <c r="M104" s="548"/>
      <c r="N104" s="331" t="s">
        <v>271</v>
      </c>
      <c r="O104" s="120" t="s">
        <v>272</v>
      </c>
      <c r="P104" s="76" t="s">
        <v>27</v>
      </c>
      <c r="Q104" s="100">
        <v>0.98</v>
      </c>
      <c r="R104" s="100">
        <v>0.98</v>
      </c>
      <c r="S104" s="331" t="s">
        <v>273</v>
      </c>
      <c r="T104" s="330">
        <v>0.98</v>
      </c>
      <c r="U104" s="121">
        <f t="shared" ref="U104:U113" si="6">T104/Q104</f>
        <v>1</v>
      </c>
      <c r="V104" s="550"/>
      <c r="W104" s="550"/>
      <c r="X104" s="553"/>
      <c r="Y104" s="553"/>
      <c r="Z104" s="530" t="s">
        <v>258</v>
      </c>
      <c r="AA104" s="98"/>
    </row>
    <row r="105" spans="1:27" ht="24" hidden="1" customHeight="1">
      <c r="A105" s="475"/>
      <c r="B105" s="529"/>
      <c r="C105" s="530"/>
      <c r="D105" s="532"/>
      <c r="E105" s="535"/>
      <c r="F105" s="530"/>
      <c r="G105" s="548"/>
      <c r="H105" s="548"/>
      <c r="I105" s="530"/>
      <c r="J105" s="548"/>
      <c r="K105" s="548"/>
      <c r="L105" s="548"/>
      <c r="M105" s="548"/>
      <c r="N105" s="331" t="s">
        <v>274</v>
      </c>
      <c r="O105" s="120" t="s">
        <v>272</v>
      </c>
      <c r="P105" s="76" t="s">
        <v>27</v>
      </c>
      <c r="Q105" s="100">
        <v>0.84</v>
      </c>
      <c r="R105" s="100">
        <v>0.84</v>
      </c>
      <c r="S105" s="331" t="s">
        <v>275</v>
      </c>
      <c r="T105" s="330">
        <v>0.84</v>
      </c>
      <c r="U105" s="121">
        <f t="shared" si="6"/>
        <v>1</v>
      </c>
      <c r="V105" s="550"/>
      <c r="W105" s="550"/>
      <c r="X105" s="553"/>
      <c r="Y105" s="553"/>
      <c r="Z105" s="530"/>
      <c r="AA105" s="98"/>
    </row>
    <row r="106" spans="1:27" ht="15" hidden="1" customHeight="1">
      <c r="A106" s="475"/>
      <c r="B106" s="529"/>
      <c r="C106" s="530"/>
      <c r="D106" s="532"/>
      <c r="E106" s="535"/>
      <c r="F106" s="530"/>
      <c r="G106" s="548"/>
      <c r="H106" s="548"/>
      <c r="I106" s="530"/>
      <c r="J106" s="548"/>
      <c r="K106" s="548"/>
      <c r="L106" s="548"/>
      <c r="M106" s="548"/>
      <c r="N106" s="331" t="s">
        <v>276</v>
      </c>
      <c r="O106" s="331" t="s">
        <v>277</v>
      </c>
      <c r="P106" s="76" t="s">
        <v>27</v>
      </c>
      <c r="Q106" s="100">
        <v>0.04</v>
      </c>
      <c r="R106" s="100">
        <v>0.04</v>
      </c>
      <c r="S106" s="331" t="s">
        <v>278</v>
      </c>
      <c r="T106" s="330">
        <v>0.04</v>
      </c>
      <c r="U106" s="121">
        <f t="shared" si="6"/>
        <v>1</v>
      </c>
      <c r="V106" s="550"/>
      <c r="W106" s="550"/>
      <c r="X106" s="553"/>
      <c r="Y106" s="553"/>
      <c r="Z106" s="530"/>
      <c r="AA106" s="98"/>
    </row>
    <row r="107" spans="1:27" ht="15" hidden="1" customHeight="1">
      <c r="A107" s="475"/>
      <c r="B107" s="529"/>
      <c r="C107" s="530"/>
      <c r="D107" s="532"/>
      <c r="E107" s="535"/>
      <c r="F107" s="530"/>
      <c r="G107" s="548"/>
      <c r="H107" s="548"/>
      <c r="I107" s="530"/>
      <c r="J107" s="548"/>
      <c r="K107" s="548"/>
      <c r="L107" s="548"/>
      <c r="M107" s="548"/>
      <c r="N107" s="331" t="s">
        <v>279</v>
      </c>
      <c r="O107" s="120" t="s">
        <v>280</v>
      </c>
      <c r="P107" s="76" t="s">
        <v>27</v>
      </c>
      <c r="Q107" s="100">
        <v>0.12</v>
      </c>
      <c r="R107" s="100">
        <v>0.12</v>
      </c>
      <c r="S107" s="331" t="s">
        <v>281</v>
      </c>
      <c r="T107" s="330">
        <v>0.12</v>
      </c>
      <c r="U107" s="121">
        <f t="shared" si="6"/>
        <v>1</v>
      </c>
      <c r="V107" s="550"/>
      <c r="W107" s="550"/>
      <c r="X107" s="553"/>
      <c r="Y107" s="553"/>
      <c r="Z107" s="530"/>
      <c r="AA107" s="98"/>
    </row>
    <row r="108" spans="1:27" ht="15" hidden="1" customHeight="1">
      <c r="A108" s="475"/>
      <c r="B108" s="529"/>
      <c r="C108" s="530"/>
      <c r="D108" s="532"/>
      <c r="E108" s="535"/>
      <c r="F108" s="530"/>
      <c r="G108" s="548"/>
      <c r="H108" s="548"/>
      <c r="I108" s="530"/>
      <c r="J108" s="548"/>
      <c r="K108" s="548"/>
      <c r="L108" s="548"/>
      <c r="M108" s="548"/>
      <c r="N108" s="331" t="s">
        <v>281</v>
      </c>
      <c r="O108" s="331" t="s">
        <v>282</v>
      </c>
      <c r="P108" s="76" t="s">
        <v>27</v>
      </c>
      <c r="Q108" s="100">
        <v>0.08</v>
      </c>
      <c r="R108" s="100">
        <v>0.08</v>
      </c>
      <c r="S108" s="331" t="s">
        <v>283</v>
      </c>
      <c r="T108" s="330">
        <v>7.1999999999999995E-2</v>
      </c>
      <c r="U108" s="121">
        <f t="shared" si="6"/>
        <v>0.89999999999999991</v>
      </c>
      <c r="V108" s="550"/>
      <c r="W108" s="550"/>
      <c r="X108" s="553"/>
      <c r="Y108" s="553"/>
      <c r="Z108" s="530"/>
      <c r="AA108" s="98"/>
    </row>
    <row r="109" spans="1:27" ht="15" hidden="1" customHeight="1">
      <c r="A109" s="475"/>
      <c r="B109" s="529"/>
      <c r="C109" s="530"/>
      <c r="D109" s="532"/>
      <c r="E109" s="535"/>
      <c r="F109" s="530"/>
      <c r="G109" s="548"/>
      <c r="H109" s="548"/>
      <c r="I109" s="530"/>
      <c r="J109" s="548"/>
      <c r="K109" s="548"/>
      <c r="L109" s="548"/>
      <c r="M109" s="548"/>
      <c r="N109" s="331" t="s">
        <v>284</v>
      </c>
      <c r="O109" s="331" t="s">
        <v>285</v>
      </c>
      <c r="P109" s="76" t="s">
        <v>27</v>
      </c>
      <c r="Q109" s="100">
        <v>0.36</v>
      </c>
      <c r="R109" s="100">
        <v>0.36</v>
      </c>
      <c r="S109" s="331" t="s">
        <v>286</v>
      </c>
      <c r="T109" s="330">
        <v>0.35</v>
      </c>
      <c r="U109" s="121">
        <f>T109/Q109</f>
        <v>0.97222222222222221</v>
      </c>
      <c r="V109" s="550"/>
      <c r="W109" s="550"/>
      <c r="X109" s="553"/>
      <c r="Y109" s="553"/>
      <c r="Z109" s="530"/>
      <c r="AA109" s="98"/>
    </row>
    <row r="110" spans="1:27" ht="15" hidden="1" customHeight="1">
      <c r="A110" s="475"/>
      <c r="B110" s="529"/>
      <c r="C110" s="530"/>
      <c r="D110" s="532"/>
      <c r="E110" s="535"/>
      <c r="F110" s="530"/>
      <c r="G110" s="548"/>
      <c r="H110" s="548"/>
      <c r="I110" s="530"/>
      <c r="J110" s="548"/>
      <c r="K110" s="548"/>
      <c r="L110" s="548"/>
      <c r="M110" s="548"/>
      <c r="N110" s="331" t="s">
        <v>287</v>
      </c>
      <c r="O110" s="331" t="s">
        <v>288</v>
      </c>
      <c r="P110" s="76" t="s">
        <v>27</v>
      </c>
      <c r="Q110" s="100">
        <v>0.36</v>
      </c>
      <c r="R110" s="100">
        <v>0.36</v>
      </c>
      <c r="S110" s="331" t="s">
        <v>289</v>
      </c>
      <c r="T110" s="330"/>
      <c r="U110" s="121"/>
      <c r="V110" s="550"/>
      <c r="W110" s="550"/>
      <c r="X110" s="553"/>
      <c r="Y110" s="553"/>
      <c r="Z110" s="530"/>
      <c r="AA110" s="98"/>
    </row>
    <row r="111" spans="1:27" ht="15" hidden="1" customHeight="1">
      <c r="A111" s="475"/>
      <c r="B111" s="529"/>
      <c r="C111" s="530"/>
      <c r="D111" s="532"/>
      <c r="E111" s="535"/>
      <c r="F111" s="530"/>
      <c r="G111" s="548"/>
      <c r="H111" s="548"/>
      <c r="I111" s="530"/>
      <c r="J111" s="548"/>
      <c r="K111" s="548"/>
      <c r="L111" s="548"/>
      <c r="M111" s="548"/>
      <c r="N111" s="331" t="s">
        <v>290</v>
      </c>
      <c r="O111" s="331" t="s">
        <v>291</v>
      </c>
      <c r="P111" s="76" t="s">
        <v>27</v>
      </c>
      <c r="Q111" s="100">
        <v>0.54</v>
      </c>
      <c r="R111" s="100">
        <v>0.54</v>
      </c>
      <c r="S111" s="331" t="s">
        <v>289</v>
      </c>
      <c r="T111" s="330"/>
      <c r="U111" s="121"/>
      <c r="V111" s="550"/>
      <c r="W111" s="550"/>
      <c r="X111" s="553"/>
      <c r="Y111" s="553"/>
      <c r="Z111" s="530"/>
      <c r="AA111" s="98"/>
    </row>
    <row r="112" spans="1:27" ht="15" hidden="1" customHeight="1">
      <c r="A112" s="475"/>
      <c r="B112" s="529"/>
      <c r="C112" s="530"/>
      <c r="D112" s="533"/>
      <c r="E112" s="536"/>
      <c r="F112" s="530"/>
      <c r="G112" s="548"/>
      <c r="H112" s="548"/>
      <c r="I112" s="530"/>
      <c r="J112" s="548"/>
      <c r="K112" s="548"/>
      <c r="L112" s="548"/>
      <c r="M112" s="548"/>
      <c r="N112" s="331" t="s">
        <v>292</v>
      </c>
      <c r="O112" s="331" t="s">
        <v>293</v>
      </c>
      <c r="P112" s="76" t="s">
        <v>27</v>
      </c>
      <c r="Q112" s="100">
        <v>0.18</v>
      </c>
      <c r="R112" s="100">
        <v>0.18</v>
      </c>
      <c r="S112" s="331" t="s">
        <v>289</v>
      </c>
      <c r="T112" s="330"/>
      <c r="U112" s="331"/>
      <c r="V112" s="551"/>
      <c r="W112" s="551"/>
      <c r="X112" s="554"/>
      <c r="Y112" s="554"/>
      <c r="Z112" s="530"/>
      <c r="AA112" s="98"/>
    </row>
    <row r="113" spans="1:27" ht="72">
      <c r="A113" s="475"/>
      <c r="B113" s="544">
        <v>4</v>
      </c>
      <c r="C113" s="530" t="s">
        <v>1907</v>
      </c>
      <c r="D113" s="545">
        <v>59118.85</v>
      </c>
      <c r="E113" s="545" t="s">
        <v>2059</v>
      </c>
      <c r="F113" s="523" t="s">
        <v>294</v>
      </c>
      <c r="G113" s="520">
        <v>119.25960000000001</v>
      </c>
      <c r="H113" s="520"/>
      <c r="I113" s="530" t="s">
        <v>295</v>
      </c>
      <c r="J113" s="548">
        <v>30</v>
      </c>
      <c r="K113" s="548"/>
      <c r="L113" s="548"/>
      <c r="M113" s="548">
        <f>SUM(G113,H113,J113,L113)</f>
        <v>149.25960000000001</v>
      </c>
      <c r="N113" s="331" t="s">
        <v>296</v>
      </c>
      <c r="O113" s="332" t="s">
        <v>297</v>
      </c>
      <c r="P113" s="76" t="s">
        <v>36</v>
      </c>
      <c r="Q113" s="100">
        <v>300</v>
      </c>
      <c r="R113" s="100">
        <v>300</v>
      </c>
      <c r="S113" s="332" t="s">
        <v>298</v>
      </c>
      <c r="T113" s="333">
        <v>28</v>
      </c>
      <c r="U113" s="121">
        <f t="shared" si="6"/>
        <v>9.3333333333333338E-2</v>
      </c>
      <c r="V113" s="549">
        <f>SUM(Q113:Q116)</f>
        <v>495.35</v>
      </c>
      <c r="W113" s="549">
        <f>SUM(T113:T116)</f>
        <v>28</v>
      </c>
      <c r="X113" s="552">
        <f>W113/V113</f>
        <v>5.652568890683355E-2</v>
      </c>
      <c r="Y113" s="552">
        <f>W113/M113</f>
        <v>0.18759262385802988</v>
      </c>
      <c r="Z113" s="331" t="s">
        <v>299</v>
      </c>
      <c r="AA113" s="98"/>
    </row>
    <row r="114" spans="1:27" ht="60">
      <c r="A114" s="475"/>
      <c r="B114" s="544"/>
      <c r="C114" s="530"/>
      <c r="D114" s="546"/>
      <c r="E114" s="546"/>
      <c r="F114" s="524"/>
      <c r="G114" s="521"/>
      <c r="H114" s="521"/>
      <c r="I114" s="530"/>
      <c r="J114" s="548"/>
      <c r="K114" s="548"/>
      <c r="L114" s="548"/>
      <c r="M114" s="548"/>
      <c r="N114" s="331" t="s">
        <v>300</v>
      </c>
      <c r="O114" s="337" t="s">
        <v>301</v>
      </c>
      <c r="P114" s="76" t="s">
        <v>36</v>
      </c>
      <c r="Q114" s="100">
        <v>60</v>
      </c>
      <c r="R114" s="100">
        <v>60</v>
      </c>
      <c r="S114" s="337"/>
      <c r="T114" s="104" t="s">
        <v>302</v>
      </c>
      <c r="U114" s="331"/>
      <c r="V114" s="550"/>
      <c r="W114" s="550"/>
      <c r="X114" s="553"/>
      <c r="Y114" s="553"/>
      <c r="Z114" s="331" t="s">
        <v>299</v>
      </c>
      <c r="AA114" s="98"/>
    </row>
    <row r="115" spans="1:27" ht="36">
      <c r="A115" s="475"/>
      <c r="B115" s="544"/>
      <c r="C115" s="530"/>
      <c r="D115" s="546"/>
      <c r="E115" s="546"/>
      <c r="F115" s="524"/>
      <c r="G115" s="521"/>
      <c r="H115" s="521"/>
      <c r="I115" s="530"/>
      <c r="J115" s="548"/>
      <c r="K115" s="548"/>
      <c r="L115" s="548"/>
      <c r="M115" s="548"/>
      <c r="N115" s="331" t="s">
        <v>303</v>
      </c>
      <c r="O115" s="337" t="s">
        <v>304</v>
      </c>
      <c r="P115" s="76" t="s">
        <v>36</v>
      </c>
      <c r="Q115" s="100">
        <v>35.799999999999997</v>
      </c>
      <c r="R115" s="100">
        <v>35.799999999999997</v>
      </c>
      <c r="S115" s="331"/>
      <c r="T115" s="330"/>
      <c r="U115" s="331"/>
      <c r="V115" s="550"/>
      <c r="W115" s="550"/>
      <c r="X115" s="553"/>
      <c r="Y115" s="553"/>
      <c r="Z115" s="332" t="s">
        <v>305</v>
      </c>
      <c r="AA115" s="98"/>
    </row>
    <row r="116" spans="1:27" ht="24">
      <c r="A116" s="475"/>
      <c r="B116" s="544"/>
      <c r="C116" s="530"/>
      <c r="D116" s="547"/>
      <c r="E116" s="547"/>
      <c r="F116" s="525"/>
      <c r="G116" s="522"/>
      <c r="H116" s="522"/>
      <c r="I116" s="530"/>
      <c r="J116" s="548"/>
      <c r="K116" s="548"/>
      <c r="L116" s="548"/>
      <c r="M116" s="548"/>
      <c r="N116" s="331" t="s">
        <v>306</v>
      </c>
      <c r="O116" s="337" t="s">
        <v>307</v>
      </c>
      <c r="P116" s="76" t="s">
        <v>36</v>
      </c>
      <c r="Q116" s="100">
        <v>99.55</v>
      </c>
      <c r="R116" s="100">
        <v>99.55</v>
      </c>
      <c r="S116" s="331"/>
      <c r="T116" s="330"/>
      <c r="U116" s="331"/>
      <c r="V116" s="551"/>
      <c r="W116" s="551"/>
      <c r="X116" s="554"/>
      <c r="Y116" s="554"/>
      <c r="Z116" s="332" t="s">
        <v>305</v>
      </c>
      <c r="AA116" s="98"/>
    </row>
    <row r="117" spans="1:27" ht="36">
      <c r="A117" s="475"/>
      <c r="B117" s="529">
        <v>5</v>
      </c>
      <c r="C117" s="555" t="s">
        <v>308</v>
      </c>
      <c r="D117" s="558">
        <v>26608.4853</v>
      </c>
      <c r="E117" s="558" t="s">
        <v>2060</v>
      </c>
      <c r="F117" s="555" t="s">
        <v>17</v>
      </c>
      <c r="G117" s="561">
        <v>15.5783</v>
      </c>
      <c r="H117" s="561"/>
      <c r="I117" s="555" t="s">
        <v>17</v>
      </c>
      <c r="J117" s="561">
        <v>7.7678000000000003</v>
      </c>
      <c r="K117" s="561"/>
      <c r="L117" s="561"/>
      <c r="M117" s="561">
        <f>SUM(G117,H117,J117,L117)</f>
        <v>23.3461</v>
      </c>
      <c r="N117" s="332" t="s">
        <v>309</v>
      </c>
      <c r="O117" s="337" t="s">
        <v>310</v>
      </c>
      <c r="P117" s="76" t="s">
        <v>36</v>
      </c>
      <c r="Q117" s="105">
        <v>72.5</v>
      </c>
      <c r="R117" s="105">
        <v>275.28399999999999</v>
      </c>
      <c r="S117" s="105" t="s">
        <v>311</v>
      </c>
      <c r="T117" s="104">
        <v>146.97399999999999</v>
      </c>
      <c r="U117" s="344">
        <f>T117/Q117</f>
        <v>2.0272275862068962</v>
      </c>
      <c r="V117" s="517">
        <f>SUM(Q117:Q119)</f>
        <v>91.658000000000001</v>
      </c>
      <c r="W117" s="517">
        <f>SUM(T117:T119)</f>
        <v>163.39060000000001</v>
      </c>
      <c r="X117" s="504">
        <f>W117/V117</f>
        <v>1.7826114469004342</v>
      </c>
      <c r="Y117" s="504">
        <f>W117/M117</f>
        <v>6.9986250380149153</v>
      </c>
      <c r="Z117" s="555" t="s">
        <v>312</v>
      </c>
      <c r="AA117" s="98"/>
    </row>
    <row r="118" spans="1:27" ht="24" hidden="1" customHeight="1">
      <c r="A118" s="475"/>
      <c r="B118" s="529"/>
      <c r="C118" s="555"/>
      <c r="D118" s="559"/>
      <c r="E118" s="559"/>
      <c r="F118" s="555"/>
      <c r="G118" s="561"/>
      <c r="H118" s="561"/>
      <c r="I118" s="555"/>
      <c r="J118" s="561"/>
      <c r="K118" s="561"/>
      <c r="L118" s="561"/>
      <c r="M118" s="561"/>
      <c r="N118" s="332" t="s">
        <v>313</v>
      </c>
      <c r="O118" s="337" t="s">
        <v>314</v>
      </c>
      <c r="P118" s="76" t="s">
        <v>27</v>
      </c>
      <c r="Q118" s="105">
        <v>15</v>
      </c>
      <c r="R118" s="105">
        <v>15</v>
      </c>
      <c r="S118" s="105" t="s">
        <v>315</v>
      </c>
      <c r="T118" s="104">
        <v>13.2041</v>
      </c>
      <c r="U118" s="344">
        <f>T118/Q118</f>
        <v>0.88027333333333335</v>
      </c>
      <c r="V118" s="502"/>
      <c r="W118" s="502"/>
      <c r="X118" s="505"/>
      <c r="Y118" s="505"/>
      <c r="Z118" s="555"/>
      <c r="AA118" s="98"/>
    </row>
    <row r="119" spans="1:27" ht="24" hidden="1" customHeight="1">
      <c r="A119" s="475"/>
      <c r="B119" s="529"/>
      <c r="C119" s="555"/>
      <c r="D119" s="560"/>
      <c r="E119" s="560"/>
      <c r="F119" s="555"/>
      <c r="G119" s="561"/>
      <c r="H119" s="561"/>
      <c r="I119" s="555"/>
      <c r="J119" s="561"/>
      <c r="K119" s="561"/>
      <c r="L119" s="561"/>
      <c r="M119" s="561"/>
      <c r="N119" s="332" t="s">
        <v>316</v>
      </c>
      <c r="O119" s="337" t="s">
        <v>314</v>
      </c>
      <c r="P119" s="76" t="s">
        <v>27</v>
      </c>
      <c r="Q119" s="105">
        <v>4.1580000000000004</v>
      </c>
      <c r="R119" s="105">
        <v>4.1580000000000004</v>
      </c>
      <c r="S119" s="105" t="s">
        <v>317</v>
      </c>
      <c r="T119" s="104">
        <v>3.2124999999999999</v>
      </c>
      <c r="U119" s="344">
        <f>T119/Q119</f>
        <v>0.77260702260702252</v>
      </c>
      <c r="V119" s="503"/>
      <c r="W119" s="503"/>
      <c r="X119" s="506"/>
      <c r="Y119" s="506"/>
      <c r="Z119" s="555"/>
      <c r="AA119" s="98"/>
    </row>
    <row r="120" spans="1:27" ht="132" hidden="1" customHeight="1">
      <c r="A120" s="475"/>
      <c r="B120" s="556">
        <v>6</v>
      </c>
      <c r="C120" s="557" t="s">
        <v>318</v>
      </c>
      <c r="D120" s="558">
        <v>56665.876300000004</v>
      </c>
      <c r="E120" s="558" t="s">
        <v>2061</v>
      </c>
      <c r="F120" s="557" t="s">
        <v>319</v>
      </c>
      <c r="G120" s="561">
        <v>924.648867</v>
      </c>
      <c r="H120" s="561"/>
      <c r="I120" s="557" t="s">
        <v>320</v>
      </c>
      <c r="J120" s="561">
        <v>569.85249999999996</v>
      </c>
      <c r="K120" s="561"/>
      <c r="L120" s="561"/>
      <c r="M120" s="561">
        <f>G120+H120+J120+L120</f>
        <v>1494.5013669999998</v>
      </c>
      <c r="N120" s="106" t="s">
        <v>321</v>
      </c>
      <c r="O120" s="337" t="s">
        <v>322</v>
      </c>
      <c r="P120" s="76" t="s">
        <v>27</v>
      </c>
      <c r="Q120" s="105">
        <v>0.68</v>
      </c>
      <c r="R120" s="105">
        <v>0.68</v>
      </c>
      <c r="S120" s="337" t="s">
        <v>323</v>
      </c>
      <c r="T120" s="104">
        <v>0.631077</v>
      </c>
      <c r="U120" s="112">
        <f>T120/Q120</f>
        <v>0.92805441176470582</v>
      </c>
      <c r="V120" s="562">
        <f>SUM(Q120:Q134)</f>
        <v>225.42454499999999</v>
      </c>
      <c r="W120" s="562">
        <f>SUM(T120:T134)</f>
        <v>83.977204</v>
      </c>
      <c r="X120" s="512">
        <f>W120/V120</f>
        <v>0.37252910502713893</v>
      </c>
      <c r="Y120" s="512">
        <f>W120/M120</f>
        <v>5.6190784334023303E-2</v>
      </c>
      <c r="Z120" s="563" t="s">
        <v>43</v>
      </c>
      <c r="AA120" s="98"/>
    </row>
    <row r="121" spans="1:27" ht="108" hidden="1" customHeight="1">
      <c r="A121" s="475"/>
      <c r="B121" s="556"/>
      <c r="C121" s="557"/>
      <c r="D121" s="559"/>
      <c r="E121" s="559"/>
      <c r="F121" s="557"/>
      <c r="G121" s="561"/>
      <c r="H121" s="561"/>
      <c r="I121" s="557"/>
      <c r="J121" s="561"/>
      <c r="K121" s="561"/>
      <c r="L121" s="561"/>
      <c r="M121" s="561"/>
      <c r="N121" s="106" t="s">
        <v>324</v>
      </c>
      <c r="O121" s="337" t="s">
        <v>325</v>
      </c>
      <c r="P121" s="76" t="s">
        <v>27</v>
      </c>
      <c r="Q121" s="105">
        <v>4.5</v>
      </c>
      <c r="R121" s="105">
        <v>4.5</v>
      </c>
      <c r="S121" s="337" t="s">
        <v>326</v>
      </c>
      <c r="T121" s="104">
        <v>1.507317</v>
      </c>
      <c r="U121" s="112">
        <f t="shared" ref="U121:U134" si="7">T121/Q121</f>
        <v>0.33495933333333333</v>
      </c>
      <c r="V121" s="510"/>
      <c r="W121" s="510"/>
      <c r="X121" s="513"/>
      <c r="Y121" s="513"/>
      <c r="Z121" s="563"/>
      <c r="AA121" s="98"/>
    </row>
    <row r="122" spans="1:27" ht="84" hidden="1" customHeight="1">
      <c r="A122" s="475"/>
      <c r="B122" s="556"/>
      <c r="C122" s="557"/>
      <c r="D122" s="559"/>
      <c r="E122" s="559"/>
      <c r="F122" s="557"/>
      <c r="G122" s="561"/>
      <c r="H122" s="561"/>
      <c r="I122" s="557"/>
      <c r="J122" s="561"/>
      <c r="K122" s="561"/>
      <c r="L122" s="561"/>
      <c r="M122" s="561"/>
      <c r="N122" s="106" t="s">
        <v>327</v>
      </c>
      <c r="O122" s="337" t="s">
        <v>328</v>
      </c>
      <c r="P122" s="76" t="s">
        <v>27</v>
      </c>
      <c r="Q122" s="105">
        <v>4.2</v>
      </c>
      <c r="R122" s="105">
        <v>4.2</v>
      </c>
      <c r="S122" s="337" t="s">
        <v>329</v>
      </c>
      <c r="T122" s="104">
        <v>0.90634300000000001</v>
      </c>
      <c r="U122" s="112">
        <f t="shared" si="7"/>
        <v>0.21579595238095237</v>
      </c>
      <c r="V122" s="510"/>
      <c r="W122" s="510"/>
      <c r="X122" s="513"/>
      <c r="Y122" s="513"/>
      <c r="Z122" s="563"/>
      <c r="AA122" s="98"/>
    </row>
    <row r="123" spans="1:27" ht="96" hidden="1" customHeight="1">
      <c r="A123" s="475"/>
      <c r="B123" s="556"/>
      <c r="C123" s="557"/>
      <c r="D123" s="559"/>
      <c r="E123" s="559"/>
      <c r="F123" s="557"/>
      <c r="G123" s="561"/>
      <c r="H123" s="561"/>
      <c r="I123" s="557"/>
      <c r="J123" s="561"/>
      <c r="K123" s="561"/>
      <c r="L123" s="561"/>
      <c r="M123" s="561"/>
      <c r="N123" s="106" t="s">
        <v>330</v>
      </c>
      <c r="O123" s="337" t="s">
        <v>331</v>
      </c>
      <c r="P123" s="76" t="s">
        <v>27</v>
      </c>
      <c r="Q123" s="105">
        <v>8.2451089999999994</v>
      </c>
      <c r="R123" s="105">
        <v>8.2451089999999994</v>
      </c>
      <c r="S123" s="337" t="s">
        <v>289</v>
      </c>
      <c r="T123" s="104"/>
      <c r="U123" s="112"/>
      <c r="V123" s="510"/>
      <c r="W123" s="510"/>
      <c r="X123" s="513"/>
      <c r="Y123" s="513"/>
      <c r="Z123" s="563"/>
      <c r="AA123" s="98"/>
    </row>
    <row r="124" spans="1:27" ht="108" hidden="1" customHeight="1">
      <c r="A124" s="475"/>
      <c r="B124" s="556"/>
      <c r="C124" s="557"/>
      <c r="D124" s="559"/>
      <c r="E124" s="559"/>
      <c r="F124" s="557"/>
      <c r="G124" s="561"/>
      <c r="H124" s="561"/>
      <c r="I124" s="557"/>
      <c r="J124" s="561"/>
      <c r="K124" s="561"/>
      <c r="L124" s="561"/>
      <c r="M124" s="561"/>
      <c r="N124" s="106" t="s">
        <v>332</v>
      </c>
      <c r="O124" s="337" t="s">
        <v>333</v>
      </c>
      <c r="P124" s="76" t="s">
        <v>27</v>
      </c>
      <c r="Q124" s="105">
        <v>1.8475869999999999</v>
      </c>
      <c r="R124" s="105">
        <v>1.8475869999999999</v>
      </c>
      <c r="S124" s="337" t="s">
        <v>334</v>
      </c>
      <c r="T124" s="104">
        <v>0.38874999999999998</v>
      </c>
      <c r="U124" s="112">
        <f t="shared" si="7"/>
        <v>0.21040957746509367</v>
      </c>
      <c r="V124" s="510"/>
      <c r="W124" s="510"/>
      <c r="X124" s="513"/>
      <c r="Y124" s="513"/>
      <c r="Z124" s="563"/>
      <c r="AA124" s="98"/>
    </row>
    <row r="125" spans="1:27" ht="48" hidden="1" customHeight="1">
      <c r="A125" s="475"/>
      <c r="B125" s="556"/>
      <c r="C125" s="557"/>
      <c r="D125" s="559"/>
      <c r="E125" s="559"/>
      <c r="F125" s="557"/>
      <c r="G125" s="561"/>
      <c r="H125" s="561"/>
      <c r="I125" s="557"/>
      <c r="J125" s="561"/>
      <c r="K125" s="561"/>
      <c r="L125" s="561"/>
      <c r="M125" s="561"/>
      <c r="N125" s="106" t="s">
        <v>335</v>
      </c>
      <c r="O125" s="337" t="s">
        <v>1908</v>
      </c>
      <c r="P125" s="76" t="s">
        <v>27</v>
      </c>
      <c r="Q125" s="105">
        <v>4.5</v>
      </c>
      <c r="R125" s="105">
        <v>4.5</v>
      </c>
      <c r="S125" s="337" t="s">
        <v>336</v>
      </c>
      <c r="T125" s="104">
        <v>0.56326200000000004</v>
      </c>
      <c r="U125" s="112">
        <f t="shared" si="7"/>
        <v>0.12516933333333335</v>
      </c>
      <c r="V125" s="510"/>
      <c r="W125" s="510"/>
      <c r="X125" s="513"/>
      <c r="Y125" s="513"/>
      <c r="Z125" s="563"/>
      <c r="AA125" s="98"/>
    </row>
    <row r="126" spans="1:27" ht="48" hidden="1" customHeight="1">
      <c r="A126" s="475"/>
      <c r="B126" s="556"/>
      <c r="C126" s="557"/>
      <c r="D126" s="559"/>
      <c r="E126" s="559"/>
      <c r="F126" s="557"/>
      <c r="G126" s="561"/>
      <c r="H126" s="561"/>
      <c r="I126" s="557"/>
      <c r="J126" s="561"/>
      <c r="K126" s="561"/>
      <c r="L126" s="561"/>
      <c r="M126" s="561"/>
      <c r="N126" s="106" t="s">
        <v>337</v>
      </c>
      <c r="O126" s="337" t="s">
        <v>1909</v>
      </c>
      <c r="P126" s="76" t="s">
        <v>27</v>
      </c>
      <c r="Q126" s="105">
        <v>2.5</v>
      </c>
      <c r="R126" s="105">
        <v>2.5</v>
      </c>
      <c r="S126" s="337" t="s">
        <v>336</v>
      </c>
      <c r="T126" s="104">
        <v>0.27202999999999999</v>
      </c>
      <c r="U126" s="112">
        <f t="shared" si="7"/>
        <v>0.10881199999999999</v>
      </c>
      <c r="V126" s="510"/>
      <c r="W126" s="510"/>
      <c r="X126" s="513"/>
      <c r="Y126" s="513"/>
      <c r="Z126" s="563"/>
      <c r="AA126" s="98"/>
    </row>
    <row r="127" spans="1:27" ht="72" hidden="1" customHeight="1">
      <c r="A127" s="475"/>
      <c r="B127" s="556"/>
      <c r="C127" s="557"/>
      <c r="D127" s="559"/>
      <c r="E127" s="559"/>
      <c r="F127" s="557"/>
      <c r="G127" s="561"/>
      <c r="H127" s="561"/>
      <c r="I127" s="557"/>
      <c r="J127" s="561"/>
      <c r="K127" s="561"/>
      <c r="L127" s="561"/>
      <c r="M127" s="561"/>
      <c r="N127" s="106" t="s">
        <v>338</v>
      </c>
      <c r="O127" s="337" t="s">
        <v>339</v>
      </c>
      <c r="P127" s="76" t="s">
        <v>27</v>
      </c>
      <c r="Q127" s="105">
        <v>1.5530389999999998</v>
      </c>
      <c r="R127" s="105">
        <v>1.5530389999999998</v>
      </c>
      <c r="S127" s="337" t="s">
        <v>340</v>
      </c>
      <c r="T127" s="104">
        <v>1.472969</v>
      </c>
      <c r="U127" s="112">
        <f t="shared" si="7"/>
        <v>0.94844302042640272</v>
      </c>
      <c r="V127" s="510"/>
      <c r="W127" s="510"/>
      <c r="X127" s="513"/>
      <c r="Y127" s="513"/>
      <c r="Z127" s="563"/>
      <c r="AA127" s="98"/>
    </row>
    <row r="128" spans="1:27" ht="48" hidden="1" customHeight="1">
      <c r="A128" s="475"/>
      <c r="B128" s="556"/>
      <c r="C128" s="557"/>
      <c r="D128" s="559"/>
      <c r="E128" s="559"/>
      <c r="F128" s="557"/>
      <c r="G128" s="561"/>
      <c r="H128" s="561"/>
      <c r="I128" s="557"/>
      <c r="J128" s="561"/>
      <c r="K128" s="561"/>
      <c r="L128" s="561"/>
      <c r="M128" s="561"/>
      <c r="N128" s="106" t="s">
        <v>341</v>
      </c>
      <c r="O128" s="337" t="s">
        <v>1910</v>
      </c>
      <c r="P128" s="76" t="s">
        <v>27</v>
      </c>
      <c r="Q128" s="105">
        <v>3</v>
      </c>
      <c r="R128" s="105">
        <v>3</v>
      </c>
      <c r="S128" s="337" t="s">
        <v>336</v>
      </c>
      <c r="T128" s="104">
        <v>0.65422400000000003</v>
      </c>
      <c r="U128" s="112">
        <f t="shared" si="7"/>
        <v>0.21807466666666667</v>
      </c>
      <c r="V128" s="510"/>
      <c r="W128" s="510"/>
      <c r="X128" s="513"/>
      <c r="Y128" s="513"/>
      <c r="Z128" s="563"/>
      <c r="AA128" s="98"/>
    </row>
    <row r="129" spans="1:27" ht="60" hidden="1" customHeight="1">
      <c r="A129" s="475"/>
      <c r="B129" s="556"/>
      <c r="C129" s="557"/>
      <c r="D129" s="559"/>
      <c r="E129" s="559"/>
      <c r="F129" s="557"/>
      <c r="G129" s="561"/>
      <c r="H129" s="561"/>
      <c r="I129" s="557"/>
      <c r="J129" s="561"/>
      <c r="K129" s="561"/>
      <c r="L129" s="561"/>
      <c r="M129" s="561"/>
      <c r="N129" s="106" t="s">
        <v>342</v>
      </c>
      <c r="O129" s="337" t="s">
        <v>343</v>
      </c>
      <c r="P129" s="76" t="s">
        <v>27</v>
      </c>
      <c r="Q129" s="105">
        <v>12</v>
      </c>
      <c r="R129" s="105">
        <v>12</v>
      </c>
      <c r="S129" s="337" t="s">
        <v>289</v>
      </c>
      <c r="T129" s="104"/>
      <c r="U129" s="112"/>
      <c r="V129" s="510"/>
      <c r="W129" s="510"/>
      <c r="X129" s="513"/>
      <c r="Y129" s="513"/>
      <c r="Z129" s="563"/>
      <c r="AA129" s="98"/>
    </row>
    <row r="130" spans="1:27" ht="48" hidden="1" customHeight="1">
      <c r="A130" s="475"/>
      <c r="B130" s="556"/>
      <c r="C130" s="557"/>
      <c r="D130" s="559"/>
      <c r="E130" s="559"/>
      <c r="F130" s="557"/>
      <c r="G130" s="561"/>
      <c r="H130" s="561"/>
      <c r="I130" s="557"/>
      <c r="J130" s="561"/>
      <c r="K130" s="561"/>
      <c r="L130" s="561"/>
      <c r="M130" s="561"/>
      <c r="N130" s="106" t="s">
        <v>344</v>
      </c>
      <c r="O130" s="337" t="s">
        <v>1911</v>
      </c>
      <c r="P130" s="76" t="s">
        <v>27</v>
      </c>
      <c r="Q130" s="105">
        <v>2.3988099999999997</v>
      </c>
      <c r="R130" s="105">
        <v>2.3988099999999997</v>
      </c>
      <c r="S130" s="337" t="s">
        <v>289</v>
      </c>
      <c r="T130" s="104"/>
      <c r="U130" s="112"/>
      <c r="V130" s="510"/>
      <c r="W130" s="510"/>
      <c r="X130" s="513"/>
      <c r="Y130" s="513"/>
      <c r="Z130" s="563"/>
      <c r="AA130" s="98"/>
    </row>
    <row r="131" spans="1:27" ht="15" hidden="1" customHeight="1">
      <c r="A131" s="475"/>
      <c r="B131" s="556"/>
      <c r="C131" s="557"/>
      <c r="D131" s="559"/>
      <c r="E131" s="559"/>
      <c r="F131" s="557"/>
      <c r="G131" s="561"/>
      <c r="H131" s="561"/>
      <c r="I131" s="557"/>
      <c r="J131" s="561"/>
      <c r="K131" s="561"/>
      <c r="L131" s="561"/>
      <c r="M131" s="561"/>
      <c r="N131" s="106" t="s">
        <v>345</v>
      </c>
      <c r="O131" s="337" t="s">
        <v>346</v>
      </c>
      <c r="P131" s="76" t="s">
        <v>27</v>
      </c>
      <c r="Q131" s="105">
        <v>95</v>
      </c>
      <c r="R131" s="105">
        <v>95</v>
      </c>
      <c r="S131" s="337" t="s">
        <v>347</v>
      </c>
      <c r="T131" s="104">
        <v>60</v>
      </c>
      <c r="U131" s="112">
        <f t="shared" ref="U131" si="8">T131/Q131</f>
        <v>0.63157894736842102</v>
      </c>
      <c r="V131" s="510"/>
      <c r="W131" s="510"/>
      <c r="X131" s="513"/>
      <c r="Y131" s="513"/>
      <c r="Z131" s="563"/>
      <c r="AA131" s="98"/>
    </row>
    <row r="132" spans="1:27" ht="24" hidden="1" customHeight="1">
      <c r="A132" s="475"/>
      <c r="B132" s="556"/>
      <c r="C132" s="557"/>
      <c r="D132" s="559"/>
      <c r="E132" s="559"/>
      <c r="F132" s="557"/>
      <c r="G132" s="561"/>
      <c r="H132" s="561"/>
      <c r="I132" s="557"/>
      <c r="J132" s="561"/>
      <c r="K132" s="561"/>
      <c r="L132" s="561"/>
      <c r="M132" s="561"/>
      <c r="N132" s="106" t="s">
        <v>348</v>
      </c>
      <c r="O132" s="337" t="s">
        <v>349</v>
      </c>
      <c r="P132" s="76" t="s">
        <v>27</v>
      </c>
      <c r="Q132" s="105">
        <v>15</v>
      </c>
      <c r="R132" s="105">
        <v>15</v>
      </c>
      <c r="S132" s="337"/>
      <c r="T132" s="104" t="s">
        <v>350</v>
      </c>
      <c r="U132" s="112"/>
      <c r="V132" s="510"/>
      <c r="W132" s="510"/>
      <c r="X132" s="513"/>
      <c r="Y132" s="513"/>
      <c r="Z132" s="563"/>
      <c r="AA132" s="98"/>
    </row>
    <row r="133" spans="1:27" ht="156">
      <c r="A133" s="475"/>
      <c r="B133" s="556"/>
      <c r="C133" s="557"/>
      <c r="D133" s="559"/>
      <c r="E133" s="559"/>
      <c r="F133" s="557"/>
      <c r="G133" s="561"/>
      <c r="H133" s="561"/>
      <c r="I133" s="557"/>
      <c r="J133" s="561"/>
      <c r="K133" s="561"/>
      <c r="L133" s="561"/>
      <c r="M133" s="561"/>
      <c r="N133" s="106" t="s">
        <v>351</v>
      </c>
      <c r="O133" s="337" t="s">
        <v>352</v>
      </c>
      <c r="P133" s="76" t="s">
        <v>36</v>
      </c>
      <c r="Q133" s="105">
        <v>50</v>
      </c>
      <c r="R133" s="105">
        <v>50</v>
      </c>
      <c r="S133" s="337" t="s">
        <v>192</v>
      </c>
      <c r="T133" s="104">
        <v>5.8664440000000004</v>
      </c>
      <c r="U133" s="112">
        <f t="shared" si="7"/>
        <v>0.11732888000000001</v>
      </c>
      <c r="V133" s="510"/>
      <c r="W133" s="510"/>
      <c r="X133" s="513"/>
      <c r="Y133" s="513"/>
      <c r="Z133" s="563"/>
      <c r="AA133" s="98"/>
    </row>
    <row r="134" spans="1:27" ht="72">
      <c r="A134" s="475"/>
      <c r="B134" s="556"/>
      <c r="C134" s="557" t="s">
        <v>318</v>
      </c>
      <c r="D134" s="560"/>
      <c r="E134" s="560"/>
      <c r="F134" s="557"/>
      <c r="G134" s="561"/>
      <c r="H134" s="561"/>
      <c r="I134" s="557"/>
      <c r="J134" s="561"/>
      <c r="K134" s="561"/>
      <c r="L134" s="561"/>
      <c r="M134" s="561"/>
      <c r="N134" s="106" t="s">
        <v>353</v>
      </c>
      <c r="O134" s="337" t="s">
        <v>354</v>
      </c>
      <c r="P134" s="76" t="s">
        <v>36</v>
      </c>
      <c r="Q134" s="105">
        <v>20</v>
      </c>
      <c r="R134" s="105">
        <v>30</v>
      </c>
      <c r="S134" s="337" t="s">
        <v>355</v>
      </c>
      <c r="T134" s="104">
        <v>11.714788</v>
      </c>
      <c r="U134" s="112">
        <f t="shared" si="7"/>
        <v>0.58573940000000002</v>
      </c>
      <c r="V134" s="511"/>
      <c r="W134" s="511"/>
      <c r="X134" s="514"/>
      <c r="Y134" s="514"/>
      <c r="Z134" s="337" t="s">
        <v>43</v>
      </c>
      <c r="AA134" s="98"/>
    </row>
    <row r="135" spans="1:27">
      <c r="A135" s="475"/>
      <c r="B135" s="529">
        <v>7</v>
      </c>
      <c r="C135" s="555" t="s">
        <v>1912</v>
      </c>
      <c r="D135" s="558">
        <v>77615.055600000007</v>
      </c>
      <c r="E135" s="558" t="s">
        <v>2062</v>
      </c>
      <c r="F135" s="555" t="s">
        <v>356</v>
      </c>
      <c r="G135" s="561">
        <v>236.64709999999999</v>
      </c>
      <c r="H135" s="561"/>
      <c r="I135" s="555" t="s">
        <v>356</v>
      </c>
      <c r="J135" s="561">
        <v>77.615055999999996</v>
      </c>
      <c r="K135" s="561"/>
      <c r="L135" s="561"/>
      <c r="M135" s="561">
        <f>G135+J135</f>
        <v>314.262156</v>
      </c>
      <c r="N135" s="332" t="s">
        <v>357</v>
      </c>
      <c r="O135" s="332" t="s">
        <v>358</v>
      </c>
      <c r="P135" s="76" t="s">
        <v>36</v>
      </c>
      <c r="Q135" s="102">
        <v>5.3</v>
      </c>
      <c r="R135" s="102">
        <v>21</v>
      </c>
      <c r="S135" s="122" t="s">
        <v>359</v>
      </c>
      <c r="T135" s="333">
        <v>9.1652830000000005</v>
      </c>
      <c r="U135" s="344">
        <f>T135/Q135</f>
        <v>1.7292986792452831</v>
      </c>
      <c r="V135" s="567">
        <f>SUM(Q135:Q140)</f>
        <v>16.388200000000001</v>
      </c>
      <c r="W135" s="567">
        <f>SUM(T135:T140)</f>
        <v>19.147899000000002</v>
      </c>
      <c r="X135" s="504">
        <f>W135/V135</f>
        <v>1.1683954918783028</v>
      </c>
      <c r="Y135" s="504">
        <f>W135/M135</f>
        <v>6.0929700361376002E-2</v>
      </c>
      <c r="Z135" s="555" t="s">
        <v>258</v>
      </c>
      <c r="AA135" s="98"/>
    </row>
    <row r="136" spans="1:27">
      <c r="A136" s="475"/>
      <c r="B136" s="529"/>
      <c r="C136" s="555"/>
      <c r="D136" s="559"/>
      <c r="E136" s="559"/>
      <c r="F136" s="555"/>
      <c r="G136" s="561"/>
      <c r="H136" s="561"/>
      <c r="I136" s="555"/>
      <c r="J136" s="561"/>
      <c r="K136" s="561"/>
      <c r="L136" s="561"/>
      <c r="M136" s="561"/>
      <c r="N136" s="332" t="s">
        <v>360</v>
      </c>
      <c r="O136" s="332" t="s">
        <v>361</v>
      </c>
      <c r="P136" s="76" t="s">
        <v>36</v>
      </c>
      <c r="Q136" s="102">
        <v>6.5</v>
      </c>
      <c r="R136" s="102">
        <v>12</v>
      </c>
      <c r="S136" s="122" t="s">
        <v>362</v>
      </c>
      <c r="T136" s="333">
        <v>6.0606910000000003</v>
      </c>
      <c r="U136" s="344">
        <f>T136/Q136</f>
        <v>0.93241400000000008</v>
      </c>
      <c r="V136" s="502"/>
      <c r="W136" s="502"/>
      <c r="X136" s="505"/>
      <c r="Y136" s="505"/>
      <c r="Z136" s="555"/>
      <c r="AA136" s="98"/>
    </row>
    <row r="137" spans="1:27" ht="15" hidden="1" customHeight="1">
      <c r="A137" s="475"/>
      <c r="B137" s="529"/>
      <c r="C137" s="555"/>
      <c r="D137" s="559"/>
      <c r="E137" s="559"/>
      <c r="F137" s="555"/>
      <c r="G137" s="561"/>
      <c r="H137" s="561"/>
      <c r="I137" s="555"/>
      <c r="J137" s="561"/>
      <c r="K137" s="561"/>
      <c r="L137" s="561"/>
      <c r="M137" s="561"/>
      <c r="N137" s="331" t="s">
        <v>363</v>
      </c>
      <c r="O137" s="331" t="s">
        <v>364</v>
      </c>
      <c r="P137" s="76" t="s">
        <v>27</v>
      </c>
      <c r="Q137" s="100">
        <v>0.44230000000000003</v>
      </c>
      <c r="R137" s="100">
        <v>0.44230000000000003</v>
      </c>
      <c r="S137" s="123" t="s">
        <v>365</v>
      </c>
      <c r="T137" s="330">
        <v>0.236544</v>
      </c>
      <c r="U137" s="344">
        <f t="shared" ref="U137:U140" si="9">T137/Q137</f>
        <v>0.53480443138141531</v>
      </c>
      <c r="V137" s="502"/>
      <c r="W137" s="502"/>
      <c r="X137" s="505"/>
      <c r="Y137" s="505"/>
      <c r="Z137" s="555"/>
      <c r="AA137" s="98"/>
    </row>
    <row r="138" spans="1:27" ht="24" hidden="1" customHeight="1">
      <c r="A138" s="475"/>
      <c r="B138" s="529"/>
      <c r="C138" s="555"/>
      <c r="D138" s="559"/>
      <c r="E138" s="559"/>
      <c r="F138" s="555"/>
      <c r="G138" s="561"/>
      <c r="H138" s="561"/>
      <c r="I138" s="555"/>
      <c r="J138" s="561"/>
      <c r="K138" s="561"/>
      <c r="L138" s="561"/>
      <c r="M138" s="561"/>
      <c r="N138" s="331" t="s">
        <v>366</v>
      </c>
      <c r="O138" s="331" t="s">
        <v>364</v>
      </c>
      <c r="P138" s="76" t="s">
        <v>27</v>
      </c>
      <c r="Q138" s="100">
        <v>8.4500000000000006E-2</v>
      </c>
      <c r="R138" s="100">
        <v>8.4500000000000006E-2</v>
      </c>
      <c r="S138" s="123" t="s">
        <v>367</v>
      </c>
      <c r="T138" s="330">
        <v>2.7810000000000001E-2</v>
      </c>
      <c r="U138" s="344">
        <f t="shared" si="9"/>
        <v>0.32911242603550295</v>
      </c>
      <c r="V138" s="502"/>
      <c r="W138" s="502"/>
      <c r="X138" s="505"/>
      <c r="Y138" s="505"/>
      <c r="Z138" s="555"/>
      <c r="AA138" s="98"/>
    </row>
    <row r="139" spans="1:27" ht="15" hidden="1" customHeight="1">
      <c r="A139" s="475"/>
      <c r="B139" s="529"/>
      <c r="C139" s="555"/>
      <c r="D139" s="559"/>
      <c r="E139" s="559"/>
      <c r="F139" s="555"/>
      <c r="G139" s="561"/>
      <c r="H139" s="561"/>
      <c r="I139" s="555"/>
      <c r="J139" s="561"/>
      <c r="K139" s="561"/>
      <c r="L139" s="561"/>
      <c r="M139" s="561"/>
      <c r="N139" s="331" t="s">
        <v>368</v>
      </c>
      <c r="O139" s="331" t="s">
        <v>364</v>
      </c>
      <c r="P139" s="76" t="s">
        <v>27</v>
      </c>
      <c r="Q139" s="100">
        <v>2.5364</v>
      </c>
      <c r="R139" s="100">
        <v>2.5364</v>
      </c>
      <c r="S139" s="123" t="s">
        <v>369</v>
      </c>
      <c r="T139" s="330">
        <v>2.3690850000000001</v>
      </c>
      <c r="U139" s="344">
        <f t="shared" si="9"/>
        <v>0.93403445828733644</v>
      </c>
      <c r="V139" s="502"/>
      <c r="W139" s="502"/>
      <c r="X139" s="505"/>
      <c r="Y139" s="505"/>
      <c r="Z139" s="555"/>
      <c r="AA139" s="98"/>
    </row>
    <row r="140" spans="1:27" ht="15" hidden="1" customHeight="1">
      <c r="A140" s="475"/>
      <c r="B140" s="529"/>
      <c r="C140" s="555"/>
      <c r="D140" s="560"/>
      <c r="E140" s="560"/>
      <c r="F140" s="555"/>
      <c r="G140" s="561"/>
      <c r="H140" s="561"/>
      <c r="I140" s="555"/>
      <c r="J140" s="561"/>
      <c r="K140" s="561"/>
      <c r="L140" s="561"/>
      <c r="M140" s="561"/>
      <c r="N140" s="331" t="s">
        <v>370</v>
      </c>
      <c r="O140" s="331" t="s">
        <v>364</v>
      </c>
      <c r="P140" s="76" t="s">
        <v>27</v>
      </c>
      <c r="Q140" s="100">
        <v>1.5249999999999999</v>
      </c>
      <c r="R140" s="100">
        <v>1.5249999999999999</v>
      </c>
      <c r="S140" s="123" t="s">
        <v>371</v>
      </c>
      <c r="T140" s="330">
        <v>1.288486</v>
      </c>
      <c r="U140" s="344">
        <f t="shared" si="9"/>
        <v>0.84490885245901648</v>
      </c>
      <c r="V140" s="503"/>
      <c r="W140" s="503"/>
      <c r="X140" s="506"/>
      <c r="Y140" s="506"/>
      <c r="Z140" s="555"/>
      <c r="AA140" s="98"/>
    </row>
    <row r="141" spans="1:27" ht="36">
      <c r="A141" s="475"/>
      <c r="B141" s="334">
        <v>8</v>
      </c>
      <c r="C141" s="332" t="s">
        <v>1913</v>
      </c>
      <c r="D141" s="370">
        <v>12348.7989</v>
      </c>
      <c r="E141" s="370" t="s">
        <v>2063</v>
      </c>
      <c r="F141" s="332" t="s">
        <v>242</v>
      </c>
      <c r="G141" s="333">
        <v>33.196300000000001</v>
      </c>
      <c r="H141" s="333">
        <v>1</v>
      </c>
      <c r="I141" s="332" t="s">
        <v>372</v>
      </c>
      <c r="J141" s="333">
        <v>24.6</v>
      </c>
      <c r="K141" s="333"/>
      <c r="L141" s="333"/>
      <c r="M141" s="333">
        <f>SUM(G141,H141,J141,L141)</f>
        <v>58.796300000000002</v>
      </c>
      <c r="N141" s="332" t="s">
        <v>373</v>
      </c>
      <c r="O141" s="332" t="s">
        <v>374</v>
      </c>
      <c r="P141" s="76" t="s">
        <v>36</v>
      </c>
      <c r="Q141" s="102">
        <v>9</v>
      </c>
      <c r="R141" s="102">
        <v>16.5</v>
      </c>
      <c r="S141" s="122" t="s">
        <v>375</v>
      </c>
      <c r="T141" s="333">
        <v>9.1908999999999992</v>
      </c>
      <c r="U141" s="344">
        <f>T141/Q141</f>
        <v>1.0212111111111111</v>
      </c>
      <c r="V141" s="122">
        <f>Q141</f>
        <v>9</v>
      </c>
      <c r="W141" s="122">
        <f>T141</f>
        <v>9.1908999999999992</v>
      </c>
      <c r="X141" s="103">
        <f>W141/V141</f>
        <v>1.0212111111111111</v>
      </c>
      <c r="Y141" s="103">
        <f>W141/M141</f>
        <v>0.15631765944455686</v>
      </c>
      <c r="Z141" s="332" t="s">
        <v>258</v>
      </c>
      <c r="AA141" s="98"/>
    </row>
    <row r="142" spans="1:27">
      <c r="A142" s="475"/>
      <c r="B142" s="529">
        <v>9</v>
      </c>
      <c r="C142" s="555" t="s">
        <v>1914</v>
      </c>
      <c r="D142" s="564">
        <f>49897.8578</f>
        <v>49897.857799999998</v>
      </c>
      <c r="E142" s="564" t="s">
        <v>2064</v>
      </c>
      <c r="F142" s="555" t="s">
        <v>376</v>
      </c>
      <c r="G142" s="561">
        <v>146.4357</v>
      </c>
      <c r="H142" s="561"/>
      <c r="I142" s="555" t="s">
        <v>377</v>
      </c>
      <c r="J142" s="561">
        <v>49.194499999999998</v>
      </c>
      <c r="K142" s="561"/>
      <c r="L142" s="561"/>
      <c r="M142" s="561">
        <f>SUM(G142,H142,J142,L142)</f>
        <v>195.6302</v>
      </c>
      <c r="N142" s="332" t="s">
        <v>378</v>
      </c>
      <c r="O142" s="332" t="s">
        <v>379</v>
      </c>
      <c r="P142" s="76" t="s">
        <v>36</v>
      </c>
      <c r="Q142" s="102">
        <v>30</v>
      </c>
      <c r="R142" s="102">
        <v>62.5197</v>
      </c>
      <c r="S142" s="332" t="s">
        <v>380</v>
      </c>
      <c r="T142" s="568">
        <v>16.5913</v>
      </c>
      <c r="U142" s="569">
        <f>T142/(Q142+Q143)</f>
        <v>0.4147825</v>
      </c>
      <c r="V142" s="517">
        <f>SUM(Q142:Q148)</f>
        <v>162.13410000000002</v>
      </c>
      <c r="W142" s="517">
        <f>SUM(T142:T148)</f>
        <v>16.5913</v>
      </c>
      <c r="X142" s="504">
        <f>W142/V142</f>
        <v>0.10233072499862766</v>
      </c>
      <c r="Y142" s="504">
        <f>W142/M142</f>
        <v>8.4809502827273092E-2</v>
      </c>
      <c r="Z142" s="555" t="s">
        <v>381</v>
      </c>
      <c r="AA142" s="98"/>
    </row>
    <row r="143" spans="1:27">
      <c r="A143" s="475"/>
      <c r="B143" s="529"/>
      <c r="C143" s="555"/>
      <c r="D143" s="565"/>
      <c r="E143" s="565"/>
      <c r="F143" s="555"/>
      <c r="G143" s="561"/>
      <c r="H143" s="561"/>
      <c r="I143" s="555"/>
      <c r="J143" s="561"/>
      <c r="K143" s="561"/>
      <c r="L143" s="561"/>
      <c r="M143" s="561"/>
      <c r="N143" s="332" t="s">
        <v>382</v>
      </c>
      <c r="O143" s="332" t="s">
        <v>379</v>
      </c>
      <c r="P143" s="76" t="s">
        <v>36</v>
      </c>
      <c r="Q143" s="102">
        <v>10</v>
      </c>
      <c r="R143" s="102">
        <v>23.437100000000001</v>
      </c>
      <c r="S143" s="332" t="s">
        <v>380</v>
      </c>
      <c r="T143" s="568"/>
      <c r="U143" s="569"/>
      <c r="V143" s="502"/>
      <c r="W143" s="502"/>
      <c r="X143" s="505"/>
      <c r="Y143" s="505"/>
      <c r="Z143" s="555"/>
      <c r="AA143" s="98"/>
    </row>
    <row r="144" spans="1:27" ht="15" hidden="1" customHeight="1">
      <c r="A144" s="475"/>
      <c r="B144" s="529"/>
      <c r="C144" s="555"/>
      <c r="D144" s="565"/>
      <c r="E144" s="565"/>
      <c r="F144" s="555"/>
      <c r="G144" s="561"/>
      <c r="H144" s="561"/>
      <c r="I144" s="555"/>
      <c r="J144" s="561"/>
      <c r="K144" s="561"/>
      <c r="L144" s="561"/>
      <c r="M144" s="561"/>
      <c r="N144" s="332" t="s">
        <v>383</v>
      </c>
      <c r="O144" s="332" t="s">
        <v>384</v>
      </c>
      <c r="P144" s="76" t="s">
        <v>27</v>
      </c>
      <c r="Q144" s="102">
        <v>3.5960999999999999</v>
      </c>
      <c r="R144" s="102">
        <v>3.5960999999999999</v>
      </c>
      <c r="S144" s="332" t="s">
        <v>289</v>
      </c>
      <c r="T144" s="333"/>
      <c r="U144" s="332"/>
      <c r="V144" s="502"/>
      <c r="W144" s="502"/>
      <c r="X144" s="505"/>
      <c r="Y144" s="505"/>
      <c r="Z144" s="555"/>
      <c r="AA144" s="98"/>
    </row>
    <row r="145" spans="1:27" ht="15" hidden="1" customHeight="1">
      <c r="A145" s="475"/>
      <c r="B145" s="529"/>
      <c r="C145" s="555"/>
      <c r="D145" s="565"/>
      <c r="E145" s="565"/>
      <c r="F145" s="555"/>
      <c r="G145" s="561"/>
      <c r="H145" s="561"/>
      <c r="I145" s="555"/>
      <c r="J145" s="561"/>
      <c r="K145" s="561"/>
      <c r="L145" s="561"/>
      <c r="M145" s="561"/>
      <c r="N145" s="332" t="s">
        <v>385</v>
      </c>
      <c r="O145" s="332" t="s">
        <v>386</v>
      </c>
      <c r="P145" s="76" t="s">
        <v>27</v>
      </c>
      <c r="Q145" s="102">
        <v>100</v>
      </c>
      <c r="R145" s="102">
        <v>24.101900000000001</v>
      </c>
      <c r="S145" s="332" t="s">
        <v>289</v>
      </c>
      <c r="T145" s="333"/>
      <c r="U145" s="332"/>
      <c r="V145" s="502"/>
      <c r="W145" s="502"/>
      <c r="X145" s="505"/>
      <c r="Y145" s="505"/>
      <c r="Z145" s="555"/>
      <c r="AA145" s="98"/>
    </row>
    <row r="146" spans="1:27" ht="24" hidden="1" customHeight="1">
      <c r="A146" s="475"/>
      <c r="B146" s="529"/>
      <c r="C146" s="555"/>
      <c r="D146" s="565"/>
      <c r="E146" s="565"/>
      <c r="F146" s="555"/>
      <c r="G146" s="561"/>
      <c r="H146" s="561"/>
      <c r="I146" s="555"/>
      <c r="J146" s="561"/>
      <c r="K146" s="561"/>
      <c r="L146" s="561"/>
      <c r="M146" s="561"/>
      <c r="N146" s="332" t="s">
        <v>387</v>
      </c>
      <c r="O146" s="332" t="s">
        <v>388</v>
      </c>
      <c r="P146" s="76" t="s">
        <v>27</v>
      </c>
      <c r="Q146" s="102">
        <v>12</v>
      </c>
      <c r="R146" s="102">
        <v>1.304</v>
      </c>
      <c r="S146" s="332" t="s">
        <v>289</v>
      </c>
      <c r="T146" s="333"/>
      <c r="U146" s="332"/>
      <c r="V146" s="502"/>
      <c r="W146" s="502"/>
      <c r="X146" s="505"/>
      <c r="Y146" s="505"/>
      <c r="Z146" s="555"/>
      <c r="AA146" s="98"/>
    </row>
    <row r="147" spans="1:27" ht="15" hidden="1" customHeight="1">
      <c r="A147" s="475"/>
      <c r="B147" s="529"/>
      <c r="C147" s="555"/>
      <c r="D147" s="565"/>
      <c r="E147" s="565"/>
      <c r="F147" s="555"/>
      <c r="G147" s="561"/>
      <c r="H147" s="561"/>
      <c r="I147" s="555"/>
      <c r="J147" s="561"/>
      <c r="K147" s="561"/>
      <c r="L147" s="561"/>
      <c r="M147" s="561"/>
      <c r="N147" s="332" t="s">
        <v>389</v>
      </c>
      <c r="O147" s="332" t="s">
        <v>390</v>
      </c>
      <c r="P147" s="76" t="s">
        <v>27</v>
      </c>
      <c r="Q147" s="102">
        <v>3</v>
      </c>
      <c r="R147" s="102">
        <v>0.73740000000000006</v>
      </c>
      <c r="S147" s="332" t="s">
        <v>289</v>
      </c>
      <c r="T147" s="333"/>
      <c r="U147" s="332"/>
      <c r="V147" s="502"/>
      <c r="W147" s="502"/>
      <c r="X147" s="505"/>
      <c r="Y147" s="505"/>
      <c r="Z147" s="555"/>
      <c r="AA147" s="98"/>
    </row>
    <row r="148" spans="1:27" ht="24" hidden="1" customHeight="1">
      <c r="A148" s="475"/>
      <c r="B148" s="529"/>
      <c r="C148" s="555"/>
      <c r="D148" s="566"/>
      <c r="E148" s="566"/>
      <c r="F148" s="555"/>
      <c r="G148" s="561"/>
      <c r="H148" s="561"/>
      <c r="I148" s="555"/>
      <c r="J148" s="561"/>
      <c r="K148" s="561"/>
      <c r="L148" s="561"/>
      <c r="M148" s="561"/>
      <c r="N148" s="332" t="s">
        <v>391</v>
      </c>
      <c r="O148" s="332" t="s">
        <v>392</v>
      </c>
      <c r="P148" s="76" t="s">
        <v>27</v>
      </c>
      <c r="Q148" s="102">
        <v>3.5379999999999998</v>
      </c>
      <c r="R148" s="102">
        <v>3.5379999999999998</v>
      </c>
      <c r="S148" s="332" t="s">
        <v>289</v>
      </c>
      <c r="T148" s="333"/>
      <c r="U148" s="332"/>
      <c r="V148" s="503"/>
      <c r="W148" s="503"/>
      <c r="X148" s="506"/>
      <c r="Y148" s="506"/>
      <c r="Z148" s="555"/>
      <c r="AA148" s="98"/>
    </row>
    <row r="149" spans="1:27" ht="15" hidden="1" customHeight="1">
      <c r="A149" s="475"/>
      <c r="B149" s="529">
        <v>10</v>
      </c>
      <c r="C149" s="555" t="s">
        <v>393</v>
      </c>
      <c r="D149" s="558">
        <v>46243.580099999999</v>
      </c>
      <c r="E149" s="558" t="s">
        <v>2065</v>
      </c>
      <c r="F149" s="555" t="s">
        <v>394</v>
      </c>
      <c r="G149" s="561">
        <v>202.33</v>
      </c>
      <c r="H149" s="561">
        <v>5</v>
      </c>
      <c r="I149" s="555" t="s">
        <v>394</v>
      </c>
      <c r="J149" s="561">
        <v>50.46</v>
      </c>
      <c r="K149" s="561"/>
      <c r="L149" s="561"/>
      <c r="M149" s="561">
        <v>257.79000000000002</v>
      </c>
      <c r="N149" s="332" t="s">
        <v>395</v>
      </c>
      <c r="O149" s="332" t="s">
        <v>396</v>
      </c>
      <c r="P149" s="76" t="s">
        <v>27</v>
      </c>
      <c r="Q149" s="102">
        <f>123534.12/10000</f>
        <v>12.353411999999999</v>
      </c>
      <c r="R149" s="102">
        <f>123534.12/10000</f>
        <v>12.353411999999999</v>
      </c>
      <c r="S149" s="124" t="s">
        <v>397</v>
      </c>
      <c r="T149" s="333">
        <v>5</v>
      </c>
      <c r="U149" s="344">
        <f>T149/Q149</f>
        <v>0.40474647813899517</v>
      </c>
      <c r="V149" s="517">
        <f>SUM(Q149:Q165)</f>
        <v>214.973412</v>
      </c>
      <c r="W149" s="517">
        <f>SUM(T149:T165)</f>
        <v>415.44799999999998</v>
      </c>
      <c r="X149" s="504">
        <f>W149/V149</f>
        <v>1.932555268741792</v>
      </c>
      <c r="Y149" s="504">
        <f>W149/M149</f>
        <v>1.6115753132394584</v>
      </c>
      <c r="Z149" s="555" t="s">
        <v>258</v>
      </c>
      <c r="AA149" s="98"/>
    </row>
    <row r="150" spans="1:27" ht="15" hidden="1" customHeight="1">
      <c r="A150" s="475"/>
      <c r="B150" s="529"/>
      <c r="C150" s="555"/>
      <c r="D150" s="559"/>
      <c r="E150" s="559"/>
      <c r="F150" s="555"/>
      <c r="G150" s="561"/>
      <c r="H150" s="561"/>
      <c r="I150" s="555"/>
      <c r="J150" s="561"/>
      <c r="K150" s="561"/>
      <c r="L150" s="561"/>
      <c r="M150" s="561"/>
      <c r="N150" s="332" t="s">
        <v>398</v>
      </c>
      <c r="O150" s="332" t="s">
        <v>399</v>
      </c>
      <c r="P150" s="76" t="s">
        <v>27</v>
      </c>
      <c r="Q150" s="102">
        <v>3</v>
      </c>
      <c r="R150" s="102">
        <v>3</v>
      </c>
      <c r="S150" s="124" t="s">
        <v>400</v>
      </c>
      <c r="T150" s="333">
        <v>2.5</v>
      </c>
      <c r="U150" s="344">
        <f t="shared" ref="U150:U162" si="10">T150/Q150</f>
        <v>0.83333333333333337</v>
      </c>
      <c r="V150" s="502"/>
      <c r="W150" s="502"/>
      <c r="X150" s="505"/>
      <c r="Y150" s="505"/>
      <c r="Z150" s="555"/>
      <c r="AA150" s="98"/>
    </row>
    <row r="151" spans="1:27" ht="15" hidden="1" customHeight="1">
      <c r="A151" s="475"/>
      <c r="B151" s="529"/>
      <c r="C151" s="555"/>
      <c r="D151" s="559"/>
      <c r="E151" s="559"/>
      <c r="F151" s="555"/>
      <c r="G151" s="561"/>
      <c r="H151" s="561"/>
      <c r="I151" s="555"/>
      <c r="J151" s="561"/>
      <c r="K151" s="561"/>
      <c r="L151" s="561"/>
      <c r="M151" s="561"/>
      <c r="N151" s="332" t="s">
        <v>401</v>
      </c>
      <c r="O151" s="332" t="s">
        <v>399</v>
      </c>
      <c r="P151" s="76" t="s">
        <v>27</v>
      </c>
      <c r="Q151" s="102">
        <v>3.6</v>
      </c>
      <c r="R151" s="102">
        <v>3.6</v>
      </c>
      <c r="S151" s="124" t="s">
        <v>183</v>
      </c>
      <c r="T151" s="333">
        <v>2.6</v>
      </c>
      <c r="U151" s="344">
        <f t="shared" si="10"/>
        <v>0.72222222222222221</v>
      </c>
      <c r="V151" s="502"/>
      <c r="W151" s="502"/>
      <c r="X151" s="505"/>
      <c r="Y151" s="505"/>
      <c r="Z151" s="555"/>
      <c r="AA151" s="98"/>
    </row>
    <row r="152" spans="1:27" ht="15" hidden="1" customHeight="1">
      <c r="A152" s="475"/>
      <c r="B152" s="529"/>
      <c r="C152" s="555"/>
      <c r="D152" s="559"/>
      <c r="E152" s="559"/>
      <c r="F152" s="555"/>
      <c r="G152" s="561"/>
      <c r="H152" s="561"/>
      <c r="I152" s="555"/>
      <c r="J152" s="561"/>
      <c r="K152" s="561"/>
      <c r="L152" s="561"/>
      <c r="M152" s="561"/>
      <c r="N152" s="332" t="s">
        <v>402</v>
      </c>
      <c r="O152" s="332" t="s">
        <v>403</v>
      </c>
      <c r="P152" s="76" t="s">
        <v>27</v>
      </c>
      <c r="Q152" s="102">
        <v>0.6</v>
      </c>
      <c r="R152" s="102">
        <v>0.6</v>
      </c>
      <c r="S152" s="124" t="s">
        <v>404</v>
      </c>
      <c r="T152" s="333">
        <v>0.45</v>
      </c>
      <c r="U152" s="344">
        <f t="shared" si="10"/>
        <v>0.75</v>
      </c>
      <c r="V152" s="502"/>
      <c r="W152" s="502"/>
      <c r="X152" s="505"/>
      <c r="Y152" s="505"/>
      <c r="Z152" s="555"/>
      <c r="AA152" s="98"/>
    </row>
    <row r="153" spans="1:27" ht="15" hidden="1" customHeight="1">
      <c r="A153" s="475"/>
      <c r="B153" s="529"/>
      <c r="C153" s="555"/>
      <c r="D153" s="559"/>
      <c r="E153" s="559"/>
      <c r="F153" s="555"/>
      <c r="G153" s="561"/>
      <c r="H153" s="561"/>
      <c r="I153" s="555"/>
      <c r="J153" s="561"/>
      <c r="K153" s="561"/>
      <c r="L153" s="561"/>
      <c r="M153" s="561"/>
      <c r="N153" s="332" t="s">
        <v>405</v>
      </c>
      <c r="O153" s="332" t="s">
        <v>403</v>
      </c>
      <c r="P153" s="76" t="s">
        <v>27</v>
      </c>
      <c r="Q153" s="102">
        <v>0.98</v>
      </c>
      <c r="R153" s="102">
        <v>0.98</v>
      </c>
      <c r="S153" s="124" t="s">
        <v>406</v>
      </c>
      <c r="T153" s="333">
        <v>0.79</v>
      </c>
      <c r="U153" s="344">
        <f t="shared" si="10"/>
        <v>0.80612244897959184</v>
      </c>
      <c r="V153" s="502"/>
      <c r="W153" s="502"/>
      <c r="X153" s="505"/>
      <c r="Y153" s="505"/>
      <c r="Z153" s="555"/>
      <c r="AA153" s="98"/>
    </row>
    <row r="154" spans="1:27" ht="24" hidden="1" customHeight="1">
      <c r="A154" s="475"/>
      <c r="B154" s="529"/>
      <c r="C154" s="555"/>
      <c r="D154" s="559"/>
      <c r="E154" s="559"/>
      <c r="F154" s="555"/>
      <c r="G154" s="561"/>
      <c r="H154" s="561"/>
      <c r="I154" s="555"/>
      <c r="J154" s="561"/>
      <c r="K154" s="561"/>
      <c r="L154" s="561"/>
      <c r="M154" s="561"/>
      <c r="N154" s="332" t="s">
        <v>407</v>
      </c>
      <c r="O154" s="332" t="s">
        <v>408</v>
      </c>
      <c r="P154" s="76" t="s">
        <v>27</v>
      </c>
      <c r="Q154" s="102">
        <v>2.06</v>
      </c>
      <c r="R154" s="102">
        <v>2.06</v>
      </c>
      <c r="S154" s="124" t="s">
        <v>409</v>
      </c>
      <c r="T154" s="333">
        <v>1.53</v>
      </c>
      <c r="U154" s="344">
        <f t="shared" si="10"/>
        <v>0.74271844660194175</v>
      </c>
      <c r="V154" s="502"/>
      <c r="W154" s="502"/>
      <c r="X154" s="505"/>
      <c r="Y154" s="505"/>
      <c r="Z154" s="555"/>
      <c r="AA154" s="98"/>
    </row>
    <row r="155" spans="1:27" ht="24" hidden="1" customHeight="1">
      <c r="A155" s="475"/>
      <c r="B155" s="529"/>
      <c r="C155" s="555"/>
      <c r="D155" s="559"/>
      <c r="E155" s="559"/>
      <c r="F155" s="555"/>
      <c r="G155" s="561"/>
      <c r="H155" s="561"/>
      <c r="I155" s="555"/>
      <c r="J155" s="561"/>
      <c r="K155" s="561"/>
      <c r="L155" s="561"/>
      <c r="M155" s="561"/>
      <c r="N155" s="332" t="s">
        <v>410</v>
      </c>
      <c r="O155" s="332" t="s">
        <v>411</v>
      </c>
      <c r="P155" s="76" t="s">
        <v>27</v>
      </c>
      <c r="Q155" s="102">
        <v>5.54</v>
      </c>
      <c r="R155" s="102">
        <v>5.54</v>
      </c>
      <c r="S155" s="124" t="s">
        <v>321</v>
      </c>
      <c r="T155" s="333">
        <v>12.76</v>
      </c>
      <c r="U155" s="344">
        <f t="shared" si="10"/>
        <v>2.3032490974729241</v>
      </c>
      <c r="V155" s="502"/>
      <c r="W155" s="502"/>
      <c r="X155" s="505"/>
      <c r="Y155" s="505"/>
      <c r="Z155" s="555"/>
      <c r="AA155" s="98"/>
    </row>
    <row r="156" spans="1:27" ht="15" hidden="1" customHeight="1">
      <c r="A156" s="475"/>
      <c r="B156" s="529"/>
      <c r="C156" s="555"/>
      <c r="D156" s="559"/>
      <c r="E156" s="559"/>
      <c r="F156" s="555"/>
      <c r="G156" s="561"/>
      <c r="H156" s="561"/>
      <c r="I156" s="555"/>
      <c r="J156" s="561"/>
      <c r="K156" s="561"/>
      <c r="L156" s="561"/>
      <c r="M156" s="561"/>
      <c r="N156" s="332" t="s">
        <v>412</v>
      </c>
      <c r="O156" s="332" t="s">
        <v>403</v>
      </c>
      <c r="P156" s="76" t="s">
        <v>27</v>
      </c>
      <c r="Q156" s="102">
        <v>0.94</v>
      </c>
      <c r="R156" s="102">
        <v>0.94</v>
      </c>
      <c r="S156" s="124" t="s">
        <v>413</v>
      </c>
      <c r="T156" s="333">
        <v>0.48</v>
      </c>
      <c r="U156" s="344">
        <f t="shared" si="10"/>
        <v>0.51063829787234039</v>
      </c>
      <c r="V156" s="502"/>
      <c r="W156" s="502"/>
      <c r="X156" s="505"/>
      <c r="Y156" s="505"/>
      <c r="Z156" s="555"/>
      <c r="AA156" s="98"/>
    </row>
    <row r="157" spans="1:27" ht="24" hidden="1" customHeight="1">
      <c r="A157" s="475"/>
      <c r="B157" s="529"/>
      <c r="C157" s="555"/>
      <c r="D157" s="559"/>
      <c r="E157" s="559"/>
      <c r="F157" s="555"/>
      <c r="G157" s="561"/>
      <c r="H157" s="561"/>
      <c r="I157" s="555"/>
      <c r="J157" s="561"/>
      <c r="K157" s="561"/>
      <c r="L157" s="561"/>
      <c r="M157" s="561"/>
      <c r="N157" s="332" t="s">
        <v>1915</v>
      </c>
      <c r="O157" s="332" t="s">
        <v>414</v>
      </c>
      <c r="P157" s="76" t="s">
        <v>27</v>
      </c>
      <c r="Q157" s="102">
        <v>1.02</v>
      </c>
      <c r="R157" s="102">
        <v>1.02</v>
      </c>
      <c r="S157" s="124" t="s">
        <v>413</v>
      </c>
      <c r="T157" s="333">
        <v>0.8</v>
      </c>
      <c r="U157" s="344">
        <f t="shared" si="10"/>
        <v>0.78431372549019607</v>
      </c>
      <c r="V157" s="502"/>
      <c r="W157" s="502"/>
      <c r="X157" s="505"/>
      <c r="Y157" s="505"/>
      <c r="Z157" s="555"/>
      <c r="AA157" s="98"/>
    </row>
    <row r="158" spans="1:27" ht="24" hidden="1" customHeight="1">
      <c r="A158" s="475"/>
      <c r="B158" s="529"/>
      <c r="C158" s="555"/>
      <c r="D158" s="559"/>
      <c r="E158" s="559"/>
      <c r="F158" s="555"/>
      <c r="G158" s="561"/>
      <c r="H158" s="561"/>
      <c r="I158" s="555"/>
      <c r="J158" s="561"/>
      <c r="K158" s="561"/>
      <c r="L158" s="561"/>
      <c r="M158" s="561"/>
      <c r="N158" s="332" t="s">
        <v>415</v>
      </c>
      <c r="O158" s="332" t="s">
        <v>416</v>
      </c>
      <c r="P158" s="76" t="s">
        <v>27</v>
      </c>
      <c r="Q158" s="102">
        <v>0.39</v>
      </c>
      <c r="R158" s="102">
        <v>0.39</v>
      </c>
      <c r="S158" s="95" t="s">
        <v>417</v>
      </c>
      <c r="T158" s="333">
        <v>0.31</v>
      </c>
      <c r="U158" s="344">
        <f t="shared" si="10"/>
        <v>0.79487179487179482</v>
      </c>
      <c r="V158" s="502"/>
      <c r="W158" s="502"/>
      <c r="X158" s="505"/>
      <c r="Y158" s="505"/>
      <c r="Z158" s="555"/>
      <c r="AA158" s="98"/>
    </row>
    <row r="159" spans="1:27" ht="15" hidden="1" customHeight="1">
      <c r="A159" s="475"/>
      <c r="B159" s="529"/>
      <c r="C159" s="555"/>
      <c r="D159" s="559"/>
      <c r="E159" s="559"/>
      <c r="F159" s="555"/>
      <c r="G159" s="561"/>
      <c r="H159" s="561"/>
      <c r="I159" s="555"/>
      <c r="J159" s="561"/>
      <c r="K159" s="561"/>
      <c r="L159" s="561"/>
      <c r="M159" s="561"/>
      <c r="N159" s="332" t="s">
        <v>418</v>
      </c>
      <c r="O159" s="332" t="s">
        <v>419</v>
      </c>
      <c r="P159" s="76" t="s">
        <v>27</v>
      </c>
      <c r="Q159" s="102">
        <v>0.34</v>
      </c>
      <c r="R159" s="102">
        <v>0.34</v>
      </c>
      <c r="S159" s="94" t="s">
        <v>420</v>
      </c>
      <c r="T159" s="333">
        <v>0.27200000000000002</v>
      </c>
      <c r="U159" s="344">
        <f t="shared" si="10"/>
        <v>0.8</v>
      </c>
      <c r="V159" s="502"/>
      <c r="W159" s="502"/>
      <c r="X159" s="505"/>
      <c r="Y159" s="505"/>
      <c r="Z159" s="555"/>
      <c r="AA159" s="98"/>
    </row>
    <row r="160" spans="1:27" ht="15" hidden="1" customHeight="1">
      <c r="A160" s="475"/>
      <c r="B160" s="529"/>
      <c r="C160" s="555"/>
      <c r="D160" s="559"/>
      <c r="E160" s="559"/>
      <c r="F160" s="555"/>
      <c r="G160" s="561"/>
      <c r="H160" s="561"/>
      <c r="I160" s="555"/>
      <c r="J160" s="561"/>
      <c r="K160" s="561"/>
      <c r="L160" s="561"/>
      <c r="M160" s="561"/>
      <c r="N160" s="332" t="s">
        <v>421</v>
      </c>
      <c r="O160" s="332" t="s">
        <v>422</v>
      </c>
      <c r="P160" s="76" t="s">
        <v>27</v>
      </c>
      <c r="Q160" s="102">
        <v>1.46</v>
      </c>
      <c r="R160" s="102">
        <v>1.46</v>
      </c>
      <c r="S160" s="94" t="s">
        <v>423</v>
      </c>
      <c r="T160" s="333">
        <v>1.1679999999999999</v>
      </c>
      <c r="U160" s="344">
        <f t="shared" si="10"/>
        <v>0.79999999999999993</v>
      </c>
      <c r="V160" s="502"/>
      <c r="W160" s="502"/>
      <c r="X160" s="505"/>
      <c r="Y160" s="505"/>
      <c r="Z160" s="555"/>
      <c r="AA160" s="98"/>
    </row>
    <row r="161" spans="1:27" ht="15" hidden="1" customHeight="1">
      <c r="A161" s="475"/>
      <c r="B161" s="529"/>
      <c r="C161" s="555"/>
      <c r="D161" s="559"/>
      <c r="E161" s="559"/>
      <c r="F161" s="555"/>
      <c r="G161" s="561"/>
      <c r="H161" s="561"/>
      <c r="I161" s="555"/>
      <c r="J161" s="561"/>
      <c r="K161" s="561"/>
      <c r="L161" s="561"/>
      <c r="M161" s="561"/>
      <c r="N161" s="332" t="s">
        <v>1916</v>
      </c>
      <c r="O161" s="332" t="s">
        <v>424</v>
      </c>
      <c r="P161" s="76" t="s">
        <v>27</v>
      </c>
      <c r="Q161" s="102">
        <v>3.18</v>
      </c>
      <c r="R161" s="102">
        <v>3.18</v>
      </c>
      <c r="S161" s="94" t="s">
        <v>417</v>
      </c>
      <c r="T161" s="333">
        <v>2.5440000000000005</v>
      </c>
      <c r="U161" s="344">
        <f t="shared" si="10"/>
        <v>0.80000000000000016</v>
      </c>
      <c r="V161" s="502"/>
      <c r="W161" s="502"/>
      <c r="X161" s="505"/>
      <c r="Y161" s="505"/>
      <c r="Z161" s="555"/>
      <c r="AA161" s="98"/>
    </row>
    <row r="162" spans="1:27" ht="15" hidden="1" customHeight="1">
      <c r="A162" s="475"/>
      <c r="B162" s="529"/>
      <c r="C162" s="555"/>
      <c r="D162" s="559"/>
      <c r="E162" s="559"/>
      <c r="F162" s="555"/>
      <c r="G162" s="561"/>
      <c r="H162" s="561"/>
      <c r="I162" s="555"/>
      <c r="J162" s="561"/>
      <c r="K162" s="561"/>
      <c r="L162" s="561"/>
      <c r="M162" s="561"/>
      <c r="N162" s="332" t="s">
        <v>338</v>
      </c>
      <c r="O162" s="332" t="s">
        <v>403</v>
      </c>
      <c r="P162" s="76" t="s">
        <v>27</v>
      </c>
      <c r="Q162" s="102">
        <v>0.51</v>
      </c>
      <c r="R162" s="102">
        <v>0.51</v>
      </c>
      <c r="S162" s="94" t="s">
        <v>417</v>
      </c>
      <c r="T162" s="333">
        <v>0.40800000000000003</v>
      </c>
      <c r="U162" s="344">
        <f t="shared" si="10"/>
        <v>0.8</v>
      </c>
      <c r="V162" s="502"/>
      <c r="W162" s="502"/>
      <c r="X162" s="505"/>
      <c r="Y162" s="505"/>
      <c r="Z162" s="555"/>
      <c r="AA162" s="98"/>
    </row>
    <row r="163" spans="1:27">
      <c r="A163" s="475"/>
      <c r="B163" s="529"/>
      <c r="C163" s="555"/>
      <c r="D163" s="559"/>
      <c r="E163" s="559"/>
      <c r="F163" s="555"/>
      <c r="G163" s="561"/>
      <c r="H163" s="561"/>
      <c r="I163" s="555"/>
      <c r="J163" s="561"/>
      <c r="K163" s="561"/>
      <c r="L163" s="561"/>
      <c r="M163" s="561"/>
      <c r="N163" s="106" t="s">
        <v>425</v>
      </c>
      <c r="O163" s="332" t="s">
        <v>426</v>
      </c>
      <c r="P163" s="76" t="s">
        <v>36</v>
      </c>
      <c r="Q163" s="102">
        <v>15</v>
      </c>
      <c r="R163" s="102">
        <v>55.45</v>
      </c>
      <c r="S163" s="125" t="s">
        <v>427</v>
      </c>
      <c r="T163" s="292">
        <v>30</v>
      </c>
      <c r="U163" s="344">
        <f>T163/Q163</f>
        <v>2</v>
      </c>
      <c r="V163" s="502"/>
      <c r="W163" s="502"/>
      <c r="X163" s="505"/>
      <c r="Y163" s="505"/>
      <c r="Z163" s="555"/>
      <c r="AA163" s="98"/>
    </row>
    <row r="164" spans="1:27">
      <c r="A164" s="475"/>
      <c r="B164" s="529"/>
      <c r="C164" s="555"/>
      <c r="D164" s="559"/>
      <c r="E164" s="559"/>
      <c r="F164" s="555"/>
      <c r="G164" s="561"/>
      <c r="H164" s="561"/>
      <c r="I164" s="555"/>
      <c r="J164" s="561"/>
      <c r="K164" s="561"/>
      <c r="L164" s="561"/>
      <c r="M164" s="561"/>
      <c r="N164" s="106" t="s">
        <v>428</v>
      </c>
      <c r="O164" s="332" t="s">
        <v>429</v>
      </c>
      <c r="P164" s="76" t="s">
        <v>36</v>
      </c>
      <c r="Q164" s="102">
        <v>68</v>
      </c>
      <c r="R164" s="102">
        <v>419</v>
      </c>
      <c r="S164" s="125" t="s">
        <v>430</v>
      </c>
      <c r="T164" s="292">
        <v>110</v>
      </c>
      <c r="U164" s="344">
        <f>T164/Q164</f>
        <v>1.6176470588235294</v>
      </c>
      <c r="V164" s="502"/>
      <c r="W164" s="502"/>
      <c r="X164" s="505"/>
      <c r="Y164" s="505"/>
      <c r="Z164" s="555"/>
      <c r="AA164" s="98"/>
    </row>
    <row r="165" spans="1:27">
      <c r="A165" s="475"/>
      <c r="B165" s="529"/>
      <c r="C165" s="555"/>
      <c r="D165" s="560"/>
      <c r="E165" s="560"/>
      <c r="F165" s="555"/>
      <c r="G165" s="561"/>
      <c r="H165" s="561"/>
      <c r="I165" s="555"/>
      <c r="J165" s="561"/>
      <c r="K165" s="561"/>
      <c r="L165" s="561"/>
      <c r="M165" s="561"/>
      <c r="N165" s="106" t="s">
        <v>431</v>
      </c>
      <c r="O165" s="332" t="s">
        <v>1917</v>
      </c>
      <c r="P165" s="76" t="s">
        <v>36</v>
      </c>
      <c r="Q165" s="102">
        <v>96</v>
      </c>
      <c r="R165" s="102">
        <v>345</v>
      </c>
      <c r="S165" s="125" t="s">
        <v>432</v>
      </c>
      <c r="T165" s="292">
        <v>243.83600000000001</v>
      </c>
      <c r="U165" s="344">
        <f>T165/Q165</f>
        <v>2.5399583333333333</v>
      </c>
      <c r="V165" s="503"/>
      <c r="W165" s="503"/>
      <c r="X165" s="506"/>
      <c r="Y165" s="506"/>
      <c r="Z165" s="555"/>
      <c r="AA165" s="98"/>
    </row>
    <row r="166" spans="1:27">
      <c r="A166" s="475"/>
      <c r="B166" s="529">
        <v>11</v>
      </c>
      <c r="C166" s="555" t="s">
        <v>433</v>
      </c>
      <c r="D166" s="558">
        <v>65377.645799999998</v>
      </c>
      <c r="E166" s="558" t="s">
        <v>2064</v>
      </c>
      <c r="F166" s="555" t="s">
        <v>376</v>
      </c>
      <c r="G166" s="561">
        <v>156.20529999999999</v>
      </c>
      <c r="H166" s="561"/>
      <c r="I166" s="555" t="s">
        <v>377</v>
      </c>
      <c r="J166" s="561">
        <v>52.476500000000001</v>
      </c>
      <c r="K166" s="561"/>
      <c r="L166" s="561"/>
      <c r="M166" s="561">
        <f>SUM(G166,H166,J166,L166)</f>
        <v>208.68180000000001</v>
      </c>
      <c r="N166" s="332" t="s">
        <v>378</v>
      </c>
      <c r="O166" s="332" t="s">
        <v>379</v>
      </c>
      <c r="P166" s="76" t="s">
        <v>36</v>
      </c>
      <c r="Q166" s="102">
        <v>151.589</v>
      </c>
      <c r="R166" s="102">
        <v>185</v>
      </c>
      <c r="S166" s="332" t="s">
        <v>380</v>
      </c>
      <c r="T166" s="561">
        <v>59.486199999999997</v>
      </c>
      <c r="U166" s="574">
        <f>T166/(Q166+Q167)</f>
        <v>0.28114032392988292</v>
      </c>
      <c r="V166" s="501">
        <f>SUM(Q166:Q169)</f>
        <v>213.78899999999999</v>
      </c>
      <c r="W166" s="501">
        <f>SUM(T166:T169)</f>
        <v>59.486199999999997</v>
      </c>
      <c r="X166" s="504">
        <f>W166/V166</f>
        <v>0.27824724377774346</v>
      </c>
      <c r="Y166" s="504">
        <f>W166/M166</f>
        <v>0.2850569623225408</v>
      </c>
      <c r="Z166" s="332" t="s">
        <v>381</v>
      </c>
      <c r="AA166" s="98"/>
    </row>
    <row r="167" spans="1:27">
      <c r="A167" s="475"/>
      <c r="B167" s="529"/>
      <c r="C167" s="555"/>
      <c r="D167" s="559"/>
      <c r="E167" s="559"/>
      <c r="F167" s="555"/>
      <c r="G167" s="561"/>
      <c r="H167" s="561"/>
      <c r="I167" s="555"/>
      <c r="J167" s="561"/>
      <c r="K167" s="561"/>
      <c r="L167" s="561"/>
      <c r="M167" s="561"/>
      <c r="N167" s="332" t="s">
        <v>382</v>
      </c>
      <c r="O167" s="332" t="s">
        <v>379</v>
      </c>
      <c r="P167" s="76" t="s">
        <v>36</v>
      </c>
      <c r="Q167" s="102">
        <v>60</v>
      </c>
      <c r="R167" s="102">
        <v>130</v>
      </c>
      <c r="S167" s="332" t="s">
        <v>380</v>
      </c>
      <c r="T167" s="561"/>
      <c r="U167" s="574"/>
      <c r="V167" s="502"/>
      <c r="W167" s="502"/>
      <c r="X167" s="505"/>
      <c r="Y167" s="505"/>
      <c r="Z167" s="332" t="s">
        <v>381</v>
      </c>
      <c r="AA167" s="98"/>
    </row>
    <row r="168" spans="1:27" ht="15" hidden="1" customHeight="1">
      <c r="A168" s="475"/>
      <c r="B168" s="529"/>
      <c r="C168" s="555"/>
      <c r="D168" s="559"/>
      <c r="E168" s="559"/>
      <c r="F168" s="555"/>
      <c r="G168" s="561"/>
      <c r="H168" s="561"/>
      <c r="I168" s="555"/>
      <c r="J168" s="561"/>
      <c r="K168" s="561"/>
      <c r="L168" s="561"/>
      <c r="M168" s="561"/>
      <c r="N168" s="332" t="s">
        <v>434</v>
      </c>
      <c r="O168" s="332" t="s">
        <v>435</v>
      </c>
      <c r="P168" s="76" t="s">
        <v>27</v>
      </c>
      <c r="Q168" s="102">
        <v>2</v>
      </c>
      <c r="R168" s="102">
        <v>2</v>
      </c>
      <c r="S168" s="332" t="s">
        <v>289</v>
      </c>
      <c r="T168" s="333"/>
      <c r="U168" s="332"/>
      <c r="V168" s="502"/>
      <c r="W168" s="502"/>
      <c r="X168" s="505"/>
      <c r="Y168" s="505"/>
      <c r="Z168" s="332" t="s">
        <v>381</v>
      </c>
      <c r="AA168" s="98"/>
    </row>
    <row r="169" spans="1:27" ht="15" hidden="1" customHeight="1">
      <c r="A169" s="475"/>
      <c r="B169" s="529"/>
      <c r="C169" s="555"/>
      <c r="D169" s="560"/>
      <c r="E169" s="560"/>
      <c r="F169" s="555"/>
      <c r="G169" s="561"/>
      <c r="H169" s="561"/>
      <c r="I169" s="555"/>
      <c r="J169" s="561"/>
      <c r="K169" s="561"/>
      <c r="L169" s="561"/>
      <c r="M169" s="561"/>
      <c r="N169" s="332" t="s">
        <v>436</v>
      </c>
      <c r="O169" s="332" t="s">
        <v>437</v>
      </c>
      <c r="P169" s="76" t="s">
        <v>27</v>
      </c>
      <c r="Q169" s="102">
        <v>0.2</v>
      </c>
      <c r="R169" s="102">
        <v>0.2</v>
      </c>
      <c r="S169" s="332" t="s">
        <v>289</v>
      </c>
      <c r="T169" s="333"/>
      <c r="U169" s="332"/>
      <c r="V169" s="503"/>
      <c r="W169" s="503"/>
      <c r="X169" s="506"/>
      <c r="Y169" s="506"/>
      <c r="Z169" s="332" t="s">
        <v>381</v>
      </c>
      <c r="AA169" s="98"/>
    </row>
    <row r="170" spans="1:27">
      <c r="A170" s="475"/>
      <c r="B170" s="529">
        <v>12</v>
      </c>
      <c r="C170" s="555" t="s">
        <v>438</v>
      </c>
      <c r="D170" s="571">
        <v>118800</v>
      </c>
      <c r="E170" s="571" t="s">
        <v>2066</v>
      </c>
      <c r="F170" s="555" t="s">
        <v>439</v>
      </c>
      <c r="G170" s="561" t="s">
        <v>440</v>
      </c>
      <c r="H170" s="561"/>
      <c r="I170" s="555" t="s">
        <v>439</v>
      </c>
      <c r="J170" s="561" t="s">
        <v>441</v>
      </c>
      <c r="K170" s="570"/>
      <c r="L170" s="570"/>
      <c r="M170" s="561">
        <v>321.14999999999998</v>
      </c>
      <c r="N170" s="332" t="s">
        <v>442</v>
      </c>
      <c r="O170" s="332" t="s">
        <v>443</v>
      </c>
      <c r="P170" s="76" t="s">
        <v>36</v>
      </c>
      <c r="Q170" s="102">
        <f>9227.6/10000</f>
        <v>0.92276000000000002</v>
      </c>
      <c r="R170" s="102">
        <f>Q170</f>
        <v>0.92276000000000002</v>
      </c>
      <c r="S170" s="332" t="s">
        <v>279</v>
      </c>
      <c r="T170" s="333">
        <f>4227.6/10000</f>
        <v>0.42276000000000002</v>
      </c>
      <c r="U170" s="344">
        <f t="shared" ref="U170:U175" si="11">T170/Q170</f>
        <v>0.45814729723871866</v>
      </c>
      <c r="V170" s="498">
        <f>SUM(Q170:Q175)</f>
        <v>26.946306</v>
      </c>
      <c r="W170" s="498">
        <f>SUM(T170:T175)</f>
        <v>22.743859999999998</v>
      </c>
      <c r="X170" s="504">
        <f>W170/V170</f>
        <v>0.84404370677004847</v>
      </c>
      <c r="Y170" s="504">
        <f>W170/M170</f>
        <v>7.082005293476569E-2</v>
      </c>
      <c r="Z170" s="332" t="s">
        <v>258</v>
      </c>
      <c r="AA170" s="98"/>
    </row>
    <row r="171" spans="1:27">
      <c r="A171" s="475"/>
      <c r="B171" s="529"/>
      <c r="C171" s="555"/>
      <c r="D171" s="572"/>
      <c r="E171" s="572"/>
      <c r="F171" s="555"/>
      <c r="G171" s="561"/>
      <c r="H171" s="561"/>
      <c r="I171" s="555"/>
      <c r="J171" s="561"/>
      <c r="K171" s="570"/>
      <c r="L171" s="570"/>
      <c r="M171" s="561"/>
      <c r="N171" s="332" t="s">
        <v>444</v>
      </c>
      <c r="O171" s="332" t="s">
        <v>443</v>
      </c>
      <c r="P171" s="76" t="s">
        <v>36</v>
      </c>
      <c r="Q171" s="102">
        <f>T171/0.9</f>
        <v>17.765900000000002</v>
      </c>
      <c r="R171" s="102">
        <f t="shared" ref="R171:R175" si="12">Q171</f>
        <v>17.765900000000002</v>
      </c>
      <c r="S171" s="332" t="s">
        <v>445</v>
      </c>
      <c r="T171" s="333">
        <f>159893.1/10000</f>
        <v>15.989310000000001</v>
      </c>
      <c r="U171" s="344">
        <f t="shared" si="11"/>
        <v>0.9</v>
      </c>
      <c r="V171" s="499"/>
      <c r="W171" s="499"/>
      <c r="X171" s="505"/>
      <c r="Y171" s="505"/>
      <c r="Z171" s="332" t="s">
        <v>258</v>
      </c>
      <c r="AA171" s="98"/>
    </row>
    <row r="172" spans="1:27" ht="48" hidden="1" customHeight="1">
      <c r="A172" s="475"/>
      <c r="B172" s="529"/>
      <c r="C172" s="555"/>
      <c r="D172" s="572"/>
      <c r="E172" s="572"/>
      <c r="F172" s="555"/>
      <c r="G172" s="561"/>
      <c r="H172" s="561"/>
      <c r="I172" s="555"/>
      <c r="J172" s="561"/>
      <c r="K172" s="570"/>
      <c r="L172" s="570"/>
      <c r="M172" s="561"/>
      <c r="N172" s="332" t="s">
        <v>446</v>
      </c>
      <c r="O172" s="332" t="s">
        <v>447</v>
      </c>
      <c r="P172" s="76" t="s">
        <v>27</v>
      </c>
      <c r="Q172" s="102">
        <f>8122.93/10000</f>
        <v>0.81229300000000004</v>
      </c>
      <c r="R172" s="102">
        <f t="shared" si="12"/>
        <v>0.81229300000000004</v>
      </c>
      <c r="S172" s="332" t="s">
        <v>448</v>
      </c>
      <c r="T172" s="333">
        <f>7550.9/10000</f>
        <v>0.75508999999999993</v>
      </c>
      <c r="U172" s="344">
        <f t="shared" si="11"/>
        <v>0.92957836642689262</v>
      </c>
      <c r="V172" s="499"/>
      <c r="W172" s="499"/>
      <c r="X172" s="505"/>
      <c r="Y172" s="505"/>
      <c r="Z172" s="332" t="s">
        <v>258</v>
      </c>
      <c r="AA172" s="98"/>
    </row>
    <row r="173" spans="1:27" ht="24" hidden="1" customHeight="1">
      <c r="A173" s="475"/>
      <c r="B173" s="529"/>
      <c r="C173" s="555"/>
      <c r="D173" s="572"/>
      <c r="E173" s="572"/>
      <c r="F173" s="555"/>
      <c r="G173" s="561"/>
      <c r="H173" s="561"/>
      <c r="I173" s="555"/>
      <c r="J173" s="561"/>
      <c r="K173" s="570"/>
      <c r="L173" s="570"/>
      <c r="M173" s="561"/>
      <c r="N173" s="332" t="s">
        <v>449</v>
      </c>
      <c r="O173" s="332" t="s">
        <v>450</v>
      </c>
      <c r="P173" s="76" t="s">
        <v>27</v>
      </c>
      <c r="Q173" s="102">
        <f>7421.98/10000</f>
        <v>0.74219799999999991</v>
      </c>
      <c r="R173" s="102">
        <f t="shared" si="12"/>
        <v>0.74219799999999991</v>
      </c>
      <c r="S173" s="332" t="s">
        <v>451</v>
      </c>
      <c r="T173" s="333">
        <f>6354.9/10000</f>
        <v>0.63549</v>
      </c>
      <c r="U173" s="344">
        <f t="shared" si="11"/>
        <v>0.85622704453528586</v>
      </c>
      <c r="V173" s="499"/>
      <c r="W173" s="499"/>
      <c r="X173" s="505"/>
      <c r="Y173" s="505"/>
      <c r="Z173" s="332" t="s">
        <v>258</v>
      </c>
      <c r="AA173" s="98"/>
    </row>
    <row r="174" spans="1:27" ht="24" hidden="1" customHeight="1">
      <c r="A174" s="475"/>
      <c r="B174" s="529"/>
      <c r="C174" s="555"/>
      <c r="D174" s="572"/>
      <c r="E174" s="572"/>
      <c r="F174" s="555"/>
      <c r="G174" s="561"/>
      <c r="H174" s="561"/>
      <c r="I174" s="555"/>
      <c r="J174" s="561"/>
      <c r="K174" s="570"/>
      <c r="L174" s="570"/>
      <c r="M174" s="561"/>
      <c r="N174" s="332" t="s">
        <v>452</v>
      </c>
      <c r="O174" s="332" t="s">
        <v>453</v>
      </c>
      <c r="P174" s="76" t="s">
        <v>27</v>
      </c>
      <c r="Q174" s="102">
        <f>214.21/10000</f>
        <v>2.1420999999999999E-2</v>
      </c>
      <c r="R174" s="102">
        <f t="shared" si="12"/>
        <v>2.1420999999999999E-2</v>
      </c>
      <c r="S174" s="332" t="s">
        <v>273</v>
      </c>
      <c r="T174" s="333">
        <f>160.11/10000</f>
        <v>1.6011000000000001E-2</v>
      </c>
      <c r="U174" s="344">
        <f t="shared" si="11"/>
        <v>0.74744409691424307</v>
      </c>
      <c r="V174" s="499"/>
      <c r="W174" s="499"/>
      <c r="X174" s="505"/>
      <c r="Y174" s="505"/>
      <c r="Z174" s="332" t="s">
        <v>258</v>
      </c>
      <c r="AA174" s="98"/>
    </row>
    <row r="175" spans="1:27" ht="36" hidden="1" customHeight="1">
      <c r="A175" s="475"/>
      <c r="B175" s="529"/>
      <c r="C175" s="555"/>
      <c r="D175" s="573"/>
      <c r="E175" s="573"/>
      <c r="F175" s="555"/>
      <c r="G175" s="561"/>
      <c r="H175" s="561"/>
      <c r="I175" s="555"/>
      <c r="J175" s="561"/>
      <c r="K175" s="570"/>
      <c r="L175" s="570"/>
      <c r="M175" s="561"/>
      <c r="N175" s="332" t="s">
        <v>454</v>
      </c>
      <c r="O175" s="332" t="s">
        <v>455</v>
      </c>
      <c r="P175" s="76" t="s">
        <v>27</v>
      </c>
      <c r="Q175" s="102">
        <f>66817.34/10000</f>
        <v>6.6817339999999996</v>
      </c>
      <c r="R175" s="102">
        <f t="shared" si="12"/>
        <v>6.6817339999999996</v>
      </c>
      <c r="S175" s="332">
        <v>2015.3</v>
      </c>
      <c r="T175" s="333">
        <f>49251.99/10000</f>
        <v>4.9251990000000001</v>
      </c>
      <c r="U175" s="344">
        <f t="shared" si="11"/>
        <v>0.73711389887714784</v>
      </c>
      <c r="V175" s="500"/>
      <c r="W175" s="500"/>
      <c r="X175" s="506"/>
      <c r="Y175" s="506"/>
      <c r="Z175" s="332" t="s">
        <v>258</v>
      </c>
      <c r="AA175" s="98"/>
    </row>
    <row r="176" spans="1:27">
      <c r="A176" s="475"/>
      <c r="B176" s="529">
        <v>13</v>
      </c>
      <c r="C176" s="555" t="s">
        <v>456</v>
      </c>
      <c r="D176" s="558">
        <v>49445.197800000002</v>
      </c>
      <c r="E176" s="558" t="s">
        <v>2067</v>
      </c>
      <c r="F176" s="555" t="s">
        <v>457</v>
      </c>
      <c r="G176" s="561">
        <v>222.04</v>
      </c>
      <c r="H176" s="561"/>
      <c r="I176" s="555" t="s">
        <v>372</v>
      </c>
      <c r="J176" s="561">
        <v>63</v>
      </c>
      <c r="K176" s="561"/>
      <c r="L176" s="561"/>
      <c r="M176" s="561">
        <f>SUM(G176,H176,J176,L176)</f>
        <v>285.03999999999996</v>
      </c>
      <c r="N176" s="332" t="s">
        <v>458</v>
      </c>
      <c r="O176" s="332" t="s">
        <v>459</v>
      </c>
      <c r="P176" s="76" t="s">
        <v>36</v>
      </c>
      <c r="Q176" s="102">
        <v>20</v>
      </c>
      <c r="R176" s="102">
        <v>25</v>
      </c>
      <c r="S176" s="332">
        <v>2014.9</v>
      </c>
      <c r="T176" s="333">
        <v>17.2196</v>
      </c>
      <c r="U176" s="344">
        <f>T176/Q176</f>
        <v>0.86097999999999997</v>
      </c>
      <c r="V176" s="501">
        <f>SUM(Q176:Q177)</f>
        <v>22</v>
      </c>
      <c r="W176" s="501">
        <f>SUM(T176:T177)</f>
        <v>17.886299999999999</v>
      </c>
      <c r="X176" s="504">
        <f>W176/V176</f>
        <v>0.81301363636363633</v>
      </c>
      <c r="Y176" s="504">
        <f>W176/M176</f>
        <v>6.2750140331181592E-2</v>
      </c>
      <c r="Z176" s="332" t="s">
        <v>299</v>
      </c>
      <c r="AA176" s="98"/>
    </row>
    <row r="177" spans="1:27">
      <c r="A177" s="475"/>
      <c r="B177" s="529"/>
      <c r="C177" s="555"/>
      <c r="D177" s="560"/>
      <c r="E177" s="560"/>
      <c r="F177" s="555"/>
      <c r="G177" s="561"/>
      <c r="H177" s="561"/>
      <c r="I177" s="555"/>
      <c r="J177" s="561"/>
      <c r="K177" s="561"/>
      <c r="L177" s="561"/>
      <c r="M177" s="561"/>
      <c r="N177" s="332" t="s">
        <v>262</v>
      </c>
      <c r="O177" s="332" t="s">
        <v>459</v>
      </c>
      <c r="P177" s="76" t="s">
        <v>36</v>
      </c>
      <c r="Q177" s="102">
        <v>2</v>
      </c>
      <c r="R177" s="102">
        <v>4</v>
      </c>
      <c r="S177" s="332">
        <v>2014.12</v>
      </c>
      <c r="T177" s="333">
        <v>0.66669999999999996</v>
      </c>
      <c r="U177" s="344">
        <f>T177/Q177</f>
        <v>0.33334999999999998</v>
      </c>
      <c r="V177" s="503"/>
      <c r="W177" s="503"/>
      <c r="X177" s="506"/>
      <c r="Y177" s="506"/>
      <c r="Z177" s="332" t="s">
        <v>299</v>
      </c>
      <c r="AA177" s="98"/>
    </row>
    <row r="178" spans="1:27" ht="156">
      <c r="A178" s="475"/>
      <c r="B178" s="126">
        <v>14</v>
      </c>
      <c r="C178" s="332" t="s">
        <v>1918</v>
      </c>
      <c r="D178" s="373">
        <v>158277</v>
      </c>
      <c r="E178" s="374" t="s">
        <v>2068</v>
      </c>
      <c r="F178" s="332" t="s">
        <v>266</v>
      </c>
      <c r="G178" s="333">
        <v>713.48400500000002</v>
      </c>
      <c r="H178" s="333">
        <v>24.9</v>
      </c>
      <c r="I178" s="332" t="s">
        <v>267</v>
      </c>
      <c r="J178" s="333">
        <v>174.6318</v>
      </c>
      <c r="K178" s="333"/>
      <c r="L178" s="333"/>
      <c r="M178" s="333">
        <f>SUM(G178,H178,J178,L178)</f>
        <v>913.015805</v>
      </c>
      <c r="N178" s="332" t="s">
        <v>460</v>
      </c>
      <c r="O178" s="332" t="s">
        <v>1919</v>
      </c>
      <c r="P178" s="76" t="s">
        <v>36</v>
      </c>
      <c r="Q178" s="102">
        <v>32.004899999999999</v>
      </c>
      <c r="R178" s="102">
        <v>32.004899999999999</v>
      </c>
      <c r="S178" s="332" t="s">
        <v>461</v>
      </c>
      <c r="T178" s="333">
        <v>16.857900000000001</v>
      </c>
      <c r="U178" s="344">
        <f>T178/Q178</f>
        <v>0.52672871966480139</v>
      </c>
      <c r="V178" s="101">
        <f>SUM(Q178)</f>
        <v>32.004899999999999</v>
      </c>
      <c r="W178" s="101">
        <f>SUM(T178)</f>
        <v>16.857900000000001</v>
      </c>
      <c r="X178" s="103">
        <f>W178/V178</f>
        <v>0.52672871966480139</v>
      </c>
      <c r="Y178" s="103">
        <f>W178/M178</f>
        <v>1.8463973906782481E-2</v>
      </c>
      <c r="Z178" s="332" t="s">
        <v>258</v>
      </c>
      <c r="AA178" s="98"/>
    </row>
    <row r="179" spans="1:27" ht="48" hidden="1" customHeight="1">
      <c r="A179" s="475" t="s">
        <v>1829</v>
      </c>
      <c r="B179" s="339">
        <v>1</v>
      </c>
      <c r="C179" s="127" t="s">
        <v>463</v>
      </c>
      <c r="D179" s="375">
        <v>48968</v>
      </c>
      <c r="E179" s="375" t="s">
        <v>2069</v>
      </c>
      <c r="F179" s="128" t="s">
        <v>464</v>
      </c>
      <c r="G179" s="325">
        <v>91.500439</v>
      </c>
      <c r="H179" s="129"/>
      <c r="I179" s="128" t="s">
        <v>464</v>
      </c>
      <c r="J179" s="129"/>
      <c r="K179" s="129"/>
      <c r="L179" s="129"/>
      <c r="M179" s="325">
        <f t="shared" ref="M179:M185" si="13">SUM(G179,H179,J179,L179)</f>
        <v>91.500439</v>
      </c>
      <c r="N179" s="342"/>
      <c r="O179" s="342"/>
      <c r="P179" s="342"/>
      <c r="Q179" s="347"/>
      <c r="R179" s="347"/>
      <c r="S179" s="342"/>
      <c r="T179" s="325"/>
      <c r="U179" s="16"/>
      <c r="V179" s="25"/>
      <c r="W179" s="25"/>
      <c r="X179" s="25"/>
      <c r="Y179" s="25"/>
      <c r="Z179" s="342" t="s">
        <v>167</v>
      </c>
      <c r="AA179" s="98"/>
    </row>
    <row r="180" spans="1:27" ht="36" hidden="1" customHeight="1">
      <c r="A180" s="475"/>
      <c r="B180" s="131">
        <v>2</v>
      </c>
      <c r="C180" s="127" t="s">
        <v>465</v>
      </c>
      <c r="D180" s="376">
        <v>62736.014947000003</v>
      </c>
      <c r="E180" s="376" t="s">
        <v>2070</v>
      </c>
      <c r="F180" s="128" t="s">
        <v>466</v>
      </c>
      <c r="G180" s="325">
        <v>178.72139999999999</v>
      </c>
      <c r="H180" s="325">
        <v>0.35</v>
      </c>
      <c r="I180" s="128" t="s">
        <v>466</v>
      </c>
      <c r="J180" s="325">
        <v>29.433599999999998</v>
      </c>
      <c r="K180" s="325"/>
      <c r="L180" s="325"/>
      <c r="M180" s="325">
        <f t="shared" si="13"/>
        <v>208.505</v>
      </c>
      <c r="N180" s="342" t="s">
        <v>1920</v>
      </c>
      <c r="O180" s="128" t="s">
        <v>467</v>
      </c>
      <c r="P180" s="76" t="s">
        <v>27</v>
      </c>
      <c r="Q180" s="347">
        <v>5.831982</v>
      </c>
      <c r="R180" s="347">
        <v>5.831982</v>
      </c>
      <c r="S180" s="342" t="s">
        <v>468</v>
      </c>
      <c r="T180" s="325">
        <v>4.7360440000000006</v>
      </c>
      <c r="U180" s="16">
        <f t="shared" ref="U180" si="14">T180/Q180</f>
        <v>0.81208138159548515</v>
      </c>
      <c r="V180" s="25">
        <f>Q180</f>
        <v>5.831982</v>
      </c>
      <c r="W180" s="25">
        <f>T180</f>
        <v>4.7360440000000006</v>
      </c>
      <c r="X180" s="46">
        <f>W180/V180</f>
        <v>0.81208138159548515</v>
      </c>
      <c r="Y180" s="46">
        <f>W180/M180</f>
        <v>2.2714294621232107E-2</v>
      </c>
      <c r="Z180" s="128" t="s">
        <v>469</v>
      </c>
      <c r="AA180" s="98"/>
    </row>
    <row r="181" spans="1:27" ht="36" hidden="1" customHeight="1">
      <c r="A181" s="475"/>
      <c r="B181" s="131">
        <v>3</v>
      </c>
      <c r="C181" s="127" t="s">
        <v>470</v>
      </c>
      <c r="D181" s="376">
        <v>68279.576799999995</v>
      </c>
      <c r="E181" s="376" t="s">
        <v>2071</v>
      </c>
      <c r="F181" s="128" t="s">
        <v>471</v>
      </c>
      <c r="G181" s="325">
        <v>194.51277400000001</v>
      </c>
      <c r="H181" s="325">
        <v>0.35</v>
      </c>
      <c r="I181" s="128" t="s">
        <v>471</v>
      </c>
      <c r="J181" s="325">
        <v>31.9986</v>
      </c>
      <c r="K181" s="304"/>
      <c r="L181" s="325"/>
      <c r="M181" s="325">
        <f>SUM(H181,G181,J181,L181)</f>
        <v>226.86137400000001</v>
      </c>
      <c r="N181" s="342" t="s">
        <v>472</v>
      </c>
      <c r="O181" s="128" t="s">
        <v>473</v>
      </c>
      <c r="P181" s="76" t="s">
        <v>27</v>
      </c>
      <c r="Q181" s="347">
        <f>10528.79/10000</f>
        <v>1.0528790000000001</v>
      </c>
      <c r="R181" s="347">
        <f>10528.79/10000</f>
        <v>1.0528790000000001</v>
      </c>
      <c r="S181" s="342" t="s">
        <v>468</v>
      </c>
      <c r="T181" s="325">
        <f>8886.97/10000</f>
        <v>0.88869699999999996</v>
      </c>
      <c r="U181" s="16">
        <f>T181/Q181</f>
        <v>0.84406375281490076</v>
      </c>
      <c r="V181" s="25">
        <f>Q181</f>
        <v>1.0528790000000001</v>
      </c>
      <c r="W181" s="25">
        <f>T181</f>
        <v>0.88869699999999996</v>
      </c>
      <c r="X181" s="25">
        <f>W181/V181</f>
        <v>0.84406375281490076</v>
      </c>
      <c r="Y181" s="25">
        <f>W181/M181</f>
        <v>3.9173570376065869E-3</v>
      </c>
      <c r="Z181" s="128" t="s">
        <v>469</v>
      </c>
      <c r="AA181" s="98"/>
    </row>
    <row r="182" spans="1:27" ht="48">
      <c r="A182" s="475"/>
      <c r="B182" s="131">
        <v>4</v>
      </c>
      <c r="C182" s="127" t="s">
        <v>474</v>
      </c>
      <c r="D182" s="376">
        <v>74337.583599999998</v>
      </c>
      <c r="E182" s="376" t="s">
        <v>2072</v>
      </c>
      <c r="F182" s="342" t="s">
        <v>475</v>
      </c>
      <c r="G182" s="325">
        <v>692.93517499999996</v>
      </c>
      <c r="H182" s="325">
        <v>17.991</v>
      </c>
      <c r="I182" s="342" t="s">
        <v>476</v>
      </c>
      <c r="J182" s="325">
        <v>188.99199999999999</v>
      </c>
      <c r="K182" s="325"/>
      <c r="L182" s="325"/>
      <c r="M182" s="325">
        <f t="shared" si="13"/>
        <v>899.91817499999991</v>
      </c>
      <c r="N182" s="342" t="s">
        <v>477</v>
      </c>
      <c r="O182" s="128" t="s">
        <v>478</v>
      </c>
      <c r="P182" s="76" t="s">
        <v>36</v>
      </c>
      <c r="Q182" s="347">
        <v>3.3395999999999999</v>
      </c>
      <c r="R182" s="347"/>
      <c r="S182" s="342" t="s">
        <v>1921</v>
      </c>
      <c r="T182" s="325"/>
      <c r="U182" s="133"/>
      <c r="V182" s="581">
        <f>SUM(Q182:Q184)</f>
        <v>97.544999999999987</v>
      </c>
      <c r="W182" s="581">
        <f>SUM(T182:T184)</f>
        <v>79.846499999999992</v>
      </c>
      <c r="X182" s="584">
        <f>W182/V182</f>
        <v>0.81856066430878061</v>
      </c>
      <c r="Y182" s="584">
        <f>W182/M182</f>
        <v>8.8726400041870476E-2</v>
      </c>
      <c r="Z182" s="128" t="s">
        <v>167</v>
      </c>
      <c r="AA182" s="98"/>
    </row>
    <row r="183" spans="1:27" ht="24">
      <c r="A183" s="475"/>
      <c r="B183" s="131"/>
      <c r="C183" s="127"/>
      <c r="D183" s="127"/>
      <c r="E183" s="127"/>
      <c r="F183" s="134"/>
      <c r="G183" s="135"/>
      <c r="H183" s="135"/>
      <c r="I183" s="134"/>
      <c r="J183" s="135"/>
      <c r="K183" s="135"/>
      <c r="L183" s="135"/>
      <c r="M183" s="325"/>
      <c r="N183" s="342" t="s">
        <v>479</v>
      </c>
      <c r="O183" s="128" t="s">
        <v>478</v>
      </c>
      <c r="P183" s="76" t="s">
        <v>36</v>
      </c>
      <c r="Q183" s="347">
        <v>32.934100000000001</v>
      </c>
      <c r="R183" s="347">
        <v>32.934100000000001</v>
      </c>
      <c r="S183" s="342" t="s">
        <v>480</v>
      </c>
      <c r="T183" s="135">
        <v>28.575199999999999</v>
      </c>
      <c r="U183" s="16">
        <f t="shared" ref="U183:U184" si="15">T183/Q183</f>
        <v>0.86764781791516998</v>
      </c>
      <c r="V183" s="582"/>
      <c r="W183" s="582"/>
      <c r="X183" s="585"/>
      <c r="Y183" s="585"/>
      <c r="Z183" s="128" t="s">
        <v>167</v>
      </c>
      <c r="AA183" s="98"/>
    </row>
    <row r="184" spans="1:27" ht="24">
      <c r="A184" s="475"/>
      <c r="B184" s="131"/>
      <c r="C184" s="127"/>
      <c r="D184" s="127"/>
      <c r="E184" s="127"/>
      <c r="F184" s="134"/>
      <c r="G184" s="135"/>
      <c r="H184" s="135"/>
      <c r="I184" s="134"/>
      <c r="J184" s="135"/>
      <c r="K184" s="135"/>
      <c r="L184" s="135"/>
      <c r="M184" s="325"/>
      <c r="N184" s="342" t="s">
        <v>481</v>
      </c>
      <c r="O184" s="128" t="s">
        <v>482</v>
      </c>
      <c r="P184" s="76" t="s">
        <v>36</v>
      </c>
      <c r="Q184" s="347">
        <v>61.271299999999997</v>
      </c>
      <c r="R184" s="347">
        <v>61.271299999999997</v>
      </c>
      <c r="S184" s="342" t="s">
        <v>480</v>
      </c>
      <c r="T184" s="135">
        <v>51.271299999999997</v>
      </c>
      <c r="U184" s="16">
        <f t="shared" si="15"/>
        <v>0.83679145048334214</v>
      </c>
      <c r="V184" s="583"/>
      <c r="W184" s="583"/>
      <c r="X184" s="586"/>
      <c r="Y184" s="586"/>
      <c r="Z184" s="128" t="s">
        <v>167</v>
      </c>
      <c r="AA184" s="98"/>
    </row>
    <row r="185" spans="1:27" ht="48">
      <c r="A185" s="475"/>
      <c r="B185" s="131">
        <v>5</v>
      </c>
      <c r="C185" s="127" t="s">
        <v>483</v>
      </c>
      <c r="D185" s="376">
        <v>23361.490300000001</v>
      </c>
      <c r="E185" s="376" t="s">
        <v>2073</v>
      </c>
      <c r="F185" s="342" t="s">
        <v>394</v>
      </c>
      <c r="G185" s="325">
        <v>83.9285</v>
      </c>
      <c r="H185" s="325">
        <v>1</v>
      </c>
      <c r="I185" s="342" t="s">
        <v>255</v>
      </c>
      <c r="J185" s="325">
        <v>32.535699999999999</v>
      </c>
      <c r="K185" s="136" t="s">
        <v>484</v>
      </c>
      <c r="L185" s="325">
        <v>42.050600000000003</v>
      </c>
      <c r="M185" s="325">
        <f t="shared" si="13"/>
        <v>159.51480000000001</v>
      </c>
      <c r="N185" s="342" t="s">
        <v>485</v>
      </c>
      <c r="O185" s="128" t="s">
        <v>486</v>
      </c>
      <c r="P185" s="76" t="s">
        <v>36</v>
      </c>
      <c r="Q185" s="347">
        <v>50.288400000000003</v>
      </c>
      <c r="R185" s="347">
        <v>50.288400000000003</v>
      </c>
      <c r="S185" s="342" t="s">
        <v>487</v>
      </c>
      <c r="T185" s="325">
        <v>30.288399999999999</v>
      </c>
      <c r="U185" s="16">
        <f>T185/Q185</f>
        <v>0.60229396839032456</v>
      </c>
      <c r="V185" s="575">
        <f>SUM(Q185:Q187)</f>
        <v>67.695499999999996</v>
      </c>
      <c r="W185" s="575">
        <f>SUM(T185:T187)</f>
        <v>46.343000000000004</v>
      </c>
      <c r="X185" s="578">
        <f>W185/V185</f>
        <v>0.68458021581936768</v>
      </c>
      <c r="Y185" s="578">
        <f>W185/M185</f>
        <v>0.2905247663539684</v>
      </c>
      <c r="Z185" s="128" t="s">
        <v>488</v>
      </c>
      <c r="AA185" s="98"/>
    </row>
    <row r="186" spans="1:27" ht="24">
      <c r="A186" s="475"/>
      <c r="B186" s="131"/>
      <c r="C186" s="127"/>
      <c r="D186" s="127"/>
      <c r="E186" s="127"/>
      <c r="F186" s="127"/>
      <c r="G186" s="341"/>
      <c r="H186" s="341"/>
      <c r="I186" s="127"/>
      <c r="J186" s="341"/>
      <c r="K186" s="341"/>
      <c r="L186" s="341"/>
      <c r="M186" s="325"/>
      <c r="N186" s="342" t="s">
        <v>489</v>
      </c>
      <c r="O186" s="128" t="s">
        <v>490</v>
      </c>
      <c r="P186" s="76" t="s">
        <v>36</v>
      </c>
      <c r="Q186" s="347">
        <v>5.7591000000000001</v>
      </c>
      <c r="R186" s="347">
        <v>5.7591000000000001</v>
      </c>
      <c r="S186" s="342" t="s">
        <v>491</v>
      </c>
      <c r="T186" s="325">
        <v>5.4444999999999997</v>
      </c>
      <c r="U186" s="16">
        <f>T186/Q186</f>
        <v>0.94537340903960676</v>
      </c>
      <c r="V186" s="576"/>
      <c r="W186" s="576"/>
      <c r="X186" s="579"/>
      <c r="Y186" s="579"/>
      <c r="Z186" s="128" t="s">
        <v>488</v>
      </c>
      <c r="AA186" s="98"/>
    </row>
    <row r="187" spans="1:27" ht="24">
      <c r="A187" s="475"/>
      <c r="B187" s="131"/>
      <c r="C187" s="127"/>
      <c r="D187" s="127"/>
      <c r="E187" s="127"/>
      <c r="F187" s="127"/>
      <c r="G187" s="341"/>
      <c r="H187" s="341"/>
      <c r="I187" s="127"/>
      <c r="J187" s="341"/>
      <c r="K187" s="341"/>
      <c r="L187" s="341"/>
      <c r="M187" s="325"/>
      <c r="N187" s="342" t="s">
        <v>492</v>
      </c>
      <c r="O187" s="128" t="s">
        <v>493</v>
      </c>
      <c r="P187" s="76" t="s">
        <v>36</v>
      </c>
      <c r="Q187" s="347">
        <v>11.648</v>
      </c>
      <c r="R187" s="347">
        <v>11.648</v>
      </c>
      <c r="S187" s="342" t="s">
        <v>480</v>
      </c>
      <c r="T187" s="325">
        <v>10.610099999999999</v>
      </c>
      <c r="U187" s="16">
        <f>T187/Q187</f>
        <v>0.91089457417582409</v>
      </c>
      <c r="V187" s="577"/>
      <c r="W187" s="577"/>
      <c r="X187" s="580"/>
      <c r="Y187" s="580"/>
      <c r="Z187" s="128" t="s">
        <v>488</v>
      </c>
      <c r="AA187" s="98"/>
    </row>
    <row r="188" spans="1:27" ht="36">
      <c r="A188" s="475"/>
      <c r="B188" s="131">
        <v>6</v>
      </c>
      <c r="C188" s="127" t="s">
        <v>494</v>
      </c>
      <c r="D188" s="376">
        <v>22929.3387</v>
      </c>
      <c r="E188" s="376" t="s">
        <v>2074</v>
      </c>
      <c r="F188" s="94" t="s">
        <v>495</v>
      </c>
      <c r="G188" s="325">
        <f>307.2201*0.27</f>
        <v>82.949427</v>
      </c>
      <c r="H188" s="325">
        <f>3*0.27</f>
        <v>0.81</v>
      </c>
      <c r="I188" s="94" t="s">
        <v>495</v>
      </c>
      <c r="J188" s="136">
        <f>62.96*0.27</f>
        <v>16.999200000000002</v>
      </c>
      <c r="K188" s="136"/>
      <c r="L188" s="136"/>
      <c r="M188" s="325">
        <f t="shared" ref="M188:M203" si="16">SUM(G188,H188,J188,L188)</f>
        <v>100.758627</v>
      </c>
      <c r="N188" s="342" t="s">
        <v>496</v>
      </c>
      <c r="O188" s="342" t="s">
        <v>497</v>
      </c>
      <c r="P188" s="76" t="s">
        <v>36</v>
      </c>
      <c r="Q188" s="347">
        <v>15</v>
      </c>
      <c r="R188" s="347">
        <v>231.4023</v>
      </c>
      <c r="S188" s="342">
        <v>2014.07</v>
      </c>
      <c r="T188" s="325">
        <v>20.473400000000002</v>
      </c>
      <c r="U188" s="16">
        <f t="shared" ref="U188:U192" si="17">T188/Q188</f>
        <v>1.3648933333333335</v>
      </c>
      <c r="V188" s="575">
        <f>SUM(Q188:Q191)</f>
        <v>105</v>
      </c>
      <c r="W188" s="575">
        <f>SUM(T188:T191)</f>
        <v>148.24510000000001</v>
      </c>
      <c r="X188" s="578">
        <f>W188/V188</f>
        <v>1.4118580952380952</v>
      </c>
      <c r="Y188" s="578">
        <f>W188/M188</f>
        <v>1.4712894013531963</v>
      </c>
      <c r="Z188" s="128" t="s">
        <v>498</v>
      </c>
      <c r="AA188" s="98"/>
    </row>
    <row r="189" spans="1:27" ht="24">
      <c r="A189" s="475"/>
      <c r="B189" s="131"/>
      <c r="C189" s="127"/>
      <c r="D189" s="127"/>
      <c r="E189" s="127"/>
      <c r="F189" s="94"/>
      <c r="G189" s="136"/>
      <c r="H189" s="136"/>
      <c r="I189" s="94"/>
      <c r="J189" s="136"/>
      <c r="K189" s="136"/>
      <c r="L189" s="136"/>
      <c r="M189" s="325"/>
      <c r="N189" s="342" t="s">
        <v>499</v>
      </c>
      <c r="O189" s="342" t="s">
        <v>497</v>
      </c>
      <c r="P189" s="76" t="s">
        <v>36</v>
      </c>
      <c r="Q189" s="347">
        <v>20</v>
      </c>
      <c r="R189" s="347">
        <v>24.966000000000001</v>
      </c>
      <c r="S189" s="342">
        <v>2014.07</v>
      </c>
      <c r="T189" s="325">
        <v>18.871700000000001</v>
      </c>
      <c r="U189" s="16">
        <f t="shared" si="17"/>
        <v>0.94358500000000001</v>
      </c>
      <c r="V189" s="576"/>
      <c r="W189" s="576"/>
      <c r="X189" s="579"/>
      <c r="Y189" s="579"/>
      <c r="Z189" s="128" t="s">
        <v>498</v>
      </c>
      <c r="AA189" s="98"/>
    </row>
    <row r="190" spans="1:27" ht="24">
      <c r="A190" s="475"/>
      <c r="B190" s="131"/>
      <c r="C190" s="127"/>
      <c r="D190" s="127"/>
      <c r="E190" s="127"/>
      <c r="F190" s="94"/>
      <c r="G190" s="136"/>
      <c r="H190" s="136"/>
      <c r="I190" s="94"/>
      <c r="J190" s="136"/>
      <c r="K190" s="136"/>
      <c r="L190" s="136"/>
      <c r="M190" s="325"/>
      <c r="N190" s="342" t="s">
        <v>500</v>
      </c>
      <c r="O190" s="342" t="s">
        <v>497</v>
      </c>
      <c r="P190" s="76" t="s">
        <v>36</v>
      </c>
      <c r="Q190" s="347">
        <v>50</v>
      </c>
      <c r="R190" s="347">
        <v>78.971900000000005</v>
      </c>
      <c r="S190" s="342">
        <v>2014.12</v>
      </c>
      <c r="T190" s="325">
        <v>78.900000000000006</v>
      </c>
      <c r="U190" s="16">
        <f t="shared" si="17"/>
        <v>1.5780000000000001</v>
      </c>
      <c r="V190" s="576"/>
      <c r="W190" s="576"/>
      <c r="X190" s="579"/>
      <c r="Y190" s="579"/>
      <c r="Z190" s="128" t="s">
        <v>498</v>
      </c>
      <c r="AA190" s="98"/>
    </row>
    <row r="191" spans="1:27" ht="24">
      <c r="A191" s="475"/>
      <c r="B191" s="131"/>
      <c r="C191" s="127"/>
      <c r="D191" s="127"/>
      <c r="E191" s="127"/>
      <c r="F191" s="94"/>
      <c r="G191" s="136"/>
      <c r="H191" s="136"/>
      <c r="I191" s="94"/>
      <c r="J191" s="136"/>
      <c r="K191" s="136"/>
      <c r="L191" s="136"/>
      <c r="M191" s="325"/>
      <c r="N191" s="342" t="s">
        <v>501</v>
      </c>
      <c r="O191" s="342" t="s">
        <v>497</v>
      </c>
      <c r="P191" s="76" t="s">
        <v>36</v>
      </c>
      <c r="Q191" s="347">
        <v>20</v>
      </c>
      <c r="R191" s="347">
        <v>50</v>
      </c>
      <c r="S191" s="342">
        <v>2014.12</v>
      </c>
      <c r="T191" s="325">
        <v>30</v>
      </c>
      <c r="U191" s="16">
        <f t="shared" si="17"/>
        <v>1.5</v>
      </c>
      <c r="V191" s="577"/>
      <c r="W191" s="577"/>
      <c r="X191" s="580"/>
      <c r="Y191" s="580"/>
      <c r="Z191" s="128" t="s">
        <v>498</v>
      </c>
      <c r="AA191" s="98"/>
    </row>
    <row r="192" spans="1:27" ht="60">
      <c r="A192" s="475"/>
      <c r="B192" s="131">
        <v>7</v>
      </c>
      <c r="C192" s="127" t="s">
        <v>502</v>
      </c>
      <c r="D192" s="376">
        <v>94988.893400000001</v>
      </c>
      <c r="E192" s="376" t="s">
        <v>2075</v>
      </c>
      <c r="F192" s="342" t="s">
        <v>372</v>
      </c>
      <c r="G192" s="325">
        <v>515.54999999999995</v>
      </c>
      <c r="H192" s="325">
        <v>4.2</v>
      </c>
      <c r="I192" s="342" t="s">
        <v>394</v>
      </c>
      <c r="J192" s="325">
        <v>16.9511</v>
      </c>
      <c r="K192" s="325"/>
      <c r="L192" s="325"/>
      <c r="M192" s="325">
        <f t="shared" si="16"/>
        <v>536.7011</v>
      </c>
      <c r="N192" s="342" t="s">
        <v>503</v>
      </c>
      <c r="O192" s="342" t="s">
        <v>504</v>
      </c>
      <c r="P192" s="76" t="s">
        <v>36</v>
      </c>
      <c r="Q192" s="347">
        <v>15</v>
      </c>
      <c r="R192" s="347">
        <v>38</v>
      </c>
      <c r="S192" s="342" t="s">
        <v>505</v>
      </c>
      <c r="T192" s="325"/>
      <c r="U192" s="16">
        <f t="shared" si="17"/>
        <v>0</v>
      </c>
      <c r="V192" s="25">
        <f>Q191</f>
        <v>20</v>
      </c>
      <c r="W192" s="25">
        <f>T191</f>
        <v>30</v>
      </c>
      <c r="X192" s="46">
        <f>W192/V192</f>
        <v>1.5</v>
      </c>
      <c r="Y192" s="46">
        <f>W192/M192</f>
        <v>5.5897034680942523E-2</v>
      </c>
      <c r="Z192" s="128" t="s">
        <v>506</v>
      </c>
      <c r="AA192" s="98"/>
    </row>
    <row r="193" spans="1:27" ht="15" hidden="1" customHeight="1">
      <c r="A193" s="475"/>
      <c r="B193" s="131">
        <v>8</v>
      </c>
      <c r="C193" s="127" t="s">
        <v>1922</v>
      </c>
      <c r="D193" s="376">
        <v>62305.806299999997</v>
      </c>
      <c r="E193" s="376" t="s">
        <v>2076</v>
      </c>
      <c r="F193" s="342" t="s">
        <v>31</v>
      </c>
      <c r="G193" s="325">
        <v>156.06</v>
      </c>
      <c r="H193" s="325">
        <v>3.6</v>
      </c>
      <c r="I193" s="342" t="s">
        <v>507</v>
      </c>
      <c r="J193" s="325">
        <v>28</v>
      </c>
      <c r="K193" s="325"/>
      <c r="L193" s="325"/>
      <c r="M193" s="325">
        <f t="shared" si="16"/>
        <v>187.66</v>
      </c>
      <c r="N193" s="130"/>
      <c r="O193" s="130"/>
      <c r="P193" s="130"/>
      <c r="Q193" s="137"/>
      <c r="R193" s="137"/>
      <c r="S193" s="130"/>
      <c r="T193" s="129"/>
      <c r="U193" s="16"/>
      <c r="V193" s="25"/>
      <c r="W193" s="25"/>
      <c r="X193" s="25"/>
      <c r="Y193" s="25"/>
      <c r="Z193" s="128" t="s">
        <v>506</v>
      </c>
      <c r="AA193" s="98"/>
    </row>
    <row r="194" spans="1:27" ht="48">
      <c r="A194" s="475"/>
      <c r="B194" s="131">
        <v>9</v>
      </c>
      <c r="C194" s="127" t="s">
        <v>508</v>
      </c>
      <c r="D194" s="376">
        <v>32671.232800000002</v>
      </c>
      <c r="E194" s="376" t="s">
        <v>2077</v>
      </c>
      <c r="F194" s="342" t="s">
        <v>457</v>
      </c>
      <c r="G194" s="325">
        <v>41.04786</v>
      </c>
      <c r="H194" s="325">
        <v>1.5</v>
      </c>
      <c r="I194" s="342" t="s">
        <v>457</v>
      </c>
      <c r="J194" s="325">
        <v>32.251890000000003</v>
      </c>
      <c r="K194" s="325"/>
      <c r="L194" s="325"/>
      <c r="M194" s="325">
        <f t="shared" si="16"/>
        <v>74.799750000000003</v>
      </c>
      <c r="N194" s="342" t="s">
        <v>509</v>
      </c>
      <c r="O194" s="94" t="s">
        <v>1923</v>
      </c>
      <c r="P194" s="76" t="s">
        <v>36</v>
      </c>
      <c r="Q194" s="347">
        <v>167</v>
      </c>
      <c r="R194" s="347">
        <v>167</v>
      </c>
      <c r="S194" s="342" t="s">
        <v>271</v>
      </c>
      <c r="T194" s="325">
        <v>98.4</v>
      </c>
      <c r="U194" s="16">
        <f>T194/Q194</f>
        <v>0.58922155688622757</v>
      </c>
      <c r="V194" s="25">
        <f>Q194</f>
        <v>167</v>
      </c>
      <c r="W194" s="25">
        <f>T194</f>
        <v>98.4</v>
      </c>
      <c r="X194" s="46">
        <f>W194/V194</f>
        <v>0.58922155688622757</v>
      </c>
      <c r="Y194" s="46">
        <f>W194/M194</f>
        <v>1.3155124181564779</v>
      </c>
      <c r="Z194" s="128" t="s">
        <v>469</v>
      </c>
      <c r="AA194" s="98"/>
    </row>
    <row r="195" spans="1:27" ht="24" hidden="1" customHeight="1">
      <c r="A195" s="475"/>
      <c r="B195" s="131">
        <v>10</v>
      </c>
      <c r="C195" s="127" t="s">
        <v>510</v>
      </c>
      <c r="D195" s="376">
        <v>22966.0471</v>
      </c>
      <c r="E195" s="376" t="s">
        <v>2078</v>
      </c>
      <c r="F195" s="94" t="s">
        <v>242</v>
      </c>
      <c r="G195" s="136">
        <v>66.3643</v>
      </c>
      <c r="H195" s="136"/>
      <c r="I195" s="94"/>
      <c r="J195" s="136"/>
      <c r="K195" s="136"/>
      <c r="L195" s="136"/>
      <c r="M195" s="325">
        <f t="shared" si="16"/>
        <v>66.3643</v>
      </c>
      <c r="N195" s="94"/>
      <c r="O195" s="94"/>
      <c r="P195" s="342"/>
      <c r="Q195" s="95"/>
      <c r="R195" s="95"/>
      <c r="S195" s="94"/>
      <c r="T195" s="136"/>
      <c r="U195" s="16"/>
      <c r="V195" s="25"/>
      <c r="W195" s="25"/>
      <c r="X195" s="25"/>
      <c r="Y195" s="25"/>
      <c r="Z195" s="128" t="s">
        <v>511</v>
      </c>
      <c r="AA195" s="98"/>
    </row>
    <row r="196" spans="1:27" ht="15" hidden="1" customHeight="1">
      <c r="A196" s="475"/>
      <c r="B196" s="131">
        <v>11</v>
      </c>
      <c r="C196" s="127" t="s">
        <v>512</v>
      </c>
      <c r="D196" s="376">
        <v>85805.896399999998</v>
      </c>
      <c r="E196" s="376" t="s">
        <v>2079</v>
      </c>
      <c r="F196" s="94" t="s">
        <v>513</v>
      </c>
      <c r="G196" s="136">
        <v>1601.4</v>
      </c>
      <c r="H196" s="136" t="s">
        <v>514</v>
      </c>
      <c r="I196" s="94" t="s">
        <v>515</v>
      </c>
      <c r="J196" s="325">
        <v>745.5</v>
      </c>
      <c r="K196" s="144"/>
      <c r="L196" s="144"/>
      <c r="M196" s="325">
        <f t="shared" si="16"/>
        <v>2346.9</v>
      </c>
      <c r="N196" s="138"/>
      <c r="O196" s="138"/>
      <c r="P196" s="138"/>
      <c r="Q196" s="139"/>
      <c r="R196" s="139"/>
      <c r="S196" s="138"/>
      <c r="T196" s="144"/>
      <c r="U196" s="133"/>
      <c r="V196" s="140"/>
      <c r="W196" s="140"/>
      <c r="X196" s="140"/>
      <c r="Y196" s="140"/>
      <c r="Z196" s="128" t="s">
        <v>167</v>
      </c>
      <c r="AA196" s="98"/>
    </row>
    <row r="197" spans="1:27" ht="36" hidden="1" customHeight="1">
      <c r="A197" s="475"/>
      <c r="B197" s="131">
        <v>12</v>
      </c>
      <c r="C197" s="127" t="s">
        <v>516</v>
      </c>
      <c r="D197" s="376">
        <v>41793.5213</v>
      </c>
      <c r="E197" s="376" t="s">
        <v>2080</v>
      </c>
      <c r="F197" s="342"/>
      <c r="G197" s="325"/>
      <c r="H197" s="325"/>
      <c r="I197" s="94" t="s">
        <v>517</v>
      </c>
      <c r="J197" s="325">
        <v>49</v>
      </c>
      <c r="K197" s="144"/>
      <c r="L197" s="144"/>
      <c r="M197" s="325">
        <f>J197+J198</f>
        <v>60</v>
      </c>
      <c r="N197" s="342" t="s">
        <v>518</v>
      </c>
      <c r="O197" s="342" t="s">
        <v>519</v>
      </c>
      <c r="P197" s="76" t="s">
        <v>27</v>
      </c>
      <c r="Q197" s="347">
        <v>0.83572000000000002</v>
      </c>
      <c r="R197" s="347">
        <v>1.33572</v>
      </c>
      <c r="S197" s="342" t="s">
        <v>520</v>
      </c>
      <c r="T197" s="325">
        <v>0.70828100000000005</v>
      </c>
      <c r="U197" s="16">
        <f>T197/Q197</f>
        <v>0.84750993155602361</v>
      </c>
      <c r="V197" s="575">
        <f>SUM(Q197:Q198)</f>
        <v>2.82389</v>
      </c>
      <c r="W197" s="575">
        <f>SUM(T197:T198)</f>
        <v>2.4497260000000001</v>
      </c>
      <c r="X197" s="578">
        <f>W197/V197</f>
        <v>0.8675005046230555</v>
      </c>
      <c r="Y197" s="578">
        <f>W197/M197</f>
        <v>4.0828766666666669E-2</v>
      </c>
      <c r="Z197" s="128" t="s">
        <v>167</v>
      </c>
      <c r="AA197" s="98"/>
    </row>
    <row r="198" spans="1:27" ht="24" hidden="1" customHeight="1">
      <c r="A198" s="475"/>
      <c r="B198" s="131"/>
      <c r="C198" s="127"/>
      <c r="D198" s="127"/>
      <c r="E198" s="127"/>
      <c r="F198" s="342"/>
      <c r="G198" s="325"/>
      <c r="H198" s="325"/>
      <c r="I198" s="94" t="s">
        <v>521</v>
      </c>
      <c r="J198" s="325">
        <v>11</v>
      </c>
      <c r="K198" s="135"/>
      <c r="L198" s="135"/>
      <c r="M198" s="325"/>
      <c r="N198" s="342" t="s">
        <v>522</v>
      </c>
      <c r="O198" s="342" t="s">
        <v>523</v>
      </c>
      <c r="P198" s="76" t="s">
        <v>27</v>
      </c>
      <c r="Q198" s="347">
        <v>1.98817</v>
      </c>
      <c r="R198" s="347">
        <v>2.4881700000000002</v>
      </c>
      <c r="S198" s="342" t="s">
        <v>524</v>
      </c>
      <c r="T198" s="325">
        <v>1.7414450000000001</v>
      </c>
      <c r="U198" s="16">
        <f>T198/Q198</f>
        <v>0.87590346901924898</v>
      </c>
      <c r="V198" s="577"/>
      <c r="W198" s="577"/>
      <c r="X198" s="580"/>
      <c r="Y198" s="580"/>
      <c r="Z198" s="128" t="s">
        <v>167</v>
      </c>
      <c r="AA198" s="98"/>
    </row>
    <row r="199" spans="1:27" ht="24" hidden="1" customHeight="1">
      <c r="A199" s="475"/>
      <c r="B199" s="131">
        <v>13</v>
      </c>
      <c r="C199" s="127" t="s">
        <v>525</v>
      </c>
      <c r="D199" s="376">
        <v>20608.107</v>
      </c>
      <c r="E199" s="376" t="s">
        <v>2081</v>
      </c>
      <c r="F199" s="342"/>
      <c r="G199" s="325"/>
      <c r="H199" s="325"/>
      <c r="I199" s="342"/>
      <c r="J199" s="325"/>
      <c r="K199" s="325"/>
      <c r="L199" s="325"/>
      <c r="M199" s="325"/>
      <c r="N199" s="342"/>
      <c r="O199" s="342"/>
      <c r="P199" s="342"/>
      <c r="Q199" s="347"/>
      <c r="R199" s="347"/>
      <c r="S199" s="342"/>
      <c r="T199" s="325"/>
      <c r="U199" s="16"/>
      <c r="V199" s="25"/>
      <c r="W199" s="25"/>
      <c r="X199" s="25"/>
      <c r="Y199" s="25"/>
      <c r="Z199" s="128" t="s">
        <v>526</v>
      </c>
      <c r="AA199" s="98"/>
    </row>
    <row r="200" spans="1:27" ht="24" hidden="1" customHeight="1">
      <c r="A200" s="475"/>
      <c r="B200" s="131">
        <v>14</v>
      </c>
      <c r="C200" s="127" t="s">
        <v>527</v>
      </c>
      <c r="D200" s="376">
        <v>22943.1558</v>
      </c>
      <c r="E200" s="376" t="s">
        <v>2082</v>
      </c>
      <c r="F200" s="342"/>
      <c r="G200" s="325"/>
      <c r="H200" s="325"/>
      <c r="I200" s="342" t="s">
        <v>528</v>
      </c>
      <c r="J200" s="325">
        <v>34.414700000000003</v>
      </c>
      <c r="K200" s="325"/>
      <c r="L200" s="325"/>
      <c r="M200" s="325">
        <f t="shared" si="16"/>
        <v>34.414700000000003</v>
      </c>
      <c r="N200" s="342"/>
      <c r="O200" s="342"/>
      <c r="P200" s="342"/>
      <c r="Q200" s="347"/>
      <c r="R200" s="347"/>
      <c r="S200" s="342"/>
      <c r="T200" s="325"/>
      <c r="U200" s="16"/>
      <c r="V200" s="25"/>
      <c r="W200" s="25"/>
      <c r="X200" s="25"/>
      <c r="Y200" s="25"/>
      <c r="Z200" s="128" t="s">
        <v>167</v>
      </c>
      <c r="AA200" s="98"/>
    </row>
    <row r="201" spans="1:27" ht="36" hidden="1" customHeight="1">
      <c r="A201" s="475"/>
      <c r="B201" s="131">
        <v>15</v>
      </c>
      <c r="C201" s="127" t="s">
        <v>529</v>
      </c>
      <c r="D201" s="376">
        <f>54225.4973-15630.153</f>
        <v>38595.344300000004</v>
      </c>
      <c r="E201" s="376" t="s">
        <v>2083</v>
      </c>
      <c r="F201" s="342" t="s">
        <v>255</v>
      </c>
      <c r="G201" s="325"/>
      <c r="H201" s="325"/>
      <c r="I201" s="342" t="s">
        <v>255</v>
      </c>
      <c r="J201" s="325">
        <v>77.108599999999996</v>
      </c>
      <c r="K201" s="325" t="s">
        <v>255</v>
      </c>
      <c r="L201" s="325">
        <v>20.497199999999999</v>
      </c>
      <c r="M201" s="325">
        <f t="shared" si="16"/>
        <v>97.605799999999988</v>
      </c>
      <c r="N201" s="342"/>
      <c r="O201" s="342"/>
      <c r="P201" s="342"/>
      <c r="Q201" s="347"/>
      <c r="R201" s="347"/>
      <c r="S201" s="342"/>
      <c r="T201" s="325"/>
      <c r="U201" s="342"/>
      <c r="V201" s="25"/>
      <c r="W201" s="25"/>
      <c r="X201" s="25"/>
      <c r="Y201" s="25"/>
      <c r="Z201" s="128" t="s">
        <v>167</v>
      </c>
      <c r="AA201" s="98"/>
    </row>
    <row r="202" spans="1:27" ht="24" hidden="1" customHeight="1">
      <c r="A202" s="475"/>
      <c r="B202" s="131">
        <v>16</v>
      </c>
      <c r="C202" s="127" t="s">
        <v>530</v>
      </c>
      <c r="D202" s="376">
        <v>32507.43</v>
      </c>
      <c r="E202" s="376" t="s">
        <v>2084</v>
      </c>
      <c r="F202" s="342"/>
      <c r="G202" s="325"/>
      <c r="H202" s="325"/>
      <c r="I202" s="342"/>
      <c r="J202" s="325"/>
      <c r="K202" s="325"/>
      <c r="L202" s="325"/>
      <c r="M202" s="325"/>
      <c r="N202" s="342"/>
      <c r="O202" s="342"/>
      <c r="P202" s="342"/>
      <c r="Q202" s="347"/>
      <c r="R202" s="347"/>
      <c r="S202" s="342"/>
      <c r="T202" s="325"/>
      <c r="U202" s="16"/>
      <c r="V202" s="25"/>
      <c r="W202" s="25"/>
      <c r="X202" s="25"/>
      <c r="Y202" s="25"/>
      <c r="Z202" s="128" t="s">
        <v>526</v>
      </c>
      <c r="AA202" s="98"/>
    </row>
    <row r="203" spans="1:27" ht="36" hidden="1" customHeight="1">
      <c r="A203" s="475"/>
      <c r="B203" s="131">
        <v>17</v>
      </c>
      <c r="C203" s="127" t="s">
        <v>531</v>
      </c>
      <c r="D203" s="376">
        <v>16355.01</v>
      </c>
      <c r="E203" s="376" t="s">
        <v>2085</v>
      </c>
      <c r="F203" s="342"/>
      <c r="G203" s="325"/>
      <c r="H203" s="325"/>
      <c r="I203" s="342"/>
      <c r="J203" s="325"/>
      <c r="K203" s="325" t="s">
        <v>532</v>
      </c>
      <c r="L203" s="325">
        <v>15.739663999999999</v>
      </c>
      <c r="M203" s="325">
        <f t="shared" si="16"/>
        <v>15.739663999999999</v>
      </c>
      <c r="N203" s="342"/>
      <c r="O203" s="342"/>
      <c r="P203" s="342"/>
      <c r="Q203" s="347"/>
      <c r="R203" s="347"/>
      <c r="S203" s="342"/>
      <c r="T203" s="325"/>
      <c r="U203" s="16"/>
      <c r="V203" s="25"/>
      <c r="W203" s="25"/>
      <c r="X203" s="25"/>
      <c r="Y203" s="25"/>
      <c r="Z203" s="128" t="s">
        <v>526</v>
      </c>
      <c r="AA203" s="98"/>
    </row>
    <row r="204" spans="1:27" ht="15" hidden="1" customHeight="1">
      <c r="A204" s="475"/>
      <c r="B204" s="141">
        <v>18</v>
      </c>
      <c r="C204" s="142" t="s">
        <v>533</v>
      </c>
      <c r="D204" s="376">
        <v>45272.518600000003</v>
      </c>
      <c r="E204" s="376" t="s">
        <v>2086</v>
      </c>
      <c r="F204" s="342"/>
      <c r="G204" s="325"/>
      <c r="H204" s="325"/>
      <c r="I204" s="342"/>
      <c r="J204" s="325"/>
      <c r="K204" s="325"/>
      <c r="L204" s="325"/>
      <c r="M204" s="325"/>
      <c r="N204" s="342"/>
      <c r="O204" s="342"/>
      <c r="P204" s="342"/>
      <c r="Q204" s="347"/>
      <c r="R204" s="347"/>
      <c r="S204" s="342"/>
      <c r="T204" s="325"/>
      <c r="U204" s="16"/>
      <c r="V204" s="25"/>
      <c r="W204" s="25"/>
      <c r="X204" s="25"/>
      <c r="Y204" s="25"/>
      <c r="Z204" s="128"/>
      <c r="AA204" s="98"/>
    </row>
    <row r="205" spans="1:27" ht="36" hidden="1" customHeight="1">
      <c r="A205" s="475"/>
      <c r="B205" s="141">
        <v>19</v>
      </c>
      <c r="C205" s="143" t="s">
        <v>534</v>
      </c>
      <c r="D205" s="376">
        <v>27623.769</v>
      </c>
      <c r="E205" s="376" t="s">
        <v>2087</v>
      </c>
      <c r="F205" s="138" t="s">
        <v>356</v>
      </c>
      <c r="G205" s="144">
        <v>52.485100000000003</v>
      </c>
      <c r="H205" s="144"/>
      <c r="I205" s="138" t="s">
        <v>356</v>
      </c>
      <c r="J205" s="144">
        <v>21.822700000000001</v>
      </c>
      <c r="K205" s="144"/>
      <c r="L205" s="144"/>
      <c r="M205" s="144">
        <f>SUM(G205,H205,J205,L205)</f>
        <v>74.3078</v>
      </c>
      <c r="N205" s="138"/>
      <c r="O205" s="138"/>
      <c r="P205" s="138"/>
      <c r="Q205" s="139"/>
      <c r="R205" s="139"/>
      <c r="S205" s="138"/>
      <c r="T205" s="144"/>
      <c r="U205" s="133"/>
      <c r="V205" s="140"/>
      <c r="W205" s="140"/>
      <c r="X205" s="140"/>
      <c r="Y205" s="140"/>
      <c r="Z205" s="138" t="s">
        <v>312</v>
      </c>
      <c r="AA205" s="98"/>
    </row>
    <row r="206" spans="1:27" ht="15" hidden="1" customHeight="1">
      <c r="A206" s="475"/>
      <c r="B206" s="141">
        <v>20</v>
      </c>
      <c r="C206" s="145" t="s">
        <v>535</v>
      </c>
      <c r="D206" s="376">
        <v>13889</v>
      </c>
      <c r="E206" s="376" t="s">
        <v>2088</v>
      </c>
      <c r="F206" s="342"/>
      <c r="G206" s="325"/>
      <c r="H206" s="325"/>
      <c r="I206" s="342"/>
      <c r="J206" s="325"/>
      <c r="K206" s="325"/>
      <c r="L206" s="325"/>
      <c r="M206" s="325"/>
      <c r="N206" s="342"/>
      <c r="O206" s="342"/>
      <c r="P206" s="342"/>
      <c r="Q206" s="347"/>
      <c r="R206" s="347"/>
      <c r="S206" s="342"/>
      <c r="T206" s="325"/>
      <c r="U206" s="16"/>
      <c r="V206" s="25"/>
      <c r="W206" s="25"/>
      <c r="X206" s="25"/>
      <c r="Y206" s="25"/>
      <c r="Z206" s="128"/>
      <c r="AA206" s="98"/>
    </row>
    <row r="207" spans="1:27" ht="36">
      <c r="A207" s="475" t="s">
        <v>728</v>
      </c>
      <c r="B207" s="352">
        <v>1</v>
      </c>
      <c r="C207" s="356" t="s">
        <v>536</v>
      </c>
      <c r="D207" s="76">
        <v>29054.5</v>
      </c>
      <c r="E207" s="76" t="s">
        <v>2089</v>
      </c>
      <c r="F207" s="356" t="s">
        <v>243</v>
      </c>
      <c r="G207" s="313">
        <v>45.990563000000002</v>
      </c>
      <c r="H207" s="313">
        <v>0.45</v>
      </c>
      <c r="I207" s="6" t="s">
        <v>243</v>
      </c>
      <c r="J207" s="313">
        <v>38.325470000000003</v>
      </c>
      <c r="K207" s="313"/>
      <c r="L207" s="313"/>
      <c r="M207" s="313">
        <f>J207+L207+H207+G207</f>
        <v>84.766033000000007</v>
      </c>
      <c r="N207" s="356" t="s">
        <v>537</v>
      </c>
      <c r="O207" s="356" t="s">
        <v>538</v>
      </c>
      <c r="P207" s="76" t="s">
        <v>36</v>
      </c>
      <c r="Q207" s="434">
        <v>9</v>
      </c>
      <c r="R207" s="434">
        <v>26</v>
      </c>
      <c r="S207" s="356" t="s">
        <v>539</v>
      </c>
      <c r="T207" s="313">
        <v>7</v>
      </c>
      <c r="U207" s="5">
        <f>T207/Q207</f>
        <v>0.77777777777777779</v>
      </c>
      <c r="V207" s="24">
        <f>Q207</f>
        <v>9</v>
      </c>
      <c r="W207" s="24">
        <f>T207</f>
        <v>7</v>
      </c>
      <c r="X207" s="27">
        <f>W207/V207</f>
        <v>0.77777777777777779</v>
      </c>
      <c r="Y207" s="27">
        <f>W207/M207</f>
        <v>8.2580247680105537E-2</v>
      </c>
      <c r="Z207" s="356" t="s">
        <v>540</v>
      </c>
      <c r="AA207" s="98"/>
    </row>
    <row r="208" spans="1:27" ht="24" hidden="1" customHeight="1">
      <c r="A208" s="475"/>
      <c r="B208" s="352">
        <v>2</v>
      </c>
      <c r="C208" s="356" t="s">
        <v>541</v>
      </c>
      <c r="D208" s="76">
        <v>55262</v>
      </c>
      <c r="E208" s="76" t="s">
        <v>2090</v>
      </c>
      <c r="F208" s="356" t="s">
        <v>372</v>
      </c>
      <c r="G208" s="313">
        <v>175.79</v>
      </c>
      <c r="H208" s="313">
        <v>5</v>
      </c>
      <c r="I208" s="6" t="s">
        <v>372</v>
      </c>
      <c r="J208" s="313">
        <v>60.23</v>
      </c>
      <c r="K208" s="313"/>
      <c r="L208" s="313"/>
      <c r="M208" s="313">
        <f t="shared" ref="M208:M212" si="18">J208+L208+H208+G208</f>
        <v>241.01999999999998</v>
      </c>
      <c r="N208" s="342" t="s">
        <v>542</v>
      </c>
      <c r="O208" s="342"/>
      <c r="P208" s="342"/>
      <c r="Q208" s="347"/>
      <c r="R208" s="347"/>
      <c r="S208" s="342"/>
      <c r="T208" s="325"/>
      <c r="U208" s="5" t="e">
        <f t="shared" ref="U208:U271" si="19">T208/Q208</f>
        <v>#DIV/0!</v>
      </c>
      <c r="V208" s="24"/>
      <c r="W208" s="24"/>
      <c r="X208" s="24"/>
      <c r="Y208" s="24"/>
      <c r="Z208" s="356" t="s">
        <v>381</v>
      </c>
      <c r="AA208" s="98"/>
    </row>
    <row r="209" spans="1:27" ht="36" hidden="1" customHeight="1">
      <c r="A209" s="475"/>
      <c r="B209" s="352">
        <v>3</v>
      </c>
      <c r="C209" s="146" t="s">
        <v>1924</v>
      </c>
      <c r="D209" s="147">
        <v>12684</v>
      </c>
      <c r="E209" s="147" t="s">
        <v>2091</v>
      </c>
      <c r="F209" s="146" t="s">
        <v>543</v>
      </c>
      <c r="G209" s="148">
        <v>40.35</v>
      </c>
      <c r="H209" s="148">
        <v>1</v>
      </c>
      <c r="I209" s="149" t="s">
        <v>544</v>
      </c>
      <c r="J209" s="148">
        <v>12.8</v>
      </c>
      <c r="K209" s="305"/>
      <c r="L209" s="305"/>
      <c r="M209" s="313">
        <f t="shared" si="18"/>
        <v>54.150000000000006</v>
      </c>
      <c r="N209" s="342" t="s">
        <v>542</v>
      </c>
      <c r="O209" s="342"/>
      <c r="P209" s="342"/>
      <c r="Q209" s="347"/>
      <c r="R209" s="347"/>
      <c r="S209" s="342"/>
      <c r="T209" s="325"/>
      <c r="U209" s="5" t="e">
        <f t="shared" si="19"/>
        <v>#DIV/0!</v>
      </c>
      <c r="V209" s="24"/>
      <c r="W209" s="24"/>
      <c r="X209" s="24"/>
      <c r="Y209" s="24"/>
      <c r="Z209" s="356" t="s">
        <v>381</v>
      </c>
      <c r="AA209" s="98"/>
    </row>
    <row r="210" spans="1:27" ht="24" hidden="1" customHeight="1">
      <c r="A210" s="475"/>
      <c r="B210" s="352">
        <v>4</v>
      </c>
      <c r="C210" s="356" t="s">
        <v>545</v>
      </c>
      <c r="D210" s="76">
        <v>4999</v>
      </c>
      <c r="E210" s="76" t="s">
        <v>2092</v>
      </c>
      <c r="F210" s="356" t="s">
        <v>372</v>
      </c>
      <c r="G210" s="313">
        <v>15.900499999999999</v>
      </c>
      <c r="H210" s="313">
        <v>1</v>
      </c>
      <c r="I210" s="6" t="s">
        <v>242</v>
      </c>
      <c r="J210" s="313">
        <v>4.3931950000000004</v>
      </c>
      <c r="K210" s="313"/>
      <c r="L210" s="313"/>
      <c r="M210" s="313">
        <f t="shared" si="18"/>
        <v>21.293695</v>
      </c>
      <c r="N210" s="342" t="s">
        <v>542</v>
      </c>
      <c r="O210" s="342"/>
      <c r="P210" s="342"/>
      <c r="Q210" s="347"/>
      <c r="R210" s="347"/>
      <c r="S210" s="342"/>
      <c r="T210" s="325"/>
      <c r="U210" s="5" t="e">
        <f t="shared" si="19"/>
        <v>#DIV/0!</v>
      </c>
      <c r="V210" s="24"/>
      <c r="W210" s="24"/>
      <c r="X210" s="24"/>
      <c r="Y210" s="24"/>
      <c r="Z210" s="356" t="s">
        <v>381</v>
      </c>
      <c r="AA210" s="98"/>
    </row>
    <row r="211" spans="1:27" ht="36" hidden="1" customHeight="1">
      <c r="A211" s="475"/>
      <c r="B211" s="352">
        <v>5</v>
      </c>
      <c r="C211" s="342" t="s">
        <v>1925</v>
      </c>
      <c r="D211" s="76">
        <v>8826</v>
      </c>
      <c r="E211" s="76" t="s">
        <v>2093</v>
      </c>
      <c r="F211" s="342" t="s">
        <v>546</v>
      </c>
      <c r="G211" s="325">
        <v>30.901499999999999</v>
      </c>
      <c r="H211" s="325"/>
      <c r="I211" s="150" t="s">
        <v>547</v>
      </c>
      <c r="J211" s="325">
        <v>15.0098</v>
      </c>
      <c r="K211" s="325"/>
      <c r="L211" s="325"/>
      <c r="M211" s="313">
        <f t="shared" si="18"/>
        <v>45.911299999999997</v>
      </c>
      <c r="N211" s="342" t="s">
        <v>542</v>
      </c>
      <c r="O211" s="342"/>
      <c r="P211" s="342"/>
      <c r="Q211" s="347"/>
      <c r="R211" s="347"/>
      <c r="S211" s="342"/>
      <c r="T211" s="325"/>
      <c r="U211" s="5" t="e">
        <f t="shared" si="19"/>
        <v>#DIV/0!</v>
      </c>
      <c r="V211" s="24"/>
      <c r="W211" s="24"/>
      <c r="X211" s="24"/>
      <c r="Y211" s="24"/>
      <c r="Z211" s="342" t="s">
        <v>548</v>
      </c>
      <c r="AA211" s="98"/>
    </row>
    <row r="212" spans="1:27" ht="48" hidden="1" customHeight="1">
      <c r="A212" s="475"/>
      <c r="B212" s="352">
        <v>6</v>
      </c>
      <c r="C212" s="356" t="s">
        <v>549</v>
      </c>
      <c r="D212" s="76">
        <v>16414.59</v>
      </c>
      <c r="E212" s="76" t="s">
        <v>2094</v>
      </c>
      <c r="F212" s="356"/>
      <c r="G212" s="313"/>
      <c r="H212" s="313"/>
      <c r="I212" s="151" t="s">
        <v>550</v>
      </c>
      <c r="J212" s="293">
        <v>13.868567000000001</v>
      </c>
      <c r="K212" s="306"/>
      <c r="L212" s="306"/>
      <c r="M212" s="313">
        <f t="shared" si="18"/>
        <v>13.868567000000001</v>
      </c>
      <c r="N212" s="152" t="s">
        <v>551</v>
      </c>
      <c r="O212" s="152" t="s">
        <v>552</v>
      </c>
      <c r="P212" s="76" t="s">
        <v>27</v>
      </c>
      <c r="Q212" s="153">
        <v>0</v>
      </c>
      <c r="R212" s="153">
        <v>0.303645</v>
      </c>
      <c r="S212" s="152" t="s">
        <v>553</v>
      </c>
      <c r="T212" s="293">
        <v>0.23491600000000001</v>
      </c>
      <c r="U212" s="5" t="e">
        <f t="shared" si="19"/>
        <v>#DIV/0!</v>
      </c>
      <c r="V212" s="24"/>
      <c r="W212" s="24"/>
      <c r="X212" s="24"/>
      <c r="Y212" s="24"/>
      <c r="Z212" s="152" t="s">
        <v>554</v>
      </c>
      <c r="AA212" s="98"/>
    </row>
    <row r="213" spans="1:27" ht="48" hidden="1" customHeight="1">
      <c r="A213" s="475"/>
      <c r="B213" s="352">
        <v>7</v>
      </c>
      <c r="C213" s="356"/>
      <c r="D213" s="76"/>
      <c r="E213" s="76"/>
      <c r="F213" s="356"/>
      <c r="G213" s="313"/>
      <c r="H213" s="313"/>
      <c r="I213" s="6"/>
      <c r="J213" s="313"/>
      <c r="K213" s="313"/>
      <c r="L213" s="313"/>
      <c r="M213" s="313"/>
      <c r="N213" s="152" t="s">
        <v>555</v>
      </c>
      <c r="O213" s="152" t="s">
        <v>556</v>
      </c>
      <c r="P213" s="76" t="s">
        <v>27</v>
      </c>
      <c r="Q213" s="153">
        <v>0</v>
      </c>
      <c r="R213" s="153">
        <v>4.5949999999999998E-2</v>
      </c>
      <c r="S213" s="152" t="s">
        <v>553</v>
      </c>
      <c r="T213" s="293">
        <v>2.8760000000000001E-2</v>
      </c>
      <c r="U213" s="5" t="e">
        <f t="shared" si="19"/>
        <v>#DIV/0!</v>
      </c>
      <c r="V213" s="24"/>
      <c r="W213" s="24"/>
      <c r="X213" s="24"/>
      <c r="Y213" s="24"/>
      <c r="Z213" s="152" t="s">
        <v>554</v>
      </c>
      <c r="AA213" s="98"/>
    </row>
    <row r="214" spans="1:27" ht="24" hidden="1" customHeight="1">
      <c r="A214" s="475"/>
      <c r="B214" s="352">
        <v>8</v>
      </c>
      <c r="C214" s="356" t="s">
        <v>557</v>
      </c>
      <c r="D214" s="76">
        <v>107741.42</v>
      </c>
      <c r="E214" s="76" t="s">
        <v>2095</v>
      </c>
      <c r="F214" s="356" t="s">
        <v>558</v>
      </c>
      <c r="G214" s="313">
        <v>169.7</v>
      </c>
      <c r="H214" s="313">
        <v>5.3</v>
      </c>
      <c r="I214" s="6" t="s">
        <v>559</v>
      </c>
      <c r="J214" s="313">
        <v>146.80000000000001</v>
      </c>
      <c r="K214" s="313"/>
      <c r="L214" s="313"/>
      <c r="M214" s="313">
        <f>J214+L214+H214+G214</f>
        <v>321.8</v>
      </c>
      <c r="N214" s="356" t="s">
        <v>170</v>
      </c>
      <c r="O214" s="356" t="s">
        <v>560</v>
      </c>
      <c r="P214" s="76" t="s">
        <v>27</v>
      </c>
      <c r="Q214" s="434">
        <v>7.6</v>
      </c>
      <c r="R214" s="434">
        <v>7.6</v>
      </c>
      <c r="S214" s="356" t="s">
        <v>561</v>
      </c>
      <c r="T214" s="313">
        <v>4</v>
      </c>
      <c r="U214" s="5">
        <f t="shared" si="19"/>
        <v>0.52631578947368418</v>
      </c>
      <c r="V214" s="587">
        <f>SUM(Q214:Q228)</f>
        <v>213.11</v>
      </c>
      <c r="W214" s="587">
        <f>SUM(T214:T228)</f>
        <v>144.68</v>
      </c>
      <c r="X214" s="589">
        <f>W214/V214</f>
        <v>0.67889822157571211</v>
      </c>
      <c r="Y214" s="589">
        <f>X214/M214</f>
        <v>2.1096899365311127E-3</v>
      </c>
      <c r="Z214" s="356" t="s">
        <v>562</v>
      </c>
      <c r="AA214" s="98"/>
    </row>
    <row r="215" spans="1:27" ht="24" hidden="1" customHeight="1">
      <c r="A215" s="475"/>
      <c r="B215" s="352">
        <v>9</v>
      </c>
      <c r="C215" s="154"/>
      <c r="D215" s="155"/>
      <c r="E215" s="155"/>
      <c r="F215" s="84"/>
      <c r="G215" s="156"/>
      <c r="H215" s="156"/>
      <c r="I215" s="157"/>
      <c r="J215" s="156"/>
      <c r="K215" s="156"/>
      <c r="L215" s="156"/>
      <c r="M215" s="156"/>
      <c r="N215" s="356" t="s">
        <v>563</v>
      </c>
      <c r="O215" s="356" t="s">
        <v>564</v>
      </c>
      <c r="P215" s="76" t="s">
        <v>27</v>
      </c>
      <c r="Q215" s="434">
        <v>1</v>
      </c>
      <c r="R215" s="434">
        <v>1</v>
      </c>
      <c r="S215" s="356" t="s">
        <v>561</v>
      </c>
      <c r="T215" s="313">
        <v>0.7</v>
      </c>
      <c r="U215" s="5">
        <f t="shared" si="19"/>
        <v>0.7</v>
      </c>
      <c r="V215" s="591"/>
      <c r="W215" s="591"/>
      <c r="X215" s="592"/>
      <c r="Y215" s="592"/>
      <c r="Z215" s="356" t="s">
        <v>562</v>
      </c>
      <c r="AA215" s="98"/>
    </row>
    <row r="216" spans="1:27" ht="24" hidden="1" customHeight="1">
      <c r="A216" s="475"/>
      <c r="B216" s="352">
        <v>10</v>
      </c>
      <c r="C216" s="84"/>
      <c r="D216" s="158"/>
      <c r="E216" s="158"/>
      <c r="F216" s="84"/>
      <c r="G216" s="156"/>
      <c r="H216" s="156"/>
      <c r="I216" s="157"/>
      <c r="J216" s="156"/>
      <c r="K216" s="156"/>
      <c r="L216" s="156"/>
      <c r="M216" s="156"/>
      <c r="N216" s="356" t="s">
        <v>565</v>
      </c>
      <c r="O216" s="356" t="s">
        <v>566</v>
      </c>
      <c r="P216" s="76" t="s">
        <v>27</v>
      </c>
      <c r="Q216" s="434">
        <v>1.2</v>
      </c>
      <c r="R216" s="434">
        <v>1.2</v>
      </c>
      <c r="S216" s="356" t="s">
        <v>561</v>
      </c>
      <c r="T216" s="313">
        <v>0.72</v>
      </c>
      <c r="U216" s="5">
        <f t="shared" si="19"/>
        <v>0.6</v>
      </c>
      <c r="V216" s="591"/>
      <c r="W216" s="591"/>
      <c r="X216" s="592"/>
      <c r="Y216" s="592"/>
      <c r="Z216" s="356" t="s">
        <v>562</v>
      </c>
      <c r="AA216" s="98"/>
    </row>
    <row r="217" spans="1:27" ht="24" hidden="1" customHeight="1">
      <c r="A217" s="475"/>
      <c r="B217" s="352">
        <v>11</v>
      </c>
      <c r="C217" s="84"/>
      <c r="D217" s="158"/>
      <c r="E217" s="158"/>
      <c r="F217" s="84"/>
      <c r="G217" s="156"/>
      <c r="H217" s="156"/>
      <c r="I217" s="157"/>
      <c r="J217" s="156"/>
      <c r="K217" s="156"/>
      <c r="L217" s="156"/>
      <c r="M217" s="156"/>
      <c r="N217" s="356" t="s">
        <v>567</v>
      </c>
      <c r="O217" s="356" t="s">
        <v>568</v>
      </c>
      <c r="P217" s="76" t="s">
        <v>27</v>
      </c>
      <c r="Q217" s="434">
        <v>0.3</v>
      </c>
      <c r="R217" s="434">
        <v>0.3</v>
      </c>
      <c r="S217" s="356" t="s">
        <v>561</v>
      </c>
      <c r="T217" s="313">
        <v>0.2</v>
      </c>
      <c r="U217" s="5">
        <f t="shared" si="19"/>
        <v>0.66666666666666674</v>
      </c>
      <c r="V217" s="591"/>
      <c r="W217" s="591"/>
      <c r="X217" s="592"/>
      <c r="Y217" s="592"/>
      <c r="Z217" s="356" t="s">
        <v>562</v>
      </c>
      <c r="AA217" s="98"/>
    </row>
    <row r="218" spans="1:27" ht="24" hidden="1" customHeight="1">
      <c r="A218" s="475"/>
      <c r="B218" s="352">
        <v>12</v>
      </c>
      <c r="C218" s="84"/>
      <c r="D218" s="158"/>
      <c r="E218" s="158"/>
      <c r="F218" s="84"/>
      <c r="G218" s="156"/>
      <c r="H218" s="156"/>
      <c r="I218" s="157"/>
      <c r="J218" s="156"/>
      <c r="K218" s="156"/>
      <c r="L218" s="156"/>
      <c r="M218" s="156"/>
      <c r="N218" s="356" t="s">
        <v>569</v>
      </c>
      <c r="O218" s="356" t="s">
        <v>570</v>
      </c>
      <c r="P218" s="76" t="s">
        <v>27</v>
      </c>
      <c r="Q218" s="434">
        <v>0.28000000000000003</v>
      </c>
      <c r="R218" s="434">
        <v>0.28000000000000003</v>
      </c>
      <c r="S218" s="356" t="s">
        <v>561</v>
      </c>
      <c r="T218" s="313">
        <v>0.18</v>
      </c>
      <c r="U218" s="5">
        <f t="shared" si="19"/>
        <v>0.64285714285714279</v>
      </c>
      <c r="V218" s="591"/>
      <c r="W218" s="591"/>
      <c r="X218" s="592"/>
      <c r="Y218" s="592"/>
      <c r="Z218" s="356" t="s">
        <v>562</v>
      </c>
      <c r="AA218" s="98"/>
    </row>
    <row r="219" spans="1:27" ht="24" hidden="1" customHeight="1">
      <c r="A219" s="475"/>
      <c r="B219" s="352">
        <v>13</v>
      </c>
      <c r="C219" s="84"/>
      <c r="D219" s="158"/>
      <c r="E219" s="158"/>
      <c r="F219" s="84"/>
      <c r="G219" s="156"/>
      <c r="H219" s="156"/>
      <c r="I219" s="157"/>
      <c r="J219" s="156"/>
      <c r="K219" s="156"/>
      <c r="L219" s="156"/>
      <c r="M219" s="156"/>
      <c r="N219" s="356" t="s">
        <v>571</v>
      </c>
      <c r="O219" s="356" t="s">
        <v>572</v>
      </c>
      <c r="P219" s="76" t="s">
        <v>27</v>
      </c>
      <c r="Q219" s="434">
        <v>6.3</v>
      </c>
      <c r="R219" s="434">
        <v>6.3</v>
      </c>
      <c r="S219" s="356" t="s">
        <v>573</v>
      </c>
      <c r="T219" s="313">
        <v>4</v>
      </c>
      <c r="U219" s="5">
        <f t="shared" si="19"/>
        <v>0.63492063492063489</v>
      </c>
      <c r="V219" s="591"/>
      <c r="W219" s="591"/>
      <c r="X219" s="592"/>
      <c r="Y219" s="592"/>
      <c r="Z219" s="356" t="s">
        <v>562</v>
      </c>
      <c r="AA219" s="98"/>
    </row>
    <row r="220" spans="1:27" ht="24" hidden="1" customHeight="1">
      <c r="A220" s="475"/>
      <c r="B220" s="352">
        <v>14</v>
      </c>
      <c r="C220" s="84"/>
      <c r="D220" s="158"/>
      <c r="E220" s="158"/>
      <c r="F220" s="84"/>
      <c r="G220" s="156"/>
      <c r="H220" s="156"/>
      <c r="I220" s="157"/>
      <c r="J220" s="156"/>
      <c r="K220" s="156"/>
      <c r="L220" s="156"/>
      <c r="M220" s="156"/>
      <c r="N220" s="356" t="s">
        <v>574</v>
      </c>
      <c r="O220" s="356" t="s">
        <v>575</v>
      </c>
      <c r="P220" s="76" t="s">
        <v>27</v>
      </c>
      <c r="Q220" s="434">
        <v>0.54</v>
      </c>
      <c r="R220" s="434">
        <v>0.54</v>
      </c>
      <c r="S220" s="356" t="s">
        <v>237</v>
      </c>
      <c r="T220" s="313">
        <v>0.34</v>
      </c>
      <c r="U220" s="5">
        <f t="shared" si="19"/>
        <v>0.62962962962962965</v>
      </c>
      <c r="V220" s="591"/>
      <c r="W220" s="591"/>
      <c r="X220" s="592"/>
      <c r="Y220" s="592"/>
      <c r="Z220" s="356" t="s">
        <v>562</v>
      </c>
      <c r="AA220" s="98"/>
    </row>
    <row r="221" spans="1:27" ht="24" hidden="1" customHeight="1">
      <c r="A221" s="475"/>
      <c r="B221" s="352">
        <v>15</v>
      </c>
      <c r="C221" s="84"/>
      <c r="D221" s="158"/>
      <c r="E221" s="158"/>
      <c r="F221" s="84"/>
      <c r="G221" s="156"/>
      <c r="H221" s="156"/>
      <c r="I221" s="157"/>
      <c r="J221" s="156"/>
      <c r="K221" s="156"/>
      <c r="L221" s="156"/>
      <c r="M221" s="156"/>
      <c r="N221" s="356" t="s">
        <v>576</v>
      </c>
      <c r="O221" s="356" t="s">
        <v>577</v>
      </c>
      <c r="P221" s="76" t="s">
        <v>27</v>
      </c>
      <c r="Q221" s="434">
        <v>0.49</v>
      </c>
      <c r="R221" s="434">
        <v>0.49</v>
      </c>
      <c r="S221" s="356" t="s">
        <v>237</v>
      </c>
      <c r="T221" s="313">
        <v>0.31</v>
      </c>
      <c r="U221" s="5">
        <f t="shared" si="19"/>
        <v>0.63265306122448983</v>
      </c>
      <c r="V221" s="591"/>
      <c r="W221" s="591"/>
      <c r="X221" s="592"/>
      <c r="Y221" s="592"/>
      <c r="Z221" s="356" t="s">
        <v>562</v>
      </c>
      <c r="AA221" s="98"/>
    </row>
    <row r="222" spans="1:27" ht="15" hidden="1" customHeight="1">
      <c r="A222" s="475"/>
      <c r="B222" s="352">
        <v>16</v>
      </c>
      <c r="C222" s="84"/>
      <c r="D222" s="158"/>
      <c r="E222" s="158"/>
      <c r="F222" s="84"/>
      <c r="G222" s="156"/>
      <c r="H222" s="156"/>
      <c r="I222" s="157"/>
      <c r="J222" s="156"/>
      <c r="K222" s="156"/>
      <c r="L222" s="156"/>
      <c r="M222" s="156"/>
      <c r="N222" s="356" t="s">
        <v>578</v>
      </c>
      <c r="O222" s="356" t="s">
        <v>579</v>
      </c>
      <c r="P222" s="76" t="s">
        <v>27</v>
      </c>
      <c r="Q222" s="434">
        <v>0.78</v>
      </c>
      <c r="R222" s="434">
        <v>0.78</v>
      </c>
      <c r="S222" s="356" t="s">
        <v>237</v>
      </c>
      <c r="T222" s="313">
        <v>0.49</v>
      </c>
      <c r="U222" s="5">
        <f t="shared" si="19"/>
        <v>0.62820512820512819</v>
      </c>
      <c r="V222" s="591"/>
      <c r="W222" s="591"/>
      <c r="X222" s="592"/>
      <c r="Y222" s="592"/>
      <c r="Z222" s="356" t="s">
        <v>562</v>
      </c>
      <c r="AA222" s="98"/>
    </row>
    <row r="223" spans="1:27" ht="15" hidden="1" customHeight="1">
      <c r="A223" s="475"/>
      <c r="B223" s="352">
        <v>17</v>
      </c>
      <c r="C223" s="84"/>
      <c r="D223" s="158"/>
      <c r="E223" s="158"/>
      <c r="F223" s="84"/>
      <c r="G223" s="156"/>
      <c r="H223" s="156"/>
      <c r="I223" s="157"/>
      <c r="J223" s="156"/>
      <c r="K223" s="156"/>
      <c r="L223" s="156"/>
      <c r="M223" s="156"/>
      <c r="N223" s="356" t="s">
        <v>580</v>
      </c>
      <c r="O223" s="356" t="s">
        <v>581</v>
      </c>
      <c r="P223" s="76" t="s">
        <v>27</v>
      </c>
      <c r="Q223" s="434">
        <v>1.23</v>
      </c>
      <c r="R223" s="434">
        <v>1.23</v>
      </c>
      <c r="S223" s="356" t="s">
        <v>573</v>
      </c>
      <c r="T223" s="313">
        <v>0.77</v>
      </c>
      <c r="U223" s="5">
        <f t="shared" si="19"/>
        <v>0.6260162601626017</v>
      </c>
      <c r="V223" s="591"/>
      <c r="W223" s="591"/>
      <c r="X223" s="592"/>
      <c r="Y223" s="592"/>
      <c r="Z223" s="356" t="s">
        <v>562</v>
      </c>
      <c r="AA223" s="98"/>
    </row>
    <row r="224" spans="1:27" ht="24" hidden="1" customHeight="1">
      <c r="A224" s="475"/>
      <c r="B224" s="352">
        <v>18</v>
      </c>
      <c r="C224" s="84"/>
      <c r="D224" s="158"/>
      <c r="E224" s="158"/>
      <c r="F224" s="84"/>
      <c r="G224" s="156"/>
      <c r="H224" s="156"/>
      <c r="I224" s="157"/>
      <c r="J224" s="156"/>
      <c r="K224" s="156"/>
      <c r="L224" s="156"/>
      <c r="M224" s="156"/>
      <c r="N224" s="356" t="s">
        <v>582</v>
      </c>
      <c r="O224" s="356" t="s">
        <v>583</v>
      </c>
      <c r="P224" s="76" t="s">
        <v>27</v>
      </c>
      <c r="Q224" s="434">
        <v>0.39</v>
      </c>
      <c r="R224" s="434">
        <v>0.39</v>
      </c>
      <c r="S224" s="356" t="s">
        <v>573</v>
      </c>
      <c r="T224" s="313">
        <v>0.24</v>
      </c>
      <c r="U224" s="5">
        <f t="shared" si="19"/>
        <v>0.61538461538461531</v>
      </c>
      <c r="V224" s="591"/>
      <c r="W224" s="591"/>
      <c r="X224" s="592"/>
      <c r="Y224" s="592"/>
      <c r="Z224" s="356" t="s">
        <v>562</v>
      </c>
      <c r="AA224" s="98"/>
    </row>
    <row r="225" spans="1:27" ht="24">
      <c r="A225" s="475"/>
      <c r="B225" s="352">
        <v>19</v>
      </c>
      <c r="C225" s="84"/>
      <c r="D225" s="158"/>
      <c r="E225" s="158"/>
      <c r="F225" s="84"/>
      <c r="G225" s="156"/>
      <c r="H225" s="156"/>
      <c r="I225" s="157"/>
      <c r="J225" s="156"/>
      <c r="K225" s="156"/>
      <c r="L225" s="156"/>
      <c r="M225" s="156"/>
      <c r="N225" s="356" t="s">
        <v>415</v>
      </c>
      <c r="O225" s="356" t="s">
        <v>584</v>
      </c>
      <c r="P225" s="76" t="s">
        <v>36</v>
      </c>
      <c r="Q225" s="434">
        <v>56</v>
      </c>
      <c r="R225" s="434">
        <v>81</v>
      </c>
      <c r="S225" s="356" t="s">
        <v>585</v>
      </c>
      <c r="T225" s="313">
        <v>35.299999999999997</v>
      </c>
      <c r="U225" s="5">
        <f t="shared" si="19"/>
        <v>0.63035714285714284</v>
      </c>
      <c r="V225" s="591"/>
      <c r="W225" s="591"/>
      <c r="X225" s="592"/>
      <c r="Y225" s="592"/>
      <c r="Z225" s="356" t="s">
        <v>562</v>
      </c>
      <c r="AA225" s="98"/>
    </row>
    <row r="226" spans="1:27" ht="24">
      <c r="A226" s="475"/>
      <c r="B226" s="352">
        <v>20</v>
      </c>
      <c r="C226" s="84"/>
      <c r="D226" s="158"/>
      <c r="E226" s="158"/>
      <c r="F226" s="84"/>
      <c r="G226" s="156"/>
      <c r="H226" s="156"/>
      <c r="I226" s="157"/>
      <c r="J226" s="156"/>
      <c r="K226" s="156"/>
      <c r="L226" s="156"/>
      <c r="M226" s="156"/>
      <c r="N226" s="356" t="s">
        <v>586</v>
      </c>
      <c r="O226" s="356" t="s">
        <v>587</v>
      </c>
      <c r="P226" s="76" t="s">
        <v>36</v>
      </c>
      <c r="Q226" s="434">
        <v>52</v>
      </c>
      <c r="R226" s="434">
        <v>91</v>
      </c>
      <c r="S226" s="356" t="s">
        <v>588</v>
      </c>
      <c r="T226" s="313">
        <f>56.6-22</f>
        <v>34.6</v>
      </c>
      <c r="U226" s="5">
        <f t="shared" si="19"/>
        <v>0.66538461538461546</v>
      </c>
      <c r="V226" s="591"/>
      <c r="W226" s="591"/>
      <c r="X226" s="592"/>
      <c r="Y226" s="592"/>
      <c r="Z226" s="356" t="s">
        <v>562</v>
      </c>
      <c r="AA226" s="98"/>
    </row>
    <row r="227" spans="1:27" ht="24">
      <c r="A227" s="475"/>
      <c r="B227" s="352">
        <v>21</v>
      </c>
      <c r="C227" s="84"/>
      <c r="D227" s="158"/>
      <c r="E227" s="158"/>
      <c r="F227" s="84"/>
      <c r="G227" s="156"/>
      <c r="H227" s="156"/>
      <c r="I227" s="157"/>
      <c r="J227" s="156"/>
      <c r="K227" s="156"/>
      <c r="L227" s="156"/>
      <c r="M227" s="156"/>
      <c r="N227" s="356" t="s">
        <v>586</v>
      </c>
      <c r="O227" s="356" t="s">
        <v>589</v>
      </c>
      <c r="P227" s="76" t="s">
        <v>36</v>
      </c>
      <c r="Q227" s="434">
        <v>49</v>
      </c>
      <c r="R227" s="434">
        <v>64.65079999999999</v>
      </c>
      <c r="S227" s="356" t="s">
        <v>585</v>
      </c>
      <c r="T227" s="313">
        <v>37.47</v>
      </c>
      <c r="U227" s="5">
        <f t="shared" si="19"/>
        <v>0.76469387755102036</v>
      </c>
      <c r="V227" s="591"/>
      <c r="W227" s="591"/>
      <c r="X227" s="592"/>
      <c r="Y227" s="592"/>
      <c r="Z227" s="356" t="s">
        <v>562</v>
      </c>
      <c r="AA227" s="98"/>
    </row>
    <row r="228" spans="1:27" ht="24">
      <c r="A228" s="475"/>
      <c r="B228" s="352">
        <v>22</v>
      </c>
      <c r="C228" s="84"/>
      <c r="D228" s="158"/>
      <c r="E228" s="158"/>
      <c r="F228" s="84"/>
      <c r="G228" s="156"/>
      <c r="H228" s="156"/>
      <c r="I228" s="157"/>
      <c r="J228" s="156"/>
      <c r="K228" s="156"/>
      <c r="L228" s="156"/>
      <c r="M228" s="156"/>
      <c r="N228" s="356" t="s">
        <v>590</v>
      </c>
      <c r="O228" s="356" t="s">
        <v>591</v>
      </c>
      <c r="P228" s="76" t="s">
        <v>36</v>
      </c>
      <c r="Q228" s="434">
        <v>36</v>
      </c>
      <c r="R228" s="434">
        <v>31.81</v>
      </c>
      <c r="S228" s="356" t="s">
        <v>585</v>
      </c>
      <c r="T228" s="313">
        <v>25.36</v>
      </c>
      <c r="U228" s="5">
        <f t="shared" si="19"/>
        <v>0.70444444444444443</v>
      </c>
      <c r="V228" s="588"/>
      <c r="W228" s="588"/>
      <c r="X228" s="590"/>
      <c r="Y228" s="590"/>
      <c r="Z228" s="356" t="s">
        <v>562</v>
      </c>
      <c r="AA228" s="98"/>
    </row>
    <row r="229" spans="1:27" ht="24">
      <c r="A229" s="475"/>
      <c r="B229" s="352">
        <v>23</v>
      </c>
      <c r="C229" s="356" t="s">
        <v>1926</v>
      </c>
      <c r="D229" s="76">
        <v>40684.161200000002</v>
      </c>
      <c r="E229" s="76" t="s">
        <v>2096</v>
      </c>
      <c r="F229" s="356" t="s">
        <v>593</v>
      </c>
      <c r="G229" s="313">
        <v>129</v>
      </c>
      <c r="H229" s="313">
        <v>5</v>
      </c>
      <c r="I229" s="6" t="s">
        <v>593</v>
      </c>
      <c r="J229" s="313">
        <v>34</v>
      </c>
      <c r="K229" s="313"/>
      <c r="L229" s="313"/>
      <c r="M229" s="313">
        <f>J229+L229+H229+G229</f>
        <v>168</v>
      </c>
      <c r="N229" s="356" t="s">
        <v>594</v>
      </c>
      <c r="O229" s="356" t="s">
        <v>595</v>
      </c>
      <c r="P229" s="76" t="s">
        <v>36</v>
      </c>
      <c r="Q229" s="434">
        <v>5</v>
      </c>
      <c r="R229" s="434">
        <v>9</v>
      </c>
      <c r="S229" s="356" t="s">
        <v>596</v>
      </c>
      <c r="T229" s="313">
        <v>4</v>
      </c>
      <c r="U229" s="5">
        <f t="shared" si="19"/>
        <v>0.8</v>
      </c>
      <c r="V229" s="587">
        <f>SUM(Q229:Q230)</f>
        <v>25</v>
      </c>
      <c r="W229" s="587">
        <f>SUM(T229:T230)</f>
        <v>29</v>
      </c>
      <c r="X229" s="589">
        <f>W229/V229</f>
        <v>1.1599999999999999</v>
      </c>
      <c r="Y229" s="589">
        <f>W229/M229</f>
        <v>0.17261904761904762</v>
      </c>
      <c r="Z229" s="356" t="s">
        <v>381</v>
      </c>
      <c r="AA229" s="98"/>
    </row>
    <row r="230" spans="1:27">
      <c r="A230" s="475"/>
      <c r="B230" s="352">
        <v>24</v>
      </c>
      <c r="C230" s="356"/>
      <c r="D230" s="76"/>
      <c r="E230" s="76"/>
      <c r="F230" s="356"/>
      <c r="G230" s="313"/>
      <c r="H230" s="313"/>
      <c r="I230" s="6"/>
      <c r="J230" s="313"/>
      <c r="K230" s="313"/>
      <c r="L230" s="313"/>
      <c r="M230" s="313"/>
      <c r="N230" s="356" t="s">
        <v>597</v>
      </c>
      <c r="O230" s="356" t="s">
        <v>595</v>
      </c>
      <c r="P230" s="76" t="s">
        <v>36</v>
      </c>
      <c r="Q230" s="434">
        <v>20</v>
      </c>
      <c r="R230" s="434">
        <v>31</v>
      </c>
      <c r="S230" s="356" t="s">
        <v>596</v>
      </c>
      <c r="T230" s="313">
        <v>25</v>
      </c>
      <c r="U230" s="5">
        <f t="shared" si="19"/>
        <v>1.25</v>
      </c>
      <c r="V230" s="588"/>
      <c r="W230" s="588"/>
      <c r="X230" s="590"/>
      <c r="Y230" s="590"/>
      <c r="Z230" s="356" t="s">
        <v>381</v>
      </c>
      <c r="AA230" s="98"/>
    </row>
    <row r="231" spans="1:27" ht="24">
      <c r="A231" s="475"/>
      <c r="B231" s="352">
        <v>25</v>
      </c>
      <c r="C231" s="356" t="s">
        <v>598</v>
      </c>
      <c r="D231" s="76">
        <v>73883.600000000006</v>
      </c>
      <c r="E231" s="76" t="s">
        <v>2097</v>
      </c>
      <c r="F231" s="356" t="s">
        <v>599</v>
      </c>
      <c r="G231" s="313">
        <v>236.5</v>
      </c>
      <c r="H231" s="313"/>
      <c r="I231" s="6" t="s">
        <v>515</v>
      </c>
      <c r="J231" s="313">
        <v>56.7</v>
      </c>
      <c r="K231" s="313"/>
      <c r="L231" s="313"/>
      <c r="M231" s="313">
        <f>J231+L231+H231+G231</f>
        <v>293.2</v>
      </c>
      <c r="N231" s="356" t="s">
        <v>600</v>
      </c>
      <c r="O231" s="356" t="s">
        <v>601</v>
      </c>
      <c r="P231" s="76" t="s">
        <v>36</v>
      </c>
      <c r="Q231" s="434">
        <v>75.2</v>
      </c>
      <c r="R231" s="434">
        <v>878.8</v>
      </c>
      <c r="S231" s="356" t="s">
        <v>602</v>
      </c>
      <c r="T231" s="313">
        <v>100</v>
      </c>
      <c r="U231" s="5">
        <f t="shared" si="19"/>
        <v>1.3297872340425532</v>
      </c>
      <c r="V231" s="587">
        <f>SUM(Q231:Q242)</f>
        <v>391.79999999999995</v>
      </c>
      <c r="W231" s="587">
        <f>SUM(T231:T242)</f>
        <v>543.30999999999995</v>
      </c>
      <c r="X231" s="589">
        <f>W231/V231</f>
        <v>1.3867023991832568</v>
      </c>
      <c r="Y231" s="589">
        <f>W231/M231</f>
        <v>1.8530354706684855</v>
      </c>
      <c r="Z231" s="356" t="s">
        <v>603</v>
      </c>
      <c r="AA231" s="98"/>
    </row>
    <row r="232" spans="1:27">
      <c r="A232" s="475"/>
      <c r="B232" s="352">
        <v>26</v>
      </c>
      <c r="C232" s="356"/>
      <c r="D232" s="76"/>
      <c r="E232" s="76"/>
      <c r="F232" s="356"/>
      <c r="G232" s="313"/>
      <c r="H232" s="313"/>
      <c r="I232" s="6"/>
      <c r="J232" s="313"/>
      <c r="K232" s="313"/>
      <c r="L232" s="313"/>
      <c r="M232" s="313"/>
      <c r="N232" s="356" t="s">
        <v>604</v>
      </c>
      <c r="O232" s="356" t="s">
        <v>601</v>
      </c>
      <c r="P232" s="76" t="s">
        <v>36</v>
      </c>
      <c r="Q232" s="434">
        <v>274.60000000000002</v>
      </c>
      <c r="R232" s="434">
        <v>2471.4</v>
      </c>
      <c r="S232" s="356" t="s">
        <v>605</v>
      </c>
      <c r="T232" s="313">
        <v>342.4</v>
      </c>
      <c r="U232" s="5">
        <f t="shared" si="19"/>
        <v>1.2469045884923524</v>
      </c>
      <c r="V232" s="591"/>
      <c r="W232" s="591"/>
      <c r="X232" s="592"/>
      <c r="Y232" s="592"/>
      <c r="Z232" s="356" t="s">
        <v>603</v>
      </c>
      <c r="AA232" s="98"/>
    </row>
    <row r="233" spans="1:27">
      <c r="A233" s="475"/>
      <c r="B233" s="352">
        <v>27</v>
      </c>
      <c r="C233" s="356"/>
      <c r="D233" s="76"/>
      <c r="E233" s="76"/>
      <c r="F233" s="356"/>
      <c r="G233" s="313"/>
      <c r="H233" s="313"/>
      <c r="I233" s="6"/>
      <c r="J233" s="313"/>
      <c r="K233" s="313"/>
      <c r="L233" s="313"/>
      <c r="M233" s="313"/>
      <c r="N233" s="356" t="s">
        <v>606</v>
      </c>
      <c r="O233" s="356" t="s">
        <v>601</v>
      </c>
      <c r="P233" s="76" t="s">
        <v>36</v>
      </c>
      <c r="Q233" s="434">
        <v>10.5</v>
      </c>
      <c r="R233" s="434">
        <v>698.5</v>
      </c>
      <c r="S233" s="356" t="s">
        <v>607</v>
      </c>
      <c r="T233" s="313">
        <v>30.1</v>
      </c>
      <c r="U233" s="5">
        <f t="shared" si="19"/>
        <v>2.8666666666666667</v>
      </c>
      <c r="V233" s="591"/>
      <c r="W233" s="591"/>
      <c r="X233" s="592"/>
      <c r="Y233" s="592"/>
      <c r="Z233" s="356" t="s">
        <v>603</v>
      </c>
      <c r="AA233" s="98"/>
    </row>
    <row r="234" spans="1:27">
      <c r="A234" s="475"/>
      <c r="B234" s="352">
        <v>28</v>
      </c>
      <c r="C234" s="356"/>
      <c r="D234" s="76"/>
      <c r="E234" s="76"/>
      <c r="F234" s="356"/>
      <c r="G234" s="313"/>
      <c r="H234" s="313"/>
      <c r="I234" s="6"/>
      <c r="J234" s="313"/>
      <c r="K234" s="313"/>
      <c r="L234" s="313"/>
      <c r="M234" s="313"/>
      <c r="N234" s="356" t="s">
        <v>608</v>
      </c>
      <c r="O234" s="356" t="s">
        <v>601</v>
      </c>
      <c r="P234" s="76" t="s">
        <v>36</v>
      </c>
      <c r="Q234" s="434">
        <v>18.2</v>
      </c>
      <c r="R234" s="434">
        <v>627.5</v>
      </c>
      <c r="S234" s="356" t="s">
        <v>609</v>
      </c>
      <c r="T234" s="313">
        <v>49.5</v>
      </c>
      <c r="U234" s="5">
        <f t="shared" si="19"/>
        <v>2.7197802197802199</v>
      </c>
      <c r="V234" s="591"/>
      <c r="W234" s="591"/>
      <c r="X234" s="592"/>
      <c r="Y234" s="592"/>
      <c r="Z234" s="356" t="s">
        <v>603</v>
      </c>
      <c r="AA234" s="98"/>
    </row>
    <row r="235" spans="1:27">
      <c r="A235" s="475"/>
      <c r="B235" s="352">
        <v>29</v>
      </c>
      <c r="C235" s="356"/>
      <c r="D235" s="76"/>
      <c r="E235" s="76"/>
      <c r="F235" s="356"/>
      <c r="G235" s="313"/>
      <c r="H235" s="313"/>
      <c r="I235" s="6"/>
      <c r="J235" s="313"/>
      <c r="K235" s="313"/>
      <c r="L235" s="313"/>
      <c r="M235" s="313"/>
      <c r="N235" s="356" t="s">
        <v>610</v>
      </c>
      <c r="O235" s="356" t="s">
        <v>601</v>
      </c>
      <c r="P235" s="76" t="s">
        <v>36</v>
      </c>
      <c r="Q235" s="434">
        <v>1.2</v>
      </c>
      <c r="R235" s="434">
        <v>151.4</v>
      </c>
      <c r="S235" s="356" t="s">
        <v>611</v>
      </c>
      <c r="T235" s="313">
        <v>7.9</v>
      </c>
      <c r="U235" s="5">
        <f t="shared" si="19"/>
        <v>6.5833333333333339</v>
      </c>
      <c r="V235" s="591"/>
      <c r="W235" s="591"/>
      <c r="X235" s="592"/>
      <c r="Y235" s="592"/>
      <c r="Z235" s="356" t="s">
        <v>603</v>
      </c>
      <c r="AA235" s="98"/>
    </row>
    <row r="236" spans="1:27" ht="24" hidden="1" customHeight="1">
      <c r="A236" s="475"/>
      <c r="B236" s="352">
        <v>30</v>
      </c>
      <c r="C236" s="356"/>
      <c r="D236" s="76"/>
      <c r="E236" s="76"/>
      <c r="F236" s="356"/>
      <c r="G236" s="313"/>
      <c r="H236" s="313"/>
      <c r="I236" s="6"/>
      <c r="J236" s="313"/>
      <c r="K236" s="313"/>
      <c r="L236" s="313"/>
      <c r="M236" s="313"/>
      <c r="N236" s="356" t="s">
        <v>612</v>
      </c>
      <c r="O236" s="356" t="s">
        <v>613</v>
      </c>
      <c r="P236" s="76" t="s">
        <v>27</v>
      </c>
      <c r="Q236" s="434">
        <v>0.22</v>
      </c>
      <c r="R236" s="434">
        <v>0.45</v>
      </c>
      <c r="S236" s="356" t="s">
        <v>614</v>
      </c>
      <c r="T236" s="313">
        <v>0.27</v>
      </c>
      <c r="U236" s="5">
        <f t="shared" si="19"/>
        <v>1.2272727272727273</v>
      </c>
      <c r="V236" s="591"/>
      <c r="W236" s="591"/>
      <c r="X236" s="592"/>
      <c r="Y236" s="592"/>
      <c r="Z236" s="356" t="s">
        <v>603</v>
      </c>
      <c r="AA236" s="98"/>
    </row>
    <row r="237" spans="1:27" ht="15" hidden="1" customHeight="1">
      <c r="A237" s="475"/>
      <c r="B237" s="352">
        <v>31</v>
      </c>
      <c r="C237" s="356"/>
      <c r="D237" s="76"/>
      <c r="E237" s="76"/>
      <c r="F237" s="356"/>
      <c r="G237" s="313"/>
      <c r="H237" s="313"/>
      <c r="I237" s="6"/>
      <c r="J237" s="313"/>
      <c r="K237" s="313"/>
      <c r="L237" s="313"/>
      <c r="M237" s="313"/>
      <c r="N237" s="356" t="s">
        <v>615</v>
      </c>
      <c r="O237" s="356" t="s">
        <v>613</v>
      </c>
      <c r="P237" s="76" t="s">
        <v>27</v>
      </c>
      <c r="Q237" s="434">
        <v>0.75</v>
      </c>
      <c r="R237" s="434">
        <v>2</v>
      </c>
      <c r="S237" s="356" t="s">
        <v>616</v>
      </c>
      <c r="T237" s="313">
        <v>1</v>
      </c>
      <c r="U237" s="5">
        <f t="shared" si="19"/>
        <v>1.3333333333333333</v>
      </c>
      <c r="V237" s="591"/>
      <c r="W237" s="591"/>
      <c r="X237" s="592"/>
      <c r="Y237" s="592"/>
      <c r="Z237" s="356" t="s">
        <v>603</v>
      </c>
      <c r="AA237" s="98"/>
    </row>
    <row r="238" spans="1:27" ht="15" hidden="1" customHeight="1">
      <c r="A238" s="475"/>
      <c r="B238" s="352">
        <v>32</v>
      </c>
      <c r="C238" s="356"/>
      <c r="D238" s="76"/>
      <c r="E238" s="76"/>
      <c r="F238" s="356"/>
      <c r="G238" s="313"/>
      <c r="H238" s="313"/>
      <c r="I238" s="6"/>
      <c r="J238" s="313"/>
      <c r="K238" s="313"/>
      <c r="L238" s="313"/>
      <c r="M238" s="313"/>
      <c r="N238" s="356" t="s">
        <v>617</v>
      </c>
      <c r="O238" s="356" t="s">
        <v>613</v>
      </c>
      <c r="P238" s="76" t="s">
        <v>27</v>
      </c>
      <c r="Q238" s="434">
        <v>0.15</v>
      </c>
      <c r="R238" s="434">
        <v>0.22</v>
      </c>
      <c r="S238" s="356" t="s">
        <v>618</v>
      </c>
      <c r="T238" s="313">
        <v>0.15</v>
      </c>
      <c r="U238" s="5">
        <f t="shared" si="19"/>
        <v>1</v>
      </c>
      <c r="V238" s="591"/>
      <c r="W238" s="591"/>
      <c r="X238" s="592"/>
      <c r="Y238" s="592"/>
      <c r="Z238" s="356" t="s">
        <v>603</v>
      </c>
      <c r="AA238" s="98"/>
    </row>
    <row r="239" spans="1:27" ht="15" hidden="1" customHeight="1">
      <c r="A239" s="475"/>
      <c r="B239" s="352">
        <v>33</v>
      </c>
      <c r="C239" s="356"/>
      <c r="D239" s="76"/>
      <c r="E239" s="76"/>
      <c r="F239" s="356"/>
      <c r="G239" s="313"/>
      <c r="H239" s="313"/>
      <c r="I239" s="6"/>
      <c r="J239" s="313"/>
      <c r="K239" s="313"/>
      <c r="L239" s="313"/>
      <c r="M239" s="313"/>
      <c r="N239" s="356" t="s">
        <v>619</v>
      </c>
      <c r="O239" s="356" t="s">
        <v>613</v>
      </c>
      <c r="P239" s="76" t="s">
        <v>27</v>
      </c>
      <c r="Q239" s="434">
        <v>0.5</v>
      </c>
      <c r="R239" s="434">
        <v>1.24</v>
      </c>
      <c r="S239" s="356" t="s">
        <v>616</v>
      </c>
      <c r="T239" s="313">
        <v>0.62</v>
      </c>
      <c r="U239" s="5">
        <f t="shared" si="19"/>
        <v>1.24</v>
      </c>
      <c r="V239" s="591"/>
      <c r="W239" s="591"/>
      <c r="X239" s="592"/>
      <c r="Y239" s="592"/>
      <c r="Z239" s="356" t="s">
        <v>603</v>
      </c>
      <c r="AA239" s="98"/>
    </row>
    <row r="240" spans="1:27" ht="15" hidden="1" customHeight="1">
      <c r="A240" s="475"/>
      <c r="B240" s="352">
        <v>34</v>
      </c>
      <c r="C240" s="356"/>
      <c r="D240" s="76"/>
      <c r="E240" s="76"/>
      <c r="F240" s="356"/>
      <c r="G240" s="313"/>
      <c r="H240" s="313"/>
      <c r="I240" s="6"/>
      <c r="J240" s="313"/>
      <c r="K240" s="313"/>
      <c r="L240" s="313"/>
      <c r="M240" s="313"/>
      <c r="N240" s="356" t="s">
        <v>620</v>
      </c>
      <c r="O240" s="356" t="s">
        <v>613</v>
      </c>
      <c r="P240" s="76" t="s">
        <v>27</v>
      </c>
      <c r="Q240" s="434">
        <v>0.82</v>
      </c>
      <c r="R240" s="434">
        <v>2</v>
      </c>
      <c r="S240" s="356" t="s">
        <v>621</v>
      </c>
      <c r="T240" s="313">
        <v>1</v>
      </c>
      <c r="U240" s="5">
        <f t="shared" si="19"/>
        <v>1.2195121951219512</v>
      </c>
      <c r="V240" s="591"/>
      <c r="W240" s="591"/>
      <c r="X240" s="592"/>
      <c r="Y240" s="592"/>
      <c r="Z240" s="356" t="s">
        <v>603</v>
      </c>
      <c r="AA240" s="98"/>
    </row>
    <row r="241" spans="1:27" ht="15" hidden="1" customHeight="1">
      <c r="A241" s="475"/>
      <c r="B241" s="352">
        <v>35</v>
      </c>
      <c r="C241" s="356"/>
      <c r="D241" s="76"/>
      <c r="E241" s="76"/>
      <c r="F241" s="356"/>
      <c r="G241" s="313"/>
      <c r="H241" s="313"/>
      <c r="I241" s="6"/>
      <c r="J241" s="313"/>
      <c r="K241" s="313"/>
      <c r="L241" s="313"/>
      <c r="M241" s="313"/>
      <c r="N241" s="336" t="s">
        <v>608</v>
      </c>
      <c r="O241" s="356" t="s">
        <v>613</v>
      </c>
      <c r="P241" s="76" t="s">
        <v>27</v>
      </c>
      <c r="Q241" s="159">
        <v>0.26</v>
      </c>
      <c r="R241" s="159">
        <v>0.75</v>
      </c>
      <c r="S241" s="336" t="s">
        <v>621</v>
      </c>
      <c r="T241" s="177">
        <v>0.37</v>
      </c>
      <c r="U241" s="5">
        <f t="shared" si="19"/>
        <v>1.4230769230769229</v>
      </c>
      <c r="V241" s="591"/>
      <c r="W241" s="591"/>
      <c r="X241" s="592"/>
      <c r="Y241" s="592"/>
      <c r="Z241" s="356" t="s">
        <v>603</v>
      </c>
      <c r="AA241" s="98"/>
    </row>
    <row r="242" spans="1:27" ht="15" hidden="1" customHeight="1">
      <c r="A242" s="475"/>
      <c r="B242" s="352">
        <v>36</v>
      </c>
      <c r="C242" s="356"/>
      <c r="D242" s="76"/>
      <c r="E242" s="76"/>
      <c r="F242" s="356"/>
      <c r="G242" s="313"/>
      <c r="H242" s="313"/>
      <c r="I242" s="6"/>
      <c r="J242" s="313"/>
      <c r="K242" s="313"/>
      <c r="L242" s="313"/>
      <c r="M242" s="313"/>
      <c r="N242" s="336" t="s">
        <v>622</v>
      </c>
      <c r="O242" s="356" t="s">
        <v>613</v>
      </c>
      <c r="P242" s="76" t="s">
        <v>27</v>
      </c>
      <c r="Q242" s="159">
        <v>9.4</v>
      </c>
      <c r="R242" s="159">
        <v>20</v>
      </c>
      <c r="S242" s="336" t="s">
        <v>623</v>
      </c>
      <c r="T242" s="177">
        <v>10</v>
      </c>
      <c r="U242" s="5">
        <f t="shared" si="19"/>
        <v>1.0638297872340425</v>
      </c>
      <c r="V242" s="588"/>
      <c r="W242" s="588"/>
      <c r="X242" s="590"/>
      <c r="Y242" s="590"/>
      <c r="Z242" s="356" t="s">
        <v>603</v>
      </c>
      <c r="AA242" s="98"/>
    </row>
    <row r="243" spans="1:27" ht="36">
      <c r="A243" s="475"/>
      <c r="B243" s="352">
        <v>37</v>
      </c>
      <c r="C243" s="356" t="s">
        <v>1927</v>
      </c>
      <c r="D243" s="76">
        <v>33470.366900000001</v>
      </c>
      <c r="E243" s="76" t="s">
        <v>2098</v>
      </c>
      <c r="F243" s="356" t="s">
        <v>242</v>
      </c>
      <c r="G243" s="313">
        <v>106.46</v>
      </c>
      <c r="H243" s="313">
        <v>5</v>
      </c>
      <c r="I243" s="6"/>
      <c r="J243" s="313"/>
      <c r="K243" s="313"/>
      <c r="L243" s="313"/>
      <c r="M243" s="313">
        <f>J243+L243+H243+G243</f>
        <v>111.46</v>
      </c>
      <c r="N243" s="356" t="s">
        <v>625</v>
      </c>
      <c r="O243" s="160" t="s">
        <v>626</v>
      </c>
      <c r="P243" s="76" t="s">
        <v>36</v>
      </c>
      <c r="Q243" s="434">
        <v>35</v>
      </c>
      <c r="R243" s="434">
        <v>110</v>
      </c>
      <c r="S243" s="356" t="s">
        <v>627</v>
      </c>
      <c r="T243" s="313">
        <v>60</v>
      </c>
      <c r="U243" s="5">
        <f t="shared" si="19"/>
        <v>1.7142857142857142</v>
      </c>
      <c r="V243" s="587">
        <f>SUM(Q243:Q249)</f>
        <v>116</v>
      </c>
      <c r="W243" s="587">
        <f>SUM(T243:T249)</f>
        <v>160</v>
      </c>
      <c r="X243" s="589">
        <f>W243/V243</f>
        <v>1.3793103448275863</v>
      </c>
      <c r="Y243" s="589">
        <f>W243/M243</f>
        <v>1.4354925533823795</v>
      </c>
      <c r="Z243" s="356" t="s">
        <v>381</v>
      </c>
      <c r="AA243" s="98"/>
    </row>
    <row r="244" spans="1:27" ht="60">
      <c r="A244" s="475"/>
      <c r="B244" s="352">
        <v>38</v>
      </c>
      <c r="C244" s="356"/>
      <c r="D244" s="76"/>
      <c r="E244" s="76"/>
      <c r="F244" s="356"/>
      <c r="G244" s="313"/>
      <c r="H244" s="313"/>
      <c r="I244" s="6"/>
      <c r="J244" s="313"/>
      <c r="K244" s="313"/>
      <c r="L244" s="313"/>
      <c r="M244" s="313"/>
      <c r="N244" s="356" t="s">
        <v>628</v>
      </c>
      <c r="O244" s="160" t="s">
        <v>629</v>
      </c>
      <c r="P244" s="76" t="s">
        <v>36</v>
      </c>
      <c r="Q244" s="434">
        <v>20</v>
      </c>
      <c r="R244" s="434">
        <v>90</v>
      </c>
      <c r="S244" s="356" t="s">
        <v>630</v>
      </c>
      <c r="T244" s="313">
        <v>17</v>
      </c>
      <c r="U244" s="5">
        <f t="shared" si="19"/>
        <v>0.85</v>
      </c>
      <c r="V244" s="591"/>
      <c r="W244" s="591"/>
      <c r="X244" s="592"/>
      <c r="Y244" s="592"/>
      <c r="Z244" s="356" t="s">
        <v>381</v>
      </c>
      <c r="AA244" s="98"/>
    </row>
    <row r="245" spans="1:27" ht="24">
      <c r="A245" s="475"/>
      <c r="B245" s="352">
        <v>39</v>
      </c>
      <c r="C245" s="356"/>
      <c r="D245" s="76"/>
      <c r="E245" s="76"/>
      <c r="F245" s="356"/>
      <c r="G245" s="313"/>
      <c r="H245" s="313"/>
      <c r="I245" s="6"/>
      <c r="J245" s="313"/>
      <c r="K245" s="313"/>
      <c r="L245" s="313"/>
      <c r="M245" s="313"/>
      <c r="N245" s="356" t="s">
        <v>631</v>
      </c>
      <c r="O245" s="161" t="s">
        <v>632</v>
      </c>
      <c r="P245" s="76" t="s">
        <v>36</v>
      </c>
      <c r="Q245" s="434">
        <v>11</v>
      </c>
      <c r="R245" s="434">
        <v>60</v>
      </c>
      <c r="S245" s="356" t="s">
        <v>630</v>
      </c>
      <c r="T245" s="313">
        <v>13</v>
      </c>
      <c r="U245" s="5">
        <f t="shared" si="19"/>
        <v>1.1818181818181819</v>
      </c>
      <c r="V245" s="591"/>
      <c r="W245" s="591"/>
      <c r="X245" s="592"/>
      <c r="Y245" s="592"/>
      <c r="Z245" s="356" t="s">
        <v>381</v>
      </c>
      <c r="AA245" s="98"/>
    </row>
    <row r="246" spans="1:27" ht="24">
      <c r="A246" s="475"/>
      <c r="B246" s="352">
        <v>40</v>
      </c>
      <c r="C246" s="356"/>
      <c r="D246" s="76"/>
      <c r="E246" s="76"/>
      <c r="F246" s="356"/>
      <c r="G246" s="313"/>
      <c r="H246" s="313"/>
      <c r="I246" s="6"/>
      <c r="J246" s="313"/>
      <c r="K246" s="313"/>
      <c r="L246" s="313"/>
      <c r="M246" s="313"/>
      <c r="N246" s="356" t="s">
        <v>633</v>
      </c>
      <c r="O246" s="161" t="s">
        <v>634</v>
      </c>
      <c r="P246" s="76" t="s">
        <v>36</v>
      </c>
      <c r="Q246" s="434">
        <v>4</v>
      </c>
      <c r="R246" s="434">
        <v>23</v>
      </c>
      <c r="S246" s="356" t="s">
        <v>630</v>
      </c>
      <c r="T246" s="313">
        <v>5</v>
      </c>
      <c r="U246" s="5">
        <f t="shared" si="19"/>
        <v>1.25</v>
      </c>
      <c r="V246" s="591"/>
      <c r="W246" s="591"/>
      <c r="X246" s="592"/>
      <c r="Y246" s="592"/>
      <c r="Z246" s="356" t="s">
        <v>381</v>
      </c>
      <c r="AA246" s="98"/>
    </row>
    <row r="247" spans="1:27" ht="24">
      <c r="A247" s="475"/>
      <c r="B247" s="352">
        <v>41</v>
      </c>
      <c r="C247" s="356"/>
      <c r="D247" s="76"/>
      <c r="E247" s="76"/>
      <c r="F247" s="356"/>
      <c r="G247" s="313"/>
      <c r="H247" s="313"/>
      <c r="I247" s="6"/>
      <c r="J247" s="313"/>
      <c r="K247" s="313"/>
      <c r="L247" s="313"/>
      <c r="M247" s="313"/>
      <c r="N247" s="356" t="s">
        <v>635</v>
      </c>
      <c r="O247" s="161" t="s">
        <v>636</v>
      </c>
      <c r="P247" s="76" t="s">
        <v>36</v>
      </c>
      <c r="Q247" s="434">
        <v>18</v>
      </c>
      <c r="R247" s="434">
        <v>121</v>
      </c>
      <c r="S247" s="356" t="s">
        <v>630</v>
      </c>
      <c r="T247" s="313">
        <v>23</v>
      </c>
      <c r="U247" s="5">
        <f t="shared" si="19"/>
        <v>1.2777777777777777</v>
      </c>
      <c r="V247" s="591"/>
      <c r="W247" s="591"/>
      <c r="X247" s="592"/>
      <c r="Y247" s="592"/>
      <c r="Z247" s="356" t="s">
        <v>381</v>
      </c>
      <c r="AA247" s="98"/>
    </row>
    <row r="248" spans="1:27" ht="48">
      <c r="A248" s="475"/>
      <c r="B248" s="352">
        <v>42</v>
      </c>
      <c r="C248" s="356"/>
      <c r="D248" s="76"/>
      <c r="E248" s="76"/>
      <c r="F248" s="356"/>
      <c r="G248" s="313"/>
      <c r="H248" s="313"/>
      <c r="I248" s="6"/>
      <c r="J248" s="313"/>
      <c r="K248" s="313"/>
      <c r="L248" s="313"/>
      <c r="M248" s="313"/>
      <c r="N248" s="356" t="s">
        <v>637</v>
      </c>
      <c r="O248" s="161" t="s">
        <v>638</v>
      </c>
      <c r="P248" s="76" t="s">
        <v>36</v>
      </c>
      <c r="Q248" s="434">
        <v>8</v>
      </c>
      <c r="R248" s="434">
        <v>53</v>
      </c>
      <c r="S248" s="356" t="s">
        <v>630</v>
      </c>
      <c r="T248" s="313">
        <v>7</v>
      </c>
      <c r="U248" s="5">
        <f t="shared" si="19"/>
        <v>0.875</v>
      </c>
      <c r="V248" s="591"/>
      <c r="W248" s="591"/>
      <c r="X248" s="592"/>
      <c r="Y248" s="592"/>
      <c r="Z248" s="356" t="s">
        <v>381</v>
      </c>
      <c r="AA248" s="98"/>
    </row>
    <row r="249" spans="1:27" ht="36">
      <c r="A249" s="475"/>
      <c r="B249" s="352">
        <v>43</v>
      </c>
      <c r="C249" s="356"/>
      <c r="D249" s="76"/>
      <c r="E249" s="76"/>
      <c r="F249" s="356"/>
      <c r="G249" s="313"/>
      <c r="H249" s="313"/>
      <c r="I249" s="6"/>
      <c r="J249" s="313"/>
      <c r="K249" s="313"/>
      <c r="L249" s="313"/>
      <c r="M249" s="313"/>
      <c r="N249" s="356" t="s">
        <v>448</v>
      </c>
      <c r="O249" s="161" t="s">
        <v>639</v>
      </c>
      <c r="P249" s="76" t="s">
        <v>36</v>
      </c>
      <c r="Q249" s="434">
        <v>20</v>
      </c>
      <c r="R249" s="434">
        <v>111</v>
      </c>
      <c r="S249" s="356" t="s">
        <v>640</v>
      </c>
      <c r="T249" s="313">
        <v>35</v>
      </c>
      <c r="U249" s="5">
        <f t="shared" si="19"/>
        <v>1.75</v>
      </c>
      <c r="V249" s="588"/>
      <c r="W249" s="588"/>
      <c r="X249" s="590"/>
      <c r="Y249" s="590"/>
      <c r="Z249" s="356" t="s">
        <v>381</v>
      </c>
      <c r="AA249" s="98"/>
    </row>
    <row r="250" spans="1:27" ht="24">
      <c r="A250" s="475"/>
      <c r="B250" s="352">
        <v>44</v>
      </c>
      <c r="C250" s="356" t="s">
        <v>1928</v>
      </c>
      <c r="D250" s="76">
        <v>149117.13</v>
      </c>
      <c r="E250" s="76" t="s">
        <v>2099</v>
      </c>
      <c r="F250" s="356" t="s">
        <v>642</v>
      </c>
      <c r="G250" s="313">
        <v>405.464</v>
      </c>
      <c r="H250" s="313">
        <v>0.9</v>
      </c>
      <c r="I250" s="6" t="s">
        <v>643</v>
      </c>
      <c r="J250" s="313">
        <v>94.6</v>
      </c>
      <c r="K250" s="313"/>
      <c r="L250" s="313"/>
      <c r="M250" s="313">
        <f>J250+L250+H250+G250</f>
        <v>500.964</v>
      </c>
      <c r="N250" s="356" t="s">
        <v>644</v>
      </c>
      <c r="O250" s="356" t="s">
        <v>645</v>
      </c>
      <c r="P250" s="76" t="s">
        <v>36</v>
      </c>
      <c r="Q250" s="434">
        <v>5</v>
      </c>
      <c r="R250" s="434">
        <v>35</v>
      </c>
      <c r="S250" s="356" t="s">
        <v>249</v>
      </c>
      <c r="T250" s="313">
        <v>3.0034489999999998</v>
      </c>
      <c r="U250" s="5">
        <f t="shared" si="19"/>
        <v>0.60068979999999994</v>
      </c>
      <c r="V250" s="597">
        <f>SUM(Q250:Q253)</f>
        <v>15.323029</v>
      </c>
      <c r="W250" s="597">
        <f>SUM(T250:T253)</f>
        <v>10.404067</v>
      </c>
      <c r="X250" s="589">
        <f>W250/V250</f>
        <v>0.67898239962868956</v>
      </c>
      <c r="Y250" s="589">
        <f>W250/M250</f>
        <v>2.0768093116471441E-2</v>
      </c>
      <c r="Z250" s="356" t="s">
        <v>562</v>
      </c>
      <c r="AA250" s="98"/>
    </row>
    <row r="251" spans="1:27">
      <c r="A251" s="475"/>
      <c r="B251" s="352">
        <v>45</v>
      </c>
      <c r="C251" s="154"/>
      <c r="D251" s="155"/>
      <c r="E251" s="155"/>
      <c r="F251" s="154"/>
      <c r="G251" s="162"/>
      <c r="H251" s="162"/>
      <c r="I251" s="163"/>
      <c r="J251" s="162"/>
      <c r="K251" s="162"/>
      <c r="L251" s="162"/>
      <c r="M251" s="313"/>
      <c r="N251" s="356" t="s">
        <v>646</v>
      </c>
      <c r="O251" s="356" t="s">
        <v>645</v>
      </c>
      <c r="P251" s="76" t="s">
        <v>36</v>
      </c>
      <c r="Q251" s="434">
        <v>8</v>
      </c>
      <c r="R251" s="434">
        <v>25</v>
      </c>
      <c r="S251" s="356" t="s">
        <v>134</v>
      </c>
      <c r="T251" s="313">
        <v>5.0775889999999997</v>
      </c>
      <c r="U251" s="5">
        <f t="shared" si="19"/>
        <v>0.63469862499999996</v>
      </c>
      <c r="V251" s="598"/>
      <c r="W251" s="598"/>
      <c r="X251" s="592"/>
      <c r="Y251" s="592"/>
      <c r="Z251" s="356" t="s">
        <v>562</v>
      </c>
      <c r="AA251" s="98"/>
    </row>
    <row r="252" spans="1:27" ht="24" hidden="1" customHeight="1">
      <c r="A252" s="475"/>
      <c r="B252" s="352">
        <v>46</v>
      </c>
      <c r="C252" s="154"/>
      <c r="D252" s="155"/>
      <c r="E252" s="155"/>
      <c r="F252" s="154"/>
      <c r="G252" s="162"/>
      <c r="H252" s="162"/>
      <c r="I252" s="163"/>
      <c r="J252" s="162"/>
      <c r="K252" s="162"/>
      <c r="L252" s="162"/>
      <c r="M252" s="313"/>
      <c r="N252" s="356" t="s">
        <v>134</v>
      </c>
      <c r="O252" s="356" t="s">
        <v>647</v>
      </c>
      <c r="P252" s="76" t="s">
        <v>27</v>
      </c>
      <c r="Q252" s="434">
        <v>1.993158</v>
      </c>
      <c r="R252" s="434">
        <v>5.5</v>
      </c>
      <c r="S252" s="356" t="s">
        <v>648</v>
      </c>
      <c r="T252" s="313">
        <v>1.993158</v>
      </c>
      <c r="U252" s="5">
        <f t="shared" si="19"/>
        <v>1</v>
      </c>
      <c r="V252" s="598"/>
      <c r="W252" s="598"/>
      <c r="X252" s="592"/>
      <c r="Y252" s="592"/>
      <c r="Z252" s="356" t="s">
        <v>562</v>
      </c>
      <c r="AA252" s="98"/>
    </row>
    <row r="253" spans="1:27" ht="24" hidden="1" customHeight="1">
      <c r="A253" s="475"/>
      <c r="B253" s="352">
        <v>47</v>
      </c>
      <c r="C253" s="154"/>
      <c r="D253" s="155"/>
      <c r="E253" s="155"/>
      <c r="F253" s="84"/>
      <c r="G253" s="156"/>
      <c r="H253" s="156"/>
      <c r="I253" s="157"/>
      <c r="J253" s="156"/>
      <c r="K253" s="156"/>
      <c r="L253" s="156"/>
      <c r="M253" s="313"/>
      <c r="N253" s="356" t="s">
        <v>649</v>
      </c>
      <c r="O253" s="356" t="s">
        <v>650</v>
      </c>
      <c r="P253" s="76" t="s">
        <v>27</v>
      </c>
      <c r="Q253" s="434">
        <v>0.32987100000000003</v>
      </c>
      <c r="R253" s="434">
        <v>3</v>
      </c>
      <c r="S253" s="356" t="s">
        <v>651</v>
      </c>
      <c r="T253" s="313">
        <v>0.32987100000000003</v>
      </c>
      <c r="U253" s="5">
        <f t="shared" si="19"/>
        <v>1</v>
      </c>
      <c r="V253" s="599"/>
      <c r="W253" s="599"/>
      <c r="X253" s="590"/>
      <c r="Y253" s="590"/>
      <c r="Z253" s="356" t="s">
        <v>562</v>
      </c>
      <c r="AA253" s="98"/>
    </row>
    <row r="254" spans="1:27" ht="24">
      <c r="A254" s="475"/>
      <c r="B254" s="352">
        <v>48</v>
      </c>
      <c r="C254" s="356" t="s">
        <v>652</v>
      </c>
      <c r="D254" s="76">
        <v>8574.9796000000006</v>
      </c>
      <c r="E254" s="76" t="s">
        <v>2100</v>
      </c>
      <c r="F254" s="356" t="s">
        <v>653</v>
      </c>
      <c r="G254" s="313"/>
      <c r="H254" s="313"/>
      <c r="I254" s="6" t="s">
        <v>250</v>
      </c>
      <c r="J254" s="313">
        <v>13.7</v>
      </c>
      <c r="K254" s="313"/>
      <c r="L254" s="313"/>
      <c r="M254" s="313">
        <f t="shared" ref="M254:M260" si="20">J254+L254+H254+G254</f>
        <v>13.7</v>
      </c>
      <c r="N254" s="356" t="s">
        <v>654</v>
      </c>
      <c r="O254" s="356" t="s">
        <v>655</v>
      </c>
      <c r="P254" s="76" t="s">
        <v>36</v>
      </c>
      <c r="Q254" s="434">
        <v>0.1</v>
      </c>
      <c r="R254" s="434">
        <v>39</v>
      </c>
      <c r="S254" s="356"/>
      <c r="T254" s="313"/>
      <c r="U254" s="5">
        <f t="shared" si="19"/>
        <v>0</v>
      </c>
      <c r="V254" s="24"/>
      <c r="W254" s="24"/>
      <c r="X254" s="24"/>
      <c r="Y254" s="24"/>
      <c r="Z254" s="356" t="s">
        <v>562</v>
      </c>
      <c r="AA254" s="98"/>
    </row>
    <row r="255" spans="1:27" ht="15" hidden="1" customHeight="1">
      <c r="A255" s="475"/>
      <c r="B255" s="352">
        <v>49</v>
      </c>
      <c r="C255" s="356" t="s">
        <v>1929</v>
      </c>
      <c r="D255" s="76">
        <v>6830</v>
      </c>
      <c r="E255" s="76" t="s">
        <v>2101</v>
      </c>
      <c r="F255" s="356" t="s">
        <v>31</v>
      </c>
      <c r="G255" s="313">
        <v>21</v>
      </c>
      <c r="H255" s="313">
        <v>0</v>
      </c>
      <c r="I255" s="6" t="s">
        <v>250</v>
      </c>
      <c r="J255" s="313">
        <v>6</v>
      </c>
      <c r="K255" s="313"/>
      <c r="L255" s="313"/>
      <c r="M255" s="313">
        <f t="shared" si="20"/>
        <v>27</v>
      </c>
      <c r="N255" s="356" t="s">
        <v>542</v>
      </c>
      <c r="O255" s="356"/>
      <c r="P255" s="356"/>
      <c r="Q255" s="434"/>
      <c r="R255" s="434"/>
      <c r="S255" s="356"/>
      <c r="T255" s="313"/>
      <c r="U255" s="5" t="e">
        <f t="shared" si="19"/>
        <v>#DIV/0!</v>
      </c>
      <c r="V255" s="24"/>
      <c r="W255" s="24"/>
      <c r="X255" s="24"/>
      <c r="Y255" s="24"/>
      <c r="Z255" s="356" t="s">
        <v>548</v>
      </c>
      <c r="AA255" s="98"/>
    </row>
    <row r="256" spans="1:27" ht="36" hidden="1" customHeight="1">
      <c r="A256" s="475"/>
      <c r="B256" s="352">
        <v>50</v>
      </c>
      <c r="C256" s="356" t="s">
        <v>656</v>
      </c>
      <c r="D256" s="76">
        <v>16478.759999999998</v>
      </c>
      <c r="E256" s="76" t="s">
        <v>2102</v>
      </c>
      <c r="F256" s="356" t="s">
        <v>372</v>
      </c>
      <c r="G256" s="313">
        <v>52.407826</v>
      </c>
      <c r="H256" s="313">
        <v>5</v>
      </c>
      <c r="I256" s="6" t="s">
        <v>372</v>
      </c>
      <c r="J256" s="313">
        <v>24.326232000000001</v>
      </c>
      <c r="K256" s="313"/>
      <c r="L256" s="313"/>
      <c r="M256" s="313">
        <f t="shared" si="20"/>
        <v>81.734058000000005</v>
      </c>
      <c r="N256" s="356" t="s">
        <v>657</v>
      </c>
      <c r="O256" s="356" t="s">
        <v>658</v>
      </c>
      <c r="P256" s="76" t="s">
        <v>27</v>
      </c>
      <c r="Q256" s="434">
        <v>0.41</v>
      </c>
      <c r="R256" s="434">
        <v>0.5</v>
      </c>
      <c r="S256" s="356" t="s">
        <v>659</v>
      </c>
      <c r="T256" s="313">
        <v>0.4</v>
      </c>
      <c r="U256" s="5">
        <f t="shared" si="19"/>
        <v>0.97560975609756106</v>
      </c>
      <c r="V256" s="24">
        <f>Q256</f>
        <v>0.41</v>
      </c>
      <c r="W256" s="24">
        <f>T256</f>
        <v>0.4</v>
      </c>
      <c r="X256" s="27">
        <f>W256/V256</f>
        <v>0.97560975609756106</v>
      </c>
      <c r="Y256" s="27">
        <f>W256/M256</f>
        <v>4.8939207202950818E-3</v>
      </c>
      <c r="Z256" s="356" t="s">
        <v>381</v>
      </c>
      <c r="AA256" s="98"/>
    </row>
    <row r="257" spans="1:27" ht="24" hidden="1" customHeight="1">
      <c r="A257" s="475"/>
      <c r="B257" s="352">
        <v>51</v>
      </c>
      <c r="C257" s="342" t="s">
        <v>660</v>
      </c>
      <c r="D257" s="76">
        <v>38107.620000000003</v>
      </c>
      <c r="E257" s="76" t="s">
        <v>2103</v>
      </c>
      <c r="F257" s="342" t="s">
        <v>661</v>
      </c>
      <c r="G257" s="325">
        <v>115</v>
      </c>
      <c r="H257" s="325">
        <v>0</v>
      </c>
      <c r="I257" s="150" t="s">
        <v>662</v>
      </c>
      <c r="J257" s="325">
        <v>66</v>
      </c>
      <c r="K257" s="325"/>
      <c r="L257" s="325"/>
      <c r="M257" s="313">
        <f t="shared" si="20"/>
        <v>181</v>
      </c>
      <c r="N257" s="342" t="s">
        <v>663</v>
      </c>
      <c r="O257" s="342"/>
      <c r="P257" s="342"/>
      <c r="Q257" s="347"/>
      <c r="R257" s="347"/>
      <c r="S257" s="342"/>
      <c r="T257" s="325"/>
      <c r="U257" s="5" t="e">
        <f t="shared" si="19"/>
        <v>#DIV/0!</v>
      </c>
      <c r="V257" s="24"/>
      <c r="W257" s="24"/>
      <c r="X257" s="24"/>
      <c r="Y257" s="24"/>
      <c r="Z257" s="342" t="s">
        <v>554</v>
      </c>
      <c r="AA257" s="98"/>
    </row>
    <row r="258" spans="1:27" ht="36" hidden="1" customHeight="1">
      <c r="A258" s="475"/>
      <c r="B258" s="352">
        <v>52</v>
      </c>
      <c r="C258" s="164" t="s">
        <v>664</v>
      </c>
      <c r="D258" s="165">
        <v>18619</v>
      </c>
      <c r="E258" s="377" t="s">
        <v>2104</v>
      </c>
      <c r="F258" s="164"/>
      <c r="G258" s="166"/>
      <c r="H258" s="166"/>
      <c r="I258" s="167" t="s">
        <v>665</v>
      </c>
      <c r="J258" s="166">
        <v>12.915100000000001</v>
      </c>
      <c r="K258" s="166"/>
      <c r="L258" s="166"/>
      <c r="M258" s="313">
        <f t="shared" si="20"/>
        <v>12.915100000000001</v>
      </c>
      <c r="N258" s="164" t="s">
        <v>542</v>
      </c>
      <c r="O258" s="164"/>
      <c r="P258" s="164"/>
      <c r="Q258" s="168"/>
      <c r="R258" s="168"/>
      <c r="S258" s="164"/>
      <c r="T258" s="166"/>
      <c r="U258" s="5" t="e">
        <f t="shared" si="19"/>
        <v>#DIV/0!</v>
      </c>
      <c r="V258" s="24"/>
      <c r="W258" s="24"/>
      <c r="X258" s="24"/>
      <c r="Y258" s="24"/>
      <c r="Z258" s="164" t="s">
        <v>562</v>
      </c>
      <c r="AA258" s="98"/>
    </row>
    <row r="259" spans="1:27" ht="24" hidden="1" customHeight="1">
      <c r="A259" s="475"/>
      <c r="B259" s="352">
        <v>53</v>
      </c>
      <c r="C259" s="169" t="s">
        <v>666</v>
      </c>
      <c r="D259" s="170">
        <v>58514.995199999998</v>
      </c>
      <c r="E259" s="170" t="s">
        <v>2105</v>
      </c>
      <c r="F259" s="169" t="s">
        <v>31</v>
      </c>
      <c r="G259" s="171">
        <v>40</v>
      </c>
      <c r="H259" s="171">
        <v>5</v>
      </c>
      <c r="I259" s="172" t="s">
        <v>39</v>
      </c>
      <c r="J259" s="171">
        <v>15</v>
      </c>
      <c r="K259" s="171"/>
      <c r="L259" s="171"/>
      <c r="M259" s="313">
        <f t="shared" si="20"/>
        <v>60</v>
      </c>
      <c r="N259" s="169" t="s">
        <v>663</v>
      </c>
      <c r="O259" s="169"/>
      <c r="P259" s="169"/>
      <c r="Q259" s="173"/>
      <c r="R259" s="173"/>
      <c r="S259" s="169"/>
      <c r="T259" s="171"/>
      <c r="U259" s="5" t="e">
        <f t="shared" si="19"/>
        <v>#DIV/0!</v>
      </c>
      <c r="V259" s="24"/>
      <c r="W259" s="24"/>
      <c r="X259" s="24"/>
      <c r="Y259" s="24"/>
      <c r="Z259" s="169"/>
      <c r="AA259" s="98"/>
    </row>
    <row r="260" spans="1:27" ht="36">
      <c r="A260" s="475"/>
      <c r="B260" s="352">
        <v>54</v>
      </c>
      <c r="C260" s="356" t="s">
        <v>1930</v>
      </c>
      <c r="D260" s="76">
        <v>30923.242699999999</v>
      </c>
      <c r="E260" s="76" t="s">
        <v>2106</v>
      </c>
      <c r="F260" s="356" t="s">
        <v>543</v>
      </c>
      <c r="G260" s="313">
        <v>99.055462000000006</v>
      </c>
      <c r="H260" s="313">
        <v>0.61</v>
      </c>
      <c r="I260" s="6" t="s">
        <v>668</v>
      </c>
      <c r="J260" s="313">
        <v>40.5</v>
      </c>
      <c r="K260" s="313"/>
      <c r="L260" s="313"/>
      <c r="M260" s="313">
        <f t="shared" si="20"/>
        <v>140.16546199999999</v>
      </c>
      <c r="N260" s="356" t="s">
        <v>669</v>
      </c>
      <c r="O260" s="356" t="s">
        <v>1931</v>
      </c>
      <c r="P260" s="76" t="s">
        <v>36</v>
      </c>
      <c r="Q260" s="434">
        <v>800</v>
      </c>
      <c r="R260" s="434">
        <v>800</v>
      </c>
      <c r="S260" s="356" t="s">
        <v>670</v>
      </c>
      <c r="T260" s="314">
        <v>114.88778600000001</v>
      </c>
      <c r="U260" s="5">
        <f t="shared" si="19"/>
        <v>0.1436097325</v>
      </c>
      <c r="V260" s="587">
        <f>SUM(Q260:Q265)</f>
        <v>820</v>
      </c>
      <c r="W260" s="596">
        <f>SUM(T260:T265)</f>
        <v>122.32342700000001</v>
      </c>
      <c r="X260" s="589">
        <f>W260/V260</f>
        <v>0.14917491097560978</v>
      </c>
      <c r="Y260" s="589">
        <f>W260/M260</f>
        <v>0.87270733641929576</v>
      </c>
      <c r="Z260" s="356" t="s">
        <v>671</v>
      </c>
      <c r="AA260" s="98"/>
    </row>
    <row r="261" spans="1:27" ht="24" hidden="1" customHeight="1">
      <c r="A261" s="475"/>
      <c r="B261" s="352">
        <v>55</v>
      </c>
      <c r="C261" s="356"/>
      <c r="D261" s="76"/>
      <c r="E261" s="76"/>
      <c r="F261" s="356"/>
      <c r="G261" s="313"/>
      <c r="H261" s="313"/>
      <c r="I261" s="6"/>
      <c r="J261" s="313"/>
      <c r="K261" s="313"/>
      <c r="L261" s="313"/>
      <c r="M261" s="313"/>
      <c r="N261" s="356" t="s">
        <v>672</v>
      </c>
      <c r="O261" s="356" t="s">
        <v>673</v>
      </c>
      <c r="P261" s="76" t="s">
        <v>27</v>
      </c>
      <c r="Q261" s="434">
        <v>5</v>
      </c>
      <c r="R261" s="434">
        <v>4</v>
      </c>
      <c r="S261" s="174" t="s">
        <v>674</v>
      </c>
      <c r="T261" s="313">
        <v>2.439387</v>
      </c>
      <c r="U261" s="5">
        <f t="shared" si="19"/>
        <v>0.48787740000000002</v>
      </c>
      <c r="V261" s="591"/>
      <c r="W261" s="591"/>
      <c r="X261" s="592"/>
      <c r="Y261" s="592"/>
      <c r="Z261" s="356" t="s">
        <v>671</v>
      </c>
      <c r="AA261" s="98"/>
    </row>
    <row r="262" spans="1:27" ht="24" hidden="1" customHeight="1">
      <c r="A262" s="475"/>
      <c r="B262" s="352">
        <v>56</v>
      </c>
      <c r="C262" s="356"/>
      <c r="D262" s="76"/>
      <c r="E262" s="76"/>
      <c r="F262" s="356"/>
      <c r="G262" s="313"/>
      <c r="H262" s="313"/>
      <c r="I262" s="6"/>
      <c r="J262" s="313"/>
      <c r="K262" s="313"/>
      <c r="L262" s="313"/>
      <c r="M262" s="313"/>
      <c r="N262" s="356" t="s">
        <v>675</v>
      </c>
      <c r="O262" s="356" t="s">
        <v>676</v>
      </c>
      <c r="P262" s="76" t="s">
        <v>27</v>
      </c>
      <c r="Q262" s="434">
        <v>6</v>
      </c>
      <c r="R262" s="434">
        <v>3</v>
      </c>
      <c r="S262" s="174" t="s">
        <v>112</v>
      </c>
      <c r="T262" s="313">
        <v>2.6589420000000001</v>
      </c>
      <c r="U262" s="5">
        <f t="shared" si="19"/>
        <v>0.44315700000000002</v>
      </c>
      <c r="V262" s="591"/>
      <c r="W262" s="591"/>
      <c r="X262" s="592"/>
      <c r="Y262" s="592"/>
      <c r="Z262" s="356" t="s">
        <v>671</v>
      </c>
      <c r="AA262" s="98"/>
    </row>
    <row r="263" spans="1:27" ht="36" hidden="1" customHeight="1">
      <c r="A263" s="475"/>
      <c r="B263" s="352">
        <v>57</v>
      </c>
      <c r="C263" s="356"/>
      <c r="D263" s="76"/>
      <c r="E263" s="76"/>
      <c r="F263" s="356"/>
      <c r="G263" s="313"/>
      <c r="H263" s="313"/>
      <c r="I263" s="6"/>
      <c r="J263" s="313"/>
      <c r="K263" s="313"/>
      <c r="L263" s="313"/>
      <c r="M263" s="313"/>
      <c r="N263" s="356" t="s">
        <v>677</v>
      </c>
      <c r="O263" s="356" t="s">
        <v>678</v>
      </c>
      <c r="P263" s="76" t="s">
        <v>27</v>
      </c>
      <c r="Q263" s="434">
        <v>3</v>
      </c>
      <c r="R263" s="434">
        <v>2</v>
      </c>
      <c r="S263" s="174" t="s">
        <v>679</v>
      </c>
      <c r="T263" s="313">
        <v>0.82621100000000003</v>
      </c>
      <c r="U263" s="5">
        <f t="shared" si="19"/>
        <v>0.27540366666666666</v>
      </c>
      <c r="V263" s="591"/>
      <c r="W263" s="591"/>
      <c r="X263" s="592"/>
      <c r="Y263" s="592"/>
      <c r="Z263" s="356" t="s">
        <v>671</v>
      </c>
      <c r="AA263" s="98"/>
    </row>
    <row r="264" spans="1:27" ht="36" hidden="1" customHeight="1">
      <c r="A264" s="475"/>
      <c r="B264" s="352">
        <v>58</v>
      </c>
      <c r="C264" s="356"/>
      <c r="D264" s="76"/>
      <c r="E264" s="76"/>
      <c r="F264" s="356"/>
      <c r="G264" s="313"/>
      <c r="H264" s="313"/>
      <c r="I264" s="6"/>
      <c r="J264" s="313"/>
      <c r="K264" s="313"/>
      <c r="L264" s="313"/>
      <c r="M264" s="313"/>
      <c r="N264" s="356" t="s">
        <v>680</v>
      </c>
      <c r="O264" s="356" t="s">
        <v>681</v>
      </c>
      <c r="P264" s="76" t="s">
        <v>27</v>
      </c>
      <c r="Q264" s="434">
        <v>3</v>
      </c>
      <c r="R264" s="434">
        <v>2</v>
      </c>
      <c r="S264" s="174" t="s">
        <v>679</v>
      </c>
      <c r="T264" s="313">
        <v>0.76944999999999997</v>
      </c>
      <c r="U264" s="5">
        <f t="shared" si="19"/>
        <v>0.25648333333333334</v>
      </c>
      <c r="V264" s="591"/>
      <c r="W264" s="591"/>
      <c r="X264" s="592"/>
      <c r="Y264" s="592"/>
      <c r="Z264" s="356" t="s">
        <v>671</v>
      </c>
      <c r="AA264" s="98"/>
    </row>
    <row r="265" spans="1:27" ht="48" hidden="1" customHeight="1">
      <c r="A265" s="475"/>
      <c r="B265" s="352">
        <v>59</v>
      </c>
      <c r="C265" s="356"/>
      <c r="D265" s="76"/>
      <c r="E265" s="76"/>
      <c r="F265" s="356"/>
      <c r="G265" s="313"/>
      <c r="H265" s="313"/>
      <c r="I265" s="6"/>
      <c r="J265" s="313"/>
      <c r="K265" s="313"/>
      <c r="L265" s="313"/>
      <c r="M265" s="313"/>
      <c r="N265" s="356" t="s">
        <v>682</v>
      </c>
      <c r="O265" s="356" t="s">
        <v>1932</v>
      </c>
      <c r="P265" s="76" t="s">
        <v>27</v>
      </c>
      <c r="Q265" s="434">
        <v>3</v>
      </c>
      <c r="R265" s="434">
        <v>2</v>
      </c>
      <c r="S265" s="174" t="s">
        <v>683</v>
      </c>
      <c r="T265" s="313">
        <v>0.74165099999999995</v>
      </c>
      <c r="U265" s="5">
        <f t="shared" si="19"/>
        <v>0.24721699999999999</v>
      </c>
      <c r="V265" s="588"/>
      <c r="W265" s="588"/>
      <c r="X265" s="590"/>
      <c r="Y265" s="590"/>
      <c r="Z265" s="356" t="s">
        <v>671</v>
      </c>
      <c r="AA265" s="98"/>
    </row>
    <row r="266" spans="1:27" ht="24">
      <c r="A266" s="475"/>
      <c r="B266" s="352">
        <v>60</v>
      </c>
      <c r="C266" s="356" t="s">
        <v>1933</v>
      </c>
      <c r="D266" s="76">
        <v>23269.709900000002</v>
      </c>
      <c r="E266" s="76" t="s">
        <v>2107</v>
      </c>
      <c r="F266" s="356" t="s">
        <v>39</v>
      </c>
      <c r="G266" s="313">
        <v>75.13</v>
      </c>
      <c r="H266" s="313">
        <v>1.58</v>
      </c>
      <c r="I266" s="6" t="s">
        <v>251</v>
      </c>
      <c r="J266" s="313">
        <v>31.3</v>
      </c>
      <c r="K266" s="313"/>
      <c r="L266" s="313"/>
      <c r="M266" s="313">
        <f>J266+L266+H266+G266</f>
        <v>108.00999999999999</v>
      </c>
      <c r="N266" s="356" t="s">
        <v>684</v>
      </c>
      <c r="O266" s="356" t="s">
        <v>685</v>
      </c>
      <c r="P266" s="76" t="s">
        <v>36</v>
      </c>
      <c r="Q266" s="434">
        <v>159</v>
      </c>
      <c r="R266" s="434">
        <v>159</v>
      </c>
      <c r="S266" s="356" t="s">
        <v>134</v>
      </c>
      <c r="T266" s="313">
        <v>119</v>
      </c>
      <c r="U266" s="5">
        <f t="shared" si="19"/>
        <v>0.74842767295597479</v>
      </c>
      <c r="V266" s="587">
        <f>SUM(Q266:Q269)</f>
        <v>1484</v>
      </c>
      <c r="W266" s="587">
        <f>SUM(T266:T269)</f>
        <v>146</v>
      </c>
      <c r="X266" s="589">
        <f>W266/V266</f>
        <v>9.8382749326145547E-2</v>
      </c>
      <c r="Y266" s="589">
        <f>W266/M266</f>
        <v>1.3517266919729656</v>
      </c>
      <c r="Z266" s="356" t="s">
        <v>671</v>
      </c>
      <c r="AA266" s="98"/>
    </row>
    <row r="267" spans="1:27" ht="36">
      <c r="A267" s="475"/>
      <c r="B267" s="352">
        <v>61</v>
      </c>
      <c r="C267" s="356"/>
      <c r="D267" s="76"/>
      <c r="E267" s="76"/>
      <c r="F267" s="356"/>
      <c r="G267" s="313"/>
      <c r="H267" s="313"/>
      <c r="I267" s="6"/>
      <c r="J267" s="313"/>
      <c r="K267" s="313"/>
      <c r="L267" s="313"/>
      <c r="M267" s="313"/>
      <c r="N267" s="356" t="s">
        <v>686</v>
      </c>
      <c r="O267" s="356" t="s">
        <v>687</v>
      </c>
      <c r="P267" s="76" t="s">
        <v>36</v>
      </c>
      <c r="Q267" s="434">
        <v>1294</v>
      </c>
      <c r="R267" s="434">
        <v>1617</v>
      </c>
      <c r="S267" s="356"/>
      <c r="T267" s="313"/>
      <c r="U267" s="5">
        <f t="shared" si="19"/>
        <v>0</v>
      </c>
      <c r="V267" s="591"/>
      <c r="W267" s="591"/>
      <c r="X267" s="592"/>
      <c r="Y267" s="592"/>
      <c r="Z267" s="356" t="s">
        <v>671</v>
      </c>
      <c r="AA267" s="98"/>
    </row>
    <row r="268" spans="1:27" ht="36">
      <c r="A268" s="475"/>
      <c r="B268" s="352">
        <v>62</v>
      </c>
      <c r="C268" s="356"/>
      <c r="D268" s="76"/>
      <c r="E268" s="76"/>
      <c r="F268" s="356"/>
      <c r="G268" s="313"/>
      <c r="H268" s="313"/>
      <c r="I268" s="6"/>
      <c r="J268" s="313"/>
      <c r="K268" s="313"/>
      <c r="L268" s="313"/>
      <c r="M268" s="313"/>
      <c r="N268" s="356" t="s">
        <v>688</v>
      </c>
      <c r="O268" s="356" t="s">
        <v>689</v>
      </c>
      <c r="P268" s="76" t="s">
        <v>36</v>
      </c>
      <c r="Q268" s="434">
        <v>30</v>
      </c>
      <c r="R268" s="434">
        <v>37</v>
      </c>
      <c r="S268" s="356" t="s">
        <v>690</v>
      </c>
      <c r="T268" s="313">
        <v>27</v>
      </c>
      <c r="U268" s="5">
        <f t="shared" si="19"/>
        <v>0.9</v>
      </c>
      <c r="V268" s="591"/>
      <c r="W268" s="591"/>
      <c r="X268" s="592"/>
      <c r="Y268" s="592"/>
      <c r="Z268" s="356" t="s">
        <v>671</v>
      </c>
      <c r="AA268" s="98"/>
    </row>
    <row r="269" spans="1:27" ht="36" hidden="1" customHeight="1">
      <c r="A269" s="475"/>
      <c r="B269" s="352">
        <v>63</v>
      </c>
      <c r="C269" s="154" t="s">
        <v>691</v>
      </c>
      <c r="D269" s="155"/>
      <c r="E269" s="155"/>
      <c r="F269" s="84"/>
      <c r="G269" s="156"/>
      <c r="H269" s="156"/>
      <c r="I269" s="157"/>
      <c r="J269" s="156"/>
      <c r="K269" s="156"/>
      <c r="L269" s="156"/>
      <c r="M269" s="156"/>
      <c r="N269" s="356" t="s">
        <v>692</v>
      </c>
      <c r="O269" s="356" t="s">
        <v>693</v>
      </c>
      <c r="P269" s="76" t="s">
        <v>27</v>
      </c>
      <c r="Q269" s="434">
        <v>1</v>
      </c>
      <c r="R269" s="434">
        <v>1</v>
      </c>
      <c r="S269" s="84"/>
      <c r="T269" s="156"/>
      <c r="U269" s="5">
        <f t="shared" si="19"/>
        <v>0</v>
      </c>
      <c r="V269" s="588"/>
      <c r="W269" s="588"/>
      <c r="X269" s="590"/>
      <c r="Y269" s="590"/>
      <c r="Z269" s="356" t="s">
        <v>671</v>
      </c>
      <c r="AA269" s="98"/>
    </row>
    <row r="270" spans="1:27" ht="24" hidden="1" customHeight="1">
      <c r="A270" s="475"/>
      <c r="B270" s="352">
        <v>64</v>
      </c>
      <c r="C270" s="356" t="s">
        <v>694</v>
      </c>
      <c r="D270" s="76">
        <v>53107.360000000001</v>
      </c>
      <c r="E270" s="76" t="s">
        <v>2108</v>
      </c>
      <c r="F270" s="356" t="s">
        <v>39</v>
      </c>
      <c r="G270" s="313">
        <v>139.40459999999999</v>
      </c>
      <c r="H270" s="313"/>
      <c r="I270" s="6" t="s">
        <v>695</v>
      </c>
      <c r="J270" s="313">
        <v>46.8324</v>
      </c>
      <c r="K270" s="313"/>
      <c r="L270" s="313"/>
      <c r="M270" s="313">
        <f>J270+L270+H270+G270</f>
        <v>186.23699999999999</v>
      </c>
      <c r="N270" s="175">
        <v>41712</v>
      </c>
      <c r="O270" s="176" t="s">
        <v>696</v>
      </c>
      <c r="P270" s="76" t="s">
        <v>27</v>
      </c>
      <c r="Q270" s="434">
        <v>0.35372300000000001</v>
      </c>
      <c r="R270" s="434">
        <f>Q270-0.05</f>
        <v>0.30372300000000002</v>
      </c>
      <c r="S270" s="356"/>
      <c r="T270" s="313"/>
      <c r="U270" s="5">
        <f t="shared" si="19"/>
        <v>0</v>
      </c>
      <c r="V270" s="593">
        <f>SUM(Q270:Q286)</f>
        <v>82.426029</v>
      </c>
      <c r="W270" s="593">
        <f>SUM(T270:T286)</f>
        <v>18.00253</v>
      </c>
      <c r="X270" s="589">
        <f>W270/V270</f>
        <v>0.21840831371362074</v>
      </c>
      <c r="Y270" s="589">
        <f>W270/M270</f>
        <v>9.6664626255792349E-2</v>
      </c>
      <c r="Z270" s="356" t="s">
        <v>381</v>
      </c>
      <c r="AA270" s="98"/>
    </row>
    <row r="271" spans="1:27" ht="24" hidden="1" customHeight="1">
      <c r="A271" s="475"/>
      <c r="B271" s="352">
        <v>65</v>
      </c>
      <c r="C271" s="356"/>
      <c r="D271" s="76"/>
      <c r="E271" s="76"/>
      <c r="F271" s="356"/>
      <c r="G271" s="313"/>
      <c r="H271" s="313"/>
      <c r="I271" s="6"/>
      <c r="J271" s="313"/>
      <c r="K271" s="313"/>
      <c r="L271" s="313"/>
      <c r="M271" s="313"/>
      <c r="N271" s="175">
        <v>41716</v>
      </c>
      <c r="O271" s="176" t="s">
        <v>697</v>
      </c>
      <c r="P271" s="76" t="s">
        <v>27</v>
      </c>
      <c r="Q271" s="434">
        <v>0.30332700000000001</v>
      </c>
      <c r="R271" s="434">
        <f t="shared" ref="R271:R286" si="21">Q271-0.05</f>
        <v>0.25332700000000002</v>
      </c>
      <c r="S271" s="356"/>
      <c r="T271" s="313"/>
      <c r="U271" s="5">
        <f t="shared" si="19"/>
        <v>0</v>
      </c>
      <c r="V271" s="594"/>
      <c r="W271" s="594"/>
      <c r="X271" s="592"/>
      <c r="Y271" s="592"/>
      <c r="Z271" s="356" t="s">
        <v>381</v>
      </c>
      <c r="AA271" s="98"/>
    </row>
    <row r="272" spans="1:27">
      <c r="A272" s="475"/>
      <c r="B272" s="352">
        <v>66</v>
      </c>
      <c r="C272" s="356"/>
      <c r="D272" s="76"/>
      <c r="E272" s="76"/>
      <c r="F272" s="356"/>
      <c r="G272" s="313"/>
      <c r="H272" s="313"/>
      <c r="I272" s="6"/>
      <c r="J272" s="313"/>
      <c r="K272" s="313"/>
      <c r="L272" s="313"/>
      <c r="M272" s="313"/>
      <c r="N272" s="175">
        <v>41782</v>
      </c>
      <c r="O272" s="176" t="s">
        <v>698</v>
      </c>
      <c r="P272" s="76" t="s">
        <v>36</v>
      </c>
      <c r="Q272" s="434">
        <v>7.4531999999999998</v>
      </c>
      <c r="R272" s="434">
        <v>7.4531999999999998</v>
      </c>
      <c r="S272" s="175">
        <v>41980</v>
      </c>
      <c r="T272" s="313">
        <v>3.8273000000000001</v>
      </c>
      <c r="U272" s="5">
        <f t="shared" ref="U272:U293" si="22">T272/Q272</f>
        <v>0.51351097515161281</v>
      </c>
      <c r="V272" s="594"/>
      <c r="W272" s="594"/>
      <c r="X272" s="592"/>
      <c r="Y272" s="592"/>
      <c r="Z272" s="356" t="s">
        <v>381</v>
      </c>
      <c r="AA272" s="98"/>
    </row>
    <row r="273" spans="1:27" ht="24" hidden="1" customHeight="1">
      <c r="A273" s="475"/>
      <c r="B273" s="352">
        <v>67</v>
      </c>
      <c r="C273" s="356"/>
      <c r="D273" s="76"/>
      <c r="E273" s="76"/>
      <c r="F273" s="356"/>
      <c r="G273" s="313"/>
      <c r="H273" s="313"/>
      <c r="I273" s="6"/>
      <c r="J273" s="313"/>
      <c r="K273" s="313"/>
      <c r="L273" s="313"/>
      <c r="M273" s="313"/>
      <c r="N273" s="175">
        <v>41832</v>
      </c>
      <c r="O273" s="176" t="s">
        <v>699</v>
      </c>
      <c r="P273" s="76" t="s">
        <v>27</v>
      </c>
      <c r="Q273" s="434">
        <v>3.525261</v>
      </c>
      <c r="R273" s="434">
        <f t="shared" si="21"/>
        <v>3.4752610000000002</v>
      </c>
      <c r="S273" s="356"/>
      <c r="T273" s="313"/>
      <c r="U273" s="5">
        <f t="shared" si="22"/>
        <v>0</v>
      </c>
      <c r="V273" s="594"/>
      <c r="W273" s="594"/>
      <c r="X273" s="592"/>
      <c r="Y273" s="592"/>
      <c r="Z273" s="356" t="s">
        <v>381</v>
      </c>
      <c r="AA273" s="98"/>
    </row>
    <row r="274" spans="1:27" ht="24" hidden="1" customHeight="1">
      <c r="A274" s="475"/>
      <c r="B274" s="352">
        <v>68</v>
      </c>
      <c r="C274" s="356"/>
      <c r="D274" s="76"/>
      <c r="E274" s="76"/>
      <c r="F274" s="356"/>
      <c r="G274" s="313"/>
      <c r="H274" s="313"/>
      <c r="I274" s="6"/>
      <c r="J274" s="313"/>
      <c r="K274" s="313"/>
      <c r="L274" s="313"/>
      <c r="M274" s="313"/>
      <c r="N274" s="175">
        <v>41841</v>
      </c>
      <c r="O274" s="176" t="s">
        <v>700</v>
      </c>
      <c r="P274" s="76" t="s">
        <v>27</v>
      </c>
      <c r="Q274" s="434">
        <v>5.2864820000000003</v>
      </c>
      <c r="R274" s="434">
        <f t="shared" si="21"/>
        <v>5.2364820000000005</v>
      </c>
      <c r="S274" s="356"/>
      <c r="T274" s="313"/>
      <c r="U274" s="5">
        <f t="shared" si="22"/>
        <v>0</v>
      </c>
      <c r="V274" s="594"/>
      <c r="W274" s="594"/>
      <c r="X274" s="592"/>
      <c r="Y274" s="592"/>
      <c r="Z274" s="356" t="s">
        <v>381</v>
      </c>
      <c r="AA274" s="98"/>
    </row>
    <row r="275" spans="1:27" ht="36" hidden="1" customHeight="1">
      <c r="A275" s="475"/>
      <c r="B275" s="352">
        <v>69</v>
      </c>
      <c r="C275" s="356"/>
      <c r="D275" s="76"/>
      <c r="E275" s="76"/>
      <c r="F275" s="356"/>
      <c r="G275" s="313"/>
      <c r="H275" s="313"/>
      <c r="I275" s="6"/>
      <c r="J275" s="313"/>
      <c r="K275" s="313"/>
      <c r="L275" s="313"/>
      <c r="M275" s="313"/>
      <c r="N275" s="175">
        <v>41866</v>
      </c>
      <c r="O275" s="176" t="s">
        <v>701</v>
      </c>
      <c r="P275" s="76" t="s">
        <v>27</v>
      </c>
      <c r="Q275" s="434">
        <v>0.393646</v>
      </c>
      <c r="R275" s="434">
        <f t="shared" si="21"/>
        <v>0.34364600000000001</v>
      </c>
      <c r="S275" s="356"/>
      <c r="T275" s="313"/>
      <c r="U275" s="5">
        <f t="shared" si="22"/>
        <v>0</v>
      </c>
      <c r="V275" s="594"/>
      <c r="W275" s="594"/>
      <c r="X275" s="592"/>
      <c r="Y275" s="592"/>
      <c r="Z275" s="356" t="s">
        <v>381</v>
      </c>
      <c r="AA275" s="98"/>
    </row>
    <row r="276" spans="1:27" ht="36" hidden="1" customHeight="1">
      <c r="A276" s="475"/>
      <c r="B276" s="352">
        <v>70</v>
      </c>
      <c r="C276" s="356"/>
      <c r="D276" s="76"/>
      <c r="E276" s="76"/>
      <c r="F276" s="356"/>
      <c r="G276" s="313"/>
      <c r="H276" s="313"/>
      <c r="I276" s="6"/>
      <c r="J276" s="313"/>
      <c r="K276" s="313"/>
      <c r="L276" s="313"/>
      <c r="M276" s="313"/>
      <c r="N276" s="175">
        <v>41868</v>
      </c>
      <c r="O276" s="176" t="s">
        <v>702</v>
      </c>
      <c r="P276" s="76" t="s">
        <v>27</v>
      </c>
      <c r="Q276" s="434">
        <v>0.60654700000000006</v>
      </c>
      <c r="R276" s="434">
        <f t="shared" si="21"/>
        <v>0.55654700000000001</v>
      </c>
      <c r="S276" s="356"/>
      <c r="T276" s="313"/>
      <c r="U276" s="5">
        <f t="shared" si="22"/>
        <v>0</v>
      </c>
      <c r="V276" s="594"/>
      <c r="W276" s="594"/>
      <c r="X276" s="592"/>
      <c r="Y276" s="592"/>
      <c r="Z276" s="356" t="s">
        <v>381</v>
      </c>
      <c r="AA276" s="98"/>
    </row>
    <row r="277" spans="1:27" ht="24" hidden="1" customHeight="1">
      <c r="A277" s="475"/>
      <c r="B277" s="352">
        <v>71</v>
      </c>
      <c r="C277" s="356"/>
      <c r="D277" s="76"/>
      <c r="E277" s="76"/>
      <c r="F277" s="356"/>
      <c r="G277" s="313"/>
      <c r="H277" s="313"/>
      <c r="I277" s="6"/>
      <c r="J277" s="313"/>
      <c r="K277" s="313"/>
      <c r="L277" s="313"/>
      <c r="M277" s="313"/>
      <c r="N277" s="175">
        <v>41871</v>
      </c>
      <c r="O277" s="176" t="s">
        <v>703</v>
      </c>
      <c r="P277" s="76" t="s">
        <v>27</v>
      </c>
      <c r="Q277" s="434">
        <v>1.5592900000000001</v>
      </c>
      <c r="R277" s="434">
        <f t="shared" si="21"/>
        <v>1.50929</v>
      </c>
      <c r="S277" s="356"/>
      <c r="T277" s="313"/>
      <c r="U277" s="5">
        <f t="shared" si="22"/>
        <v>0</v>
      </c>
      <c r="V277" s="594"/>
      <c r="W277" s="594"/>
      <c r="X277" s="592"/>
      <c r="Y277" s="592"/>
      <c r="Z277" s="356" t="s">
        <v>381</v>
      </c>
      <c r="AA277" s="98"/>
    </row>
    <row r="278" spans="1:27">
      <c r="A278" s="475"/>
      <c r="B278" s="352">
        <v>72</v>
      </c>
      <c r="C278" s="356"/>
      <c r="D278" s="76"/>
      <c r="E278" s="76"/>
      <c r="F278" s="356"/>
      <c r="G278" s="313"/>
      <c r="H278" s="313"/>
      <c r="I278" s="6"/>
      <c r="J278" s="313"/>
      <c r="K278" s="313"/>
      <c r="L278" s="313"/>
      <c r="M278" s="313"/>
      <c r="N278" s="175">
        <v>41886</v>
      </c>
      <c r="O278" s="176" t="s">
        <v>704</v>
      </c>
      <c r="P278" s="76" t="s">
        <v>36</v>
      </c>
      <c r="Q278" s="434">
        <v>50</v>
      </c>
      <c r="R278" s="434">
        <f>Q278-0.5</f>
        <v>49.5</v>
      </c>
      <c r="S278" s="175">
        <v>41991</v>
      </c>
      <c r="T278" s="313">
        <v>14.175230000000001</v>
      </c>
      <c r="U278" s="5">
        <f t="shared" si="22"/>
        <v>0.2835046</v>
      </c>
      <c r="V278" s="594"/>
      <c r="W278" s="594"/>
      <c r="X278" s="592"/>
      <c r="Y278" s="592"/>
      <c r="Z278" s="356" t="s">
        <v>381</v>
      </c>
      <c r="AA278" s="98"/>
    </row>
    <row r="279" spans="1:27" ht="24" hidden="1" customHeight="1">
      <c r="A279" s="475"/>
      <c r="B279" s="352">
        <v>73</v>
      </c>
      <c r="C279" s="356"/>
      <c r="D279" s="76"/>
      <c r="E279" s="76"/>
      <c r="F279" s="356"/>
      <c r="G279" s="313"/>
      <c r="H279" s="313"/>
      <c r="I279" s="6"/>
      <c r="J279" s="313"/>
      <c r="K279" s="313"/>
      <c r="L279" s="313"/>
      <c r="M279" s="313"/>
      <c r="N279" s="175">
        <v>41915</v>
      </c>
      <c r="O279" s="176" t="s">
        <v>705</v>
      </c>
      <c r="P279" s="76" t="s">
        <v>27</v>
      </c>
      <c r="Q279" s="434">
        <v>0.59643999999999997</v>
      </c>
      <c r="R279" s="434">
        <f t="shared" si="21"/>
        <v>0.54643999999999993</v>
      </c>
      <c r="S279" s="356"/>
      <c r="T279" s="313"/>
      <c r="U279" s="5">
        <f t="shared" si="22"/>
        <v>0</v>
      </c>
      <c r="V279" s="594"/>
      <c r="W279" s="594"/>
      <c r="X279" s="592"/>
      <c r="Y279" s="592"/>
      <c r="Z279" s="356" t="s">
        <v>381</v>
      </c>
      <c r="AA279" s="98"/>
    </row>
    <row r="280" spans="1:27" ht="24" hidden="1" customHeight="1">
      <c r="A280" s="475"/>
      <c r="B280" s="352">
        <v>74</v>
      </c>
      <c r="C280" s="356"/>
      <c r="D280" s="76"/>
      <c r="E280" s="76"/>
      <c r="F280" s="356"/>
      <c r="G280" s="313"/>
      <c r="H280" s="313"/>
      <c r="I280" s="6"/>
      <c r="J280" s="313"/>
      <c r="K280" s="313"/>
      <c r="L280" s="313"/>
      <c r="M280" s="313"/>
      <c r="N280" s="175">
        <v>41917</v>
      </c>
      <c r="O280" s="176" t="s">
        <v>706</v>
      </c>
      <c r="P280" s="76" t="s">
        <v>27</v>
      </c>
      <c r="Q280" s="434">
        <v>0.324405</v>
      </c>
      <c r="R280" s="434">
        <f t="shared" si="21"/>
        <v>0.27440500000000001</v>
      </c>
      <c r="S280" s="356"/>
      <c r="T280" s="313"/>
      <c r="U280" s="5">
        <f t="shared" si="22"/>
        <v>0</v>
      </c>
      <c r="V280" s="594"/>
      <c r="W280" s="594"/>
      <c r="X280" s="592"/>
      <c r="Y280" s="592"/>
      <c r="Z280" s="356" t="s">
        <v>381</v>
      </c>
      <c r="AA280" s="98"/>
    </row>
    <row r="281" spans="1:27" ht="24" hidden="1" customHeight="1">
      <c r="A281" s="475"/>
      <c r="B281" s="352">
        <v>75</v>
      </c>
      <c r="C281" s="356"/>
      <c r="D281" s="76"/>
      <c r="E281" s="76"/>
      <c r="F281" s="356"/>
      <c r="G281" s="313"/>
      <c r="H281" s="313"/>
      <c r="I281" s="6"/>
      <c r="J281" s="313"/>
      <c r="K281" s="313"/>
      <c r="L281" s="313"/>
      <c r="M281" s="313"/>
      <c r="N281" s="175">
        <v>41949</v>
      </c>
      <c r="O281" s="176" t="s">
        <v>707</v>
      </c>
      <c r="P281" s="76" t="s">
        <v>27</v>
      </c>
      <c r="Q281" s="434">
        <v>0.6520419999999999</v>
      </c>
      <c r="R281" s="434">
        <f t="shared" si="21"/>
        <v>0.60204199999999986</v>
      </c>
      <c r="S281" s="356"/>
      <c r="T281" s="313"/>
      <c r="U281" s="5">
        <f t="shared" si="22"/>
        <v>0</v>
      </c>
      <c r="V281" s="594"/>
      <c r="W281" s="594"/>
      <c r="X281" s="592"/>
      <c r="Y281" s="592"/>
      <c r="Z281" s="356" t="s">
        <v>381</v>
      </c>
      <c r="AA281" s="98"/>
    </row>
    <row r="282" spans="1:27" ht="24" hidden="1" customHeight="1">
      <c r="A282" s="475"/>
      <c r="B282" s="352">
        <v>76</v>
      </c>
      <c r="C282" s="356"/>
      <c r="D282" s="76"/>
      <c r="E282" s="76"/>
      <c r="F282" s="356"/>
      <c r="G282" s="313"/>
      <c r="H282" s="313"/>
      <c r="I282" s="6"/>
      <c r="J282" s="313"/>
      <c r="K282" s="313"/>
      <c r="L282" s="313"/>
      <c r="M282" s="313"/>
      <c r="N282" s="175">
        <v>41955</v>
      </c>
      <c r="O282" s="176" t="s">
        <v>708</v>
      </c>
      <c r="P282" s="76" t="s">
        <v>27</v>
      </c>
      <c r="Q282" s="434">
        <v>0.77440100000000001</v>
      </c>
      <c r="R282" s="434">
        <f t="shared" si="21"/>
        <v>0.72440099999999996</v>
      </c>
      <c r="S282" s="356"/>
      <c r="T282" s="313"/>
      <c r="U282" s="5">
        <f t="shared" si="22"/>
        <v>0</v>
      </c>
      <c r="V282" s="594"/>
      <c r="W282" s="594"/>
      <c r="X282" s="592"/>
      <c r="Y282" s="592"/>
      <c r="Z282" s="356" t="s">
        <v>381</v>
      </c>
      <c r="AA282" s="98"/>
    </row>
    <row r="283" spans="1:27" ht="24" hidden="1" customHeight="1">
      <c r="A283" s="475"/>
      <c r="B283" s="352">
        <v>77</v>
      </c>
      <c r="C283" s="356"/>
      <c r="D283" s="76"/>
      <c r="E283" s="76"/>
      <c r="F283" s="356"/>
      <c r="G283" s="313"/>
      <c r="H283" s="313"/>
      <c r="I283" s="6"/>
      <c r="J283" s="313"/>
      <c r="K283" s="313"/>
      <c r="L283" s="313"/>
      <c r="M283" s="313"/>
      <c r="N283" s="175">
        <v>41977</v>
      </c>
      <c r="O283" s="176" t="s">
        <v>709</v>
      </c>
      <c r="P283" s="76" t="s">
        <v>27</v>
      </c>
      <c r="Q283" s="434">
        <v>0.41416999999999998</v>
      </c>
      <c r="R283" s="434">
        <f t="shared" si="21"/>
        <v>0.36416999999999999</v>
      </c>
      <c r="S283" s="356"/>
      <c r="T283" s="313"/>
      <c r="U283" s="5">
        <f t="shared" si="22"/>
        <v>0</v>
      </c>
      <c r="V283" s="594"/>
      <c r="W283" s="594"/>
      <c r="X283" s="592"/>
      <c r="Y283" s="592"/>
      <c r="Z283" s="356" t="s">
        <v>381</v>
      </c>
      <c r="AA283" s="98"/>
    </row>
    <row r="284" spans="1:27" ht="24" hidden="1" customHeight="1">
      <c r="A284" s="475"/>
      <c r="B284" s="352">
        <v>78</v>
      </c>
      <c r="C284" s="356"/>
      <c r="D284" s="76"/>
      <c r="E284" s="76"/>
      <c r="F284" s="356"/>
      <c r="G284" s="313"/>
      <c r="H284" s="313"/>
      <c r="I284" s="6"/>
      <c r="J284" s="313"/>
      <c r="K284" s="313"/>
      <c r="L284" s="313"/>
      <c r="M284" s="313"/>
      <c r="N284" s="175">
        <v>41989</v>
      </c>
      <c r="O284" s="176" t="s">
        <v>710</v>
      </c>
      <c r="P284" s="76" t="s">
        <v>27</v>
      </c>
      <c r="Q284" s="434">
        <v>0.42103400000000002</v>
      </c>
      <c r="R284" s="434">
        <f t="shared" si="21"/>
        <v>0.37103400000000003</v>
      </c>
      <c r="S284" s="356"/>
      <c r="T284" s="313"/>
      <c r="U284" s="5">
        <f t="shared" si="22"/>
        <v>0</v>
      </c>
      <c r="V284" s="594"/>
      <c r="W284" s="594"/>
      <c r="X284" s="592"/>
      <c r="Y284" s="592"/>
      <c r="Z284" s="356" t="s">
        <v>381</v>
      </c>
      <c r="AA284" s="98"/>
    </row>
    <row r="285" spans="1:27" ht="24" hidden="1" customHeight="1">
      <c r="A285" s="475"/>
      <c r="B285" s="352">
        <v>79</v>
      </c>
      <c r="C285" s="356"/>
      <c r="D285" s="76"/>
      <c r="E285" s="76"/>
      <c r="F285" s="356"/>
      <c r="G285" s="313"/>
      <c r="H285" s="313"/>
      <c r="I285" s="6"/>
      <c r="J285" s="313"/>
      <c r="K285" s="313"/>
      <c r="L285" s="313"/>
      <c r="M285" s="313"/>
      <c r="N285" s="175">
        <v>41990</v>
      </c>
      <c r="O285" s="176" t="s">
        <v>711</v>
      </c>
      <c r="P285" s="76" t="s">
        <v>27</v>
      </c>
      <c r="Q285" s="434">
        <v>9.0038600000000013</v>
      </c>
      <c r="R285" s="434">
        <f t="shared" si="21"/>
        <v>8.9538600000000006</v>
      </c>
      <c r="S285" s="356"/>
      <c r="T285" s="313"/>
      <c r="U285" s="5">
        <f t="shared" si="22"/>
        <v>0</v>
      </c>
      <c r="V285" s="594"/>
      <c r="W285" s="594"/>
      <c r="X285" s="592"/>
      <c r="Y285" s="592"/>
      <c r="Z285" s="356" t="s">
        <v>381</v>
      </c>
      <c r="AA285" s="98"/>
    </row>
    <row r="286" spans="1:27" ht="24" hidden="1" customHeight="1">
      <c r="A286" s="475"/>
      <c r="B286" s="352">
        <v>80</v>
      </c>
      <c r="C286" s="356"/>
      <c r="D286" s="76"/>
      <c r="E286" s="76"/>
      <c r="F286" s="356"/>
      <c r="G286" s="313"/>
      <c r="H286" s="313"/>
      <c r="I286" s="6"/>
      <c r="J286" s="313"/>
      <c r="K286" s="313"/>
      <c r="L286" s="313"/>
      <c r="M286" s="313"/>
      <c r="N286" s="175">
        <v>41997</v>
      </c>
      <c r="O286" s="176" t="s">
        <v>712</v>
      </c>
      <c r="P286" s="76" t="s">
        <v>27</v>
      </c>
      <c r="Q286" s="434">
        <v>0.75820100000000001</v>
      </c>
      <c r="R286" s="434">
        <f t="shared" si="21"/>
        <v>0.70820099999999997</v>
      </c>
      <c r="S286" s="356"/>
      <c r="T286" s="313"/>
      <c r="U286" s="5">
        <f t="shared" si="22"/>
        <v>0</v>
      </c>
      <c r="V286" s="595"/>
      <c r="W286" s="595"/>
      <c r="X286" s="590"/>
      <c r="Y286" s="590"/>
      <c r="Z286" s="356" t="s">
        <v>381</v>
      </c>
      <c r="AA286" s="98"/>
    </row>
    <row r="287" spans="1:27" ht="48" hidden="1" customHeight="1">
      <c r="A287" s="475"/>
      <c r="B287" s="352">
        <v>81</v>
      </c>
      <c r="C287" s="336" t="s">
        <v>713</v>
      </c>
      <c r="D287" s="119">
        <v>11162.22</v>
      </c>
      <c r="E287" s="119" t="s">
        <v>2109</v>
      </c>
      <c r="F287" s="336" t="s">
        <v>714</v>
      </c>
      <c r="G287" s="177">
        <v>27.560396000000001</v>
      </c>
      <c r="H287" s="177"/>
      <c r="I287" s="178" t="s">
        <v>714</v>
      </c>
      <c r="J287" s="177">
        <v>11.113063</v>
      </c>
      <c r="K287" s="177"/>
      <c r="L287" s="177"/>
      <c r="M287" s="313">
        <f t="shared" ref="M287:M288" si="23">J287+L287+H287+G287</f>
        <v>38.673459000000001</v>
      </c>
      <c r="N287" s="336" t="s">
        <v>542</v>
      </c>
      <c r="O287" s="179"/>
      <c r="P287" s="179"/>
      <c r="Q287" s="180"/>
      <c r="R287" s="180"/>
      <c r="S287" s="179"/>
      <c r="T287" s="294"/>
      <c r="U287" s="5" t="e">
        <f t="shared" si="22"/>
        <v>#DIV/0!</v>
      </c>
      <c r="V287" s="24"/>
      <c r="W287" s="24"/>
      <c r="X287" s="24"/>
      <c r="Y287" s="24"/>
      <c r="Z287" s="336" t="s">
        <v>715</v>
      </c>
      <c r="AA287" s="98"/>
    </row>
    <row r="288" spans="1:27" ht="96" hidden="1" customHeight="1">
      <c r="A288" s="475"/>
      <c r="B288" s="352">
        <v>82</v>
      </c>
      <c r="C288" s="169" t="s">
        <v>716</v>
      </c>
      <c r="D288" s="170">
        <v>52007.618600000002</v>
      </c>
      <c r="E288" s="170" t="s">
        <v>2110</v>
      </c>
      <c r="F288" s="169" t="s">
        <v>543</v>
      </c>
      <c r="G288" s="171">
        <v>160</v>
      </c>
      <c r="H288" s="171">
        <v>5</v>
      </c>
      <c r="I288" s="172" t="s">
        <v>39</v>
      </c>
      <c r="J288" s="171">
        <v>36</v>
      </c>
      <c r="K288" s="171"/>
      <c r="L288" s="171"/>
      <c r="M288" s="313">
        <f t="shared" si="23"/>
        <v>201</v>
      </c>
      <c r="N288" s="181" t="s">
        <v>717</v>
      </c>
      <c r="O288" s="169" t="s">
        <v>1934</v>
      </c>
      <c r="P288" s="76" t="s">
        <v>27</v>
      </c>
      <c r="Q288" s="173">
        <v>30</v>
      </c>
      <c r="R288" s="173">
        <v>16</v>
      </c>
      <c r="S288" s="169"/>
      <c r="T288" s="171"/>
      <c r="U288" s="5">
        <f t="shared" si="22"/>
        <v>0</v>
      </c>
      <c r="V288" s="587">
        <f>SUM(Q288:Q293)</f>
        <v>89.82</v>
      </c>
      <c r="W288" s="587">
        <f>SUM(T288:T293)</f>
        <v>106.3</v>
      </c>
      <c r="X288" s="589">
        <f>W288/V288</f>
        <v>1.1834780672456024</v>
      </c>
      <c r="Y288" s="589">
        <f>W288/M288</f>
        <v>0.52885572139303483</v>
      </c>
      <c r="Z288" s="169" t="s">
        <v>548</v>
      </c>
      <c r="AA288" s="98"/>
    </row>
    <row r="289" spans="1:27" ht="48" hidden="1" customHeight="1">
      <c r="A289" s="475"/>
      <c r="B289" s="352">
        <v>83</v>
      </c>
      <c r="C289" s="169"/>
      <c r="D289" s="170"/>
      <c r="E289" s="170"/>
      <c r="F289" s="169"/>
      <c r="G289" s="171"/>
      <c r="H289" s="171"/>
      <c r="I289" s="172"/>
      <c r="J289" s="171"/>
      <c r="K289" s="171"/>
      <c r="L289" s="171"/>
      <c r="M289" s="171"/>
      <c r="N289" s="181" t="s">
        <v>718</v>
      </c>
      <c r="O289" s="169" t="s">
        <v>719</v>
      </c>
      <c r="P289" s="76" t="s">
        <v>27</v>
      </c>
      <c r="Q289" s="173">
        <v>10</v>
      </c>
      <c r="R289" s="173">
        <v>2.4</v>
      </c>
      <c r="S289" s="169">
        <v>2014.8</v>
      </c>
      <c r="T289" s="171">
        <v>2.4</v>
      </c>
      <c r="U289" s="5">
        <f t="shared" si="22"/>
        <v>0.24</v>
      </c>
      <c r="V289" s="591"/>
      <c r="W289" s="591"/>
      <c r="X289" s="592"/>
      <c r="Y289" s="592"/>
      <c r="Z289" s="169" t="s">
        <v>548</v>
      </c>
      <c r="AA289" s="98"/>
    </row>
    <row r="290" spans="1:27" ht="48" hidden="1" customHeight="1">
      <c r="A290" s="475"/>
      <c r="B290" s="352">
        <v>84</v>
      </c>
      <c r="C290" s="169"/>
      <c r="D290" s="170"/>
      <c r="E290" s="170"/>
      <c r="F290" s="169"/>
      <c r="G290" s="171"/>
      <c r="H290" s="171"/>
      <c r="I290" s="172"/>
      <c r="J290" s="171"/>
      <c r="K290" s="171"/>
      <c r="L290" s="171"/>
      <c r="M290" s="171"/>
      <c r="N290" s="181" t="s">
        <v>720</v>
      </c>
      <c r="O290" s="169" t="s">
        <v>721</v>
      </c>
      <c r="P290" s="76" t="s">
        <v>27</v>
      </c>
      <c r="Q290" s="173">
        <v>1.9</v>
      </c>
      <c r="R290" s="173">
        <v>0.9</v>
      </c>
      <c r="S290" s="169">
        <v>2014.8</v>
      </c>
      <c r="T290" s="171">
        <v>0.9</v>
      </c>
      <c r="U290" s="5">
        <f t="shared" si="22"/>
        <v>0.47368421052631582</v>
      </c>
      <c r="V290" s="591"/>
      <c r="W290" s="591"/>
      <c r="X290" s="592"/>
      <c r="Y290" s="592"/>
      <c r="Z290" s="169" t="s">
        <v>548</v>
      </c>
      <c r="AA290" s="98"/>
    </row>
    <row r="291" spans="1:27" ht="48" hidden="1" customHeight="1">
      <c r="A291" s="475"/>
      <c r="B291" s="352">
        <v>85</v>
      </c>
      <c r="C291" s="169"/>
      <c r="D291" s="170"/>
      <c r="E291" s="170"/>
      <c r="F291" s="169"/>
      <c r="G291" s="171"/>
      <c r="H291" s="171"/>
      <c r="I291" s="172"/>
      <c r="J291" s="171"/>
      <c r="K291" s="171"/>
      <c r="L291" s="171"/>
      <c r="M291" s="171"/>
      <c r="N291" s="181" t="s">
        <v>722</v>
      </c>
      <c r="O291" s="169" t="s">
        <v>723</v>
      </c>
      <c r="P291" s="76" t="s">
        <v>27</v>
      </c>
      <c r="Q291" s="173">
        <v>0.32</v>
      </c>
      <c r="R291" s="173">
        <v>0.32</v>
      </c>
      <c r="S291" s="169"/>
      <c r="T291" s="171"/>
      <c r="U291" s="5">
        <f t="shared" si="22"/>
        <v>0</v>
      </c>
      <c r="V291" s="591"/>
      <c r="W291" s="591"/>
      <c r="X291" s="592"/>
      <c r="Y291" s="592"/>
      <c r="Z291" s="169" t="s">
        <v>548</v>
      </c>
      <c r="AA291" s="98"/>
    </row>
    <row r="292" spans="1:27" ht="48" hidden="1" customHeight="1">
      <c r="A292" s="475"/>
      <c r="B292" s="352">
        <v>86</v>
      </c>
      <c r="C292" s="169"/>
      <c r="D292" s="170"/>
      <c r="E292" s="170"/>
      <c r="F292" s="169"/>
      <c r="G292" s="171"/>
      <c r="H292" s="171"/>
      <c r="I292" s="172"/>
      <c r="J292" s="171"/>
      <c r="K292" s="171"/>
      <c r="L292" s="171"/>
      <c r="M292" s="171"/>
      <c r="N292" s="181" t="s">
        <v>724</v>
      </c>
      <c r="O292" s="169" t="s">
        <v>725</v>
      </c>
      <c r="P292" s="76" t="s">
        <v>27</v>
      </c>
      <c r="Q292" s="173">
        <v>2.6</v>
      </c>
      <c r="R292" s="173">
        <v>2.6</v>
      </c>
      <c r="S292" s="169"/>
      <c r="T292" s="171"/>
      <c r="U292" s="5">
        <f t="shared" si="22"/>
        <v>0</v>
      </c>
      <c r="V292" s="591"/>
      <c r="W292" s="591"/>
      <c r="X292" s="592"/>
      <c r="Y292" s="592"/>
      <c r="Z292" s="169" t="s">
        <v>548</v>
      </c>
      <c r="AA292" s="98"/>
    </row>
    <row r="293" spans="1:27" ht="36">
      <c r="A293" s="475"/>
      <c r="B293" s="352">
        <v>87</v>
      </c>
      <c r="C293" s="169"/>
      <c r="D293" s="170"/>
      <c r="E293" s="170"/>
      <c r="F293" s="169"/>
      <c r="G293" s="171"/>
      <c r="H293" s="171"/>
      <c r="I293" s="172"/>
      <c r="J293" s="171"/>
      <c r="K293" s="171"/>
      <c r="L293" s="171"/>
      <c r="M293" s="171"/>
      <c r="N293" s="169" t="s">
        <v>726</v>
      </c>
      <c r="O293" s="169" t="s">
        <v>727</v>
      </c>
      <c r="P293" s="76" t="s">
        <v>36</v>
      </c>
      <c r="Q293" s="173">
        <v>45</v>
      </c>
      <c r="R293" s="173">
        <v>103</v>
      </c>
      <c r="S293" s="169">
        <v>2014.12</v>
      </c>
      <c r="T293" s="171">
        <v>103</v>
      </c>
      <c r="U293" s="5">
        <f t="shared" si="22"/>
        <v>2.2888888888888888</v>
      </c>
      <c r="V293" s="588"/>
      <c r="W293" s="588"/>
      <c r="X293" s="590"/>
      <c r="Y293" s="590"/>
      <c r="Z293" s="169" t="s">
        <v>548</v>
      </c>
      <c r="AA293" s="98"/>
    </row>
    <row r="294" spans="1:27" ht="24" hidden="1" customHeight="1">
      <c r="A294" s="475"/>
      <c r="B294" s="352">
        <v>88</v>
      </c>
      <c r="C294" s="356" t="s">
        <v>2111</v>
      </c>
      <c r="D294" s="76">
        <v>53072</v>
      </c>
      <c r="E294" s="76" t="s">
        <v>2154</v>
      </c>
      <c r="F294" s="356" t="s">
        <v>31</v>
      </c>
      <c r="G294" s="182">
        <v>168.81739999999999</v>
      </c>
      <c r="H294" s="156">
        <v>5</v>
      </c>
      <c r="I294" s="157" t="s">
        <v>558</v>
      </c>
      <c r="J294" s="156">
        <v>122.06480000000001</v>
      </c>
      <c r="K294" s="156"/>
      <c r="L294" s="156"/>
      <c r="M294" s="313">
        <f>J294+L294+H294+G294</f>
        <v>295.88220000000001</v>
      </c>
      <c r="N294" s="169" t="s">
        <v>663</v>
      </c>
      <c r="O294" s="169"/>
      <c r="P294" s="169"/>
      <c r="Q294" s="173"/>
      <c r="R294" s="173"/>
      <c r="S294" s="169"/>
      <c r="T294" s="171"/>
      <c r="U294" s="183"/>
      <c r="V294" s="184"/>
      <c r="W294" s="184"/>
      <c r="X294" s="184"/>
      <c r="Y294" s="184"/>
      <c r="Z294" s="169"/>
      <c r="AA294" s="98"/>
    </row>
    <row r="295" spans="1:27" ht="36" hidden="1" customHeight="1">
      <c r="A295" s="475" t="s">
        <v>874</v>
      </c>
      <c r="B295" s="339">
        <v>1</v>
      </c>
      <c r="C295" s="346" t="s">
        <v>729</v>
      </c>
      <c r="D295" s="378">
        <v>21058</v>
      </c>
      <c r="E295" s="379" t="s">
        <v>2112</v>
      </c>
      <c r="F295" s="343" t="s">
        <v>730</v>
      </c>
      <c r="G295" s="325">
        <v>57.279200000000003</v>
      </c>
      <c r="H295" s="325">
        <v>0.4</v>
      </c>
      <c r="I295" s="343"/>
      <c r="J295" s="325"/>
      <c r="K295" s="341"/>
      <c r="L295" s="325"/>
      <c r="M295" s="188">
        <f t="shared" ref="M295:M299" si="24">SUM(G295,H295,J295,L295)</f>
        <v>57.679200000000002</v>
      </c>
      <c r="N295" s="342" t="s">
        <v>731</v>
      </c>
      <c r="O295" s="359"/>
      <c r="P295" s="342"/>
      <c r="Q295" s="347"/>
      <c r="R295" s="347"/>
      <c r="S295" s="342"/>
      <c r="T295" s="325"/>
      <c r="U295" s="18"/>
      <c r="V295" s="25"/>
      <c r="W295" s="25"/>
      <c r="X295" s="25"/>
      <c r="Y295" s="25"/>
      <c r="Z295" s="342" t="s">
        <v>732</v>
      </c>
      <c r="AA295" s="98"/>
    </row>
    <row r="296" spans="1:27" ht="48" hidden="1" customHeight="1">
      <c r="A296" s="475"/>
      <c r="B296" s="339">
        <v>2</v>
      </c>
      <c r="C296" s="346" t="s">
        <v>733</v>
      </c>
      <c r="D296" s="380">
        <v>15775</v>
      </c>
      <c r="E296" s="381" t="s">
        <v>2113</v>
      </c>
      <c r="F296" s="343" t="s">
        <v>734</v>
      </c>
      <c r="G296" s="325">
        <v>20.47</v>
      </c>
      <c r="H296" s="325"/>
      <c r="I296" s="343" t="s">
        <v>735</v>
      </c>
      <c r="J296" s="325">
        <v>15</v>
      </c>
      <c r="K296" s="341" t="s">
        <v>736</v>
      </c>
      <c r="L296" s="325">
        <v>0.26</v>
      </c>
      <c r="M296" s="325">
        <f t="shared" si="24"/>
        <v>35.729999999999997</v>
      </c>
      <c r="N296" s="342" t="s">
        <v>731</v>
      </c>
      <c r="O296" s="342"/>
      <c r="P296" s="342"/>
      <c r="Q296" s="347"/>
      <c r="R296" s="347"/>
      <c r="S296" s="342"/>
      <c r="T296" s="325"/>
      <c r="U296" s="18"/>
      <c r="V296" s="25"/>
      <c r="W296" s="25"/>
      <c r="X296" s="25"/>
      <c r="Y296" s="25"/>
      <c r="Z296" s="342" t="s">
        <v>732</v>
      </c>
      <c r="AA296" s="98"/>
    </row>
    <row r="297" spans="1:27" ht="36" hidden="1" customHeight="1">
      <c r="A297" s="475"/>
      <c r="B297" s="339">
        <v>3</v>
      </c>
      <c r="C297" s="346" t="s">
        <v>737</v>
      </c>
      <c r="D297" s="378">
        <v>8559</v>
      </c>
      <c r="E297" s="379" t="s">
        <v>2114</v>
      </c>
      <c r="F297" s="343"/>
      <c r="G297" s="325"/>
      <c r="H297" s="325"/>
      <c r="I297" s="343"/>
      <c r="J297" s="325"/>
      <c r="K297" s="341" t="s">
        <v>738</v>
      </c>
      <c r="L297" s="325">
        <v>3.03</v>
      </c>
      <c r="M297" s="325">
        <f t="shared" si="24"/>
        <v>3.03</v>
      </c>
      <c r="N297" s="342" t="s">
        <v>731</v>
      </c>
      <c r="O297" s="342"/>
      <c r="P297" s="342"/>
      <c r="Q297" s="347"/>
      <c r="R297" s="347"/>
      <c r="S297" s="342"/>
      <c r="T297" s="325"/>
      <c r="U297" s="18"/>
      <c r="V297" s="25"/>
      <c r="W297" s="25"/>
      <c r="X297" s="25"/>
      <c r="Y297" s="25"/>
      <c r="Z297" s="342" t="s">
        <v>739</v>
      </c>
      <c r="AA297" s="98"/>
    </row>
    <row r="298" spans="1:27" ht="24" hidden="1" customHeight="1">
      <c r="A298" s="475"/>
      <c r="B298" s="339">
        <v>4</v>
      </c>
      <c r="C298" s="346" t="s">
        <v>740</v>
      </c>
      <c r="D298" s="378">
        <v>9184</v>
      </c>
      <c r="E298" s="379" t="s">
        <v>2115</v>
      </c>
      <c r="F298" s="343"/>
      <c r="G298" s="325"/>
      <c r="H298" s="325"/>
      <c r="I298" s="343"/>
      <c r="J298" s="325"/>
      <c r="K298" s="341" t="s">
        <v>31</v>
      </c>
      <c r="L298" s="325">
        <v>5.25</v>
      </c>
      <c r="M298" s="325">
        <f t="shared" si="24"/>
        <v>5.25</v>
      </c>
      <c r="N298" s="342" t="s">
        <v>731</v>
      </c>
      <c r="O298" s="342"/>
      <c r="P298" s="342"/>
      <c r="Q298" s="347"/>
      <c r="R298" s="347"/>
      <c r="S298" s="342"/>
      <c r="T298" s="325"/>
      <c r="U298" s="18"/>
      <c r="V298" s="25"/>
      <c r="W298" s="25"/>
      <c r="X298" s="25"/>
      <c r="Y298" s="25"/>
      <c r="Z298" s="342" t="s">
        <v>739</v>
      </c>
      <c r="AA298" s="98"/>
    </row>
    <row r="299" spans="1:27" ht="24">
      <c r="A299" s="475"/>
      <c r="B299" s="604">
        <v>5</v>
      </c>
      <c r="C299" s="605" t="s">
        <v>741</v>
      </c>
      <c r="D299" s="606">
        <v>22343.8501</v>
      </c>
      <c r="E299" s="606" t="s">
        <v>2116</v>
      </c>
      <c r="F299" s="602" t="s">
        <v>742</v>
      </c>
      <c r="G299" s="600">
        <v>20.7804</v>
      </c>
      <c r="H299" s="600">
        <v>2</v>
      </c>
      <c r="I299" s="602" t="s">
        <v>743</v>
      </c>
      <c r="J299" s="600">
        <v>26.0184</v>
      </c>
      <c r="K299" s="603"/>
      <c r="L299" s="600"/>
      <c r="M299" s="600">
        <f t="shared" si="24"/>
        <v>48.7988</v>
      </c>
      <c r="N299" s="342">
        <v>2014.5</v>
      </c>
      <c r="O299" s="342" t="s">
        <v>744</v>
      </c>
      <c r="P299" s="76" t="s">
        <v>36</v>
      </c>
      <c r="Q299" s="347">
        <f>[1]驻信9标!O305</f>
        <v>0</v>
      </c>
      <c r="R299" s="347">
        <f>[1]驻信9标!P305</f>
        <v>0</v>
      </c>
      <c r="S299" s="342" t="s">
        <v>745</v>
      </c>
      <c r="T299" s="325">
        <f>[1]驻信9标!R305</f>
        <v>0</v>
      </c>
      <c r="U299" s="18" t="e">
        <f t="shared" ref="U299:U304" si="25">T299/Q299</f>
        <v>#DIV/0!</v>
      </c>
      <c r="V299" s="25"/>
      <c r="W299" s="25"/>
      <c r="X299" s="25"/>
      <c r="Y299" s="25"/>
      <c r="Z299" s="601" t="s">
        <v>32</v>
      </c>
      <c r="AA299" s="98"/>
    </row>
    <row r="300" spans="1:27" ht="36" hidden="1" customHeight="1">
      <c r="A300" s="475"/>
      <c r="B300" s="604"/>
      <c r="C300" s="605"/>
      <c r="D300" s="607"/>
      <c r="E300" s="607"/>
      <c r="F300" s="602"/>
      <c r="G300" s="600"/>
      <c r="H300" s="600"/>
      <c r="I300" s="602"/>
      <c r="J300" s="600"/>
      <c r="K300" s="603"/>
      <c r="L300" s="600"/>
      <c r="M300" s="600"/>
      <c r="N300" s="186" t="s">
        <v>746</v>
      </c>
      <c r="O300" s="342" t="s">
        <v>747</v>
      </c>
      <c r="P300" s="76" t="s">
        <v>27</v>
      </c>
      <c r="Q300" s="347">
        <f>[1]驻信9标!O306</f>
        <v>0</v>
      </c>
      <c r="R300" s="347">
        <f>[1]驻信9标!P306</f>
        <v>0</v>
      </c>
      <c r="S300" s="342" t="s">
        <v>748</v>
      </c>
      <c r="T300" s="325">
        <f>[1]驻信9标!R306</f>
        <v>0</v>
      </c>
      <c r="U300" s="18" t="e">
        <f t="shared" si="25"/>
        <v>#DIV/0!</v>
      </c>
      <c r="V300" s="25"/>
      <c r="W300" s="25"/>
      <c r="X300" s="25"/>
      <c r="Y300" s="25"/>
      <c r="Z300" s="601"/>
      <c r="AA300" s="98"/>
    </row>
    <row r="301" spans="1:27" ht="48">
      <c r="A301" s="475"/>
      <c r="B301" s="339">
        <v>6</v>
      </c>
      <c r="C301" s="346" t="s">
        <v>749</v>
      </c>
      <c r="D301" s="380">
        <v>17969.160500000002</v>
      </c>
      <c r="E301" s="381" t="s">
        <v>2117</v>
      </c>
      <c r="F301" s="187" t="s">
        <v>750</v>
      </c>
      <c r="G301" s="188">
        <v>41.803100000000001</v>
      </c>
      <c r="H301" s="188">
        <v>0.3</v>
      </c>
      <c r="I301" s="187"/>
      <c r="J301" s="188"/>
      <c r="K301" s="307"/>
      <c r="L301" s="188"/>
      <c r="M301" s="188">
        <f t="shared" ref="M301:M304" si="26">SUM(G301,H301,J301,L301)</f>
        <v>42.103099999999998</v>
      </c>
      <c r="N301" s="345" t="s">
        <v>751</v>
      </c>
      <c r="O301" s="345" t="s">
        <v>752</v>
      </c>
      <c r="P301" s="76" t="s">
        <v>36</v>
      </c>
      <c r="Q301" s="190">
        <v>10.6853</v>
      </c>
      <c r="R301" s="190">
        <v>17.3706</v>
      </c>
      <c r="S301" s="345" t="s">
        <v>753</v>
      </c>
      <c r="T301" s="196">
        <v>8</v>
      </c>
      <c r="U301" s="191">
        <f t="shared" si="25"/>
        <v>0.7486921284381346</v>
      </c>
      <c r="V301" s="192">
        <f>Q301</f>
        <v>10.6853</v>
      </c>
      <c r="W301" s="192">
        <f>T301</f>
        <v>8</v>
      </c>
      <c r="X301" s="193">
        <f>W301/V301</f>
        <v>0.7486921284381346</v>
      </c>
      <c r="Y301" s="193">
        <f>W301/M301</f>
        <v>0.19000976175150999</v>
      </c>
      <c r="Z301" s="345" t="s">
        <v>32</v>
      </c>
      <c r="AA301" s="98"/>
    </row>
    <row r="302" spans="1:27" ht="36" hidden="1" customHeight="1">
      <c r="A302" s="475"/>
      <c r="B302" s="339">
        <v>7</v>
      </c>
      <c r="C302" s="65" t="s">
        <v>754</v>
      </c>
      <c r="D302" s="380">
        <v>88374.898400000005</v>
      </c>
      <c r="E302" s="381" t="s">
        <v>2118</v>
      </c>
      <c r="F302" s="601" t="s">
        <v>39</v>
      </c>
      <c r="G302" s="600">
        <v>320.04079999999999</v>
      </c>
      <c r="H302" s="600"/>
      <c r="I302" s="601" t="s">
        <v>558</v>
      </c>
      <c r="J302" s="600">
        <v>223.17895999999999</v>
      </c>
      <c r="K302" s="600"/>
      <c r="L302" s="600"/>
      <c r="M302" s="600">
        <f t="shared" si="26"/>
        <v>543.21975999999995</v>
      </c>
      <c r="N302" s="345" t="s">
        <v>755</v>
      </c>
      <c r="O302" s="345" t="s">
        <v>756</v>
      </c>
      <c r="P302" s="76" t="s">
        <v>27</v>
      </c>
      <c r="Q302" s="190">
        <f>[1]仙桃一分部!O307</f>
        <v>0</v>
      </c>
      <c r="R302" s="190">
        <f>[1]仙桃一分部!P307</f>
        <v>0</v>
      </c>
      <c r="S302" s="345" t="s">
        <v>757</v>
      </c>
      <c r="T302" s="196">
        <f>[1]仙桃一分部!R307</f>
        <v>0</v>
      </c>
      <c r="U302" s="194" t="e">
        <f t="shared" si="25"/>
        <v>#DIV/0!</v>
      </c>
      <c r="V302" s="192"/>
      <c r="W302" s="192"/>
      <c r="X302" s="192"/>
      <c r="Y302" s="192"/>
      <c r="Z302" s="345" t="s">
        <v>43</v>
      </c>
      <c r="AA302" s="98"/>
    </row>
    <row r="303" spans="1:27" ht="36" hidden="1" customHeight="1">
      <c r="A303" s="475"/>
      <c r="B303" s="339">
        <v>8</v>
      </c>
      <c r="C303" s="346" t="s">
        <v>758</v>
      </c>
      <c r="D303" s="380">
        <v>47565.2</v>
      </c>
      <c r="E303" s="381" t="s">
        <v>2119</v>
      </c>
      <c r="F303" s="601"/>
      <c r="G303" s="600"/>
      <c r="H303" s="600"/>
      <c r="I303" s="601"/>
      <c r="J303" s="600"/>
      <c r="K303" s="600"/>
      <c r="L303" s="600"/>
      <c r="M303" s="600"/>
      <c r="N303" s="342" t="s">
        <v>759</v>
      </c>
      <c r="O303" s="342" t="s">
        <v>756</v>
      </c>
      <c r="P303" s="76" t="s">
        <v>27</v>
      </c>
      <c r="Q303" s="347">
        <f>[1]仙桃三分部!O304</f>
        <v>0</v>
      </c>
      <c r="R303" s="347">
        <f>[1]仙桃三分部!P304</f>
        <v>0</v>
      </c>
      <c r="S303" s="342" t="s">
        <v>760</v>
      </c>
      <c r="T303" s="325">
        <f>[1]仙桃三分部!R304</f>
        <v>0</v>
      </c>
      <c r="U303" s="18" t="e">
        <f t="shared" si="25"/>
        <v>#DIV/0!</v>
      </c>
      <c r="V303" s="25"/>
      <c r="W303" s="25"/>
      <c r="X303" s="25"/>
      <c r="Y303" s="25"/>
      <c r="Z303" s="342" t="s">
        <v>43</v>
      </c>
      <c r="AA303" s="98"/>
    </row>
    <row r="304" spans="1:27" ht="48">
      <c r="A304" s="475"/>
      <c r="B304" s="604">
        <v>9</v>
      </c>
      <c r="C304" s="605" t="s">
        <v>761</v>
      </c>
      <c r="D304" s="606">
        <v>19960</v>
      </c>
      <c r="E304" s="606" t="s">
        <v>2120</v>
      </c>
      <c r="F304" s="602" t="s">
        <v>248</v>
      </c>
      <c r="G304" s="600">
        <v>62.294468000000002</v>
      </c>
      <c r="H304" s="600">
        <v>0.7</v>
      </c>
      <c r="I304" s="602" t="s">
        <v>243</v>
      </c>
      <c r="J304" s="600">
        <v>20.52196932</v>
      </c>
      <c r="K304" s="603" t="s">
        <v>762</v>
      </c>
      <c r="L304" s="600">
        <v>35.928161000000003</v>
      </c>
      <c r="M304" s="600">
        <f t="shared" si="26"/>
        <v>119.44459832000001</v>
      </c>
      <c r="N304" s="345" t="s">
        <v>763</v>
      </c>
      <c r="O304" s="345" t="s">
        <v>764</v>
      </c>
      <c r="P304" s="76" t="s">
        <v>36</v>
      </c>
      <c r="Q304" s="190">
        <f>[1]龙永!O303</f>
        <v>0</v>
      </c>
      <c r="R304" s="190">
        <f>[1]龙永!P303</f>
        <v>0</v>
      </c>
      <c r="S304" s="345" t="s">
        <v>765</v>
      </c>
      <c r="T304" s="196">
        <f>[1]龙永!R303</f>
        <v>0</v>
      </c>
      <c r="U304" s="194" t="e">
        <f t="shared" si="25"/>
        <v>#DIV/0!</v>
      </c>
      <c r="V304" s="192"/>
      <c r="W304" s="192"/>
      <c r="X304" s="192"/>
      <c r="Y304" s="192"/>
      <c r="Z304" s="609" t="s">
        <v>148</v>
      </c>
      <c r="AA304" s="98"/>
    </row>
    <row r="305" spans="1:27" ht="24" hidden="1" customHeight="1">
      <c r="A305" s="475"/>
      <c r="B305" s="604"/>
      <c r="C305" s="605"/>
      <c r="D305" s="608"/>
      <c r="E305" s="608"/>
      <c r="F305" s="602"/>
      <c r="G305" s="600"/>
      <c r="H305" s="600"/>
      <c r="I305" s="602"/>
      <c r="J305" s="600"/>
      <c r="K305" s="603"/>
      <c r="L305" s="600"/>
      <c r="M305" s="600"/>
      <c r="N305" s="345" t="s">
        <v>766</v>
      </c>
      <c r="O305" s="345" t="s">
        <v>767</v>
      </c>
      <c r="P305" s="76" t="s">
        <v>27</v>
      </c>
      <c r="Q305" s="190">
        <f>[1]龙永!O304</f>
        <v>0</v>
      </c>
      <c r="R305" s="190">
        <f>[1]龙永!P304</f>
        <v>0</v>
      </c>
      <c r="S305" s="345" t="s">
        <v>768</v>
      </c>
      <c r="T305" s="196"/>
      <c r="U305" s="194"/>
      <c r="V305" s="192"/>
      <c r="W305" s="192"/>
      <c r="X305" s="192"/>
      <c r="Y305" s="192"/>
      <c r="Z305" s="609"/>
      <c r="AA305" s="98"/>
    </row>
    <row r="306" spans="1:27" ht="24">
      <c r="A306" s="475"/>
      <c r="B306" s="604"/>
      <c r="C306" s="605"/>
      <c r="D306" s="607"/>
      <c r="E306" s="607"/>
      <c r="F306" s="602"/>
      <c r="G306" s="600"/>
      <c r="H306" s="600"/>
      <c r="I306" s="602"/>
      <c r="J306" s="600"/>
      <c r="K306" s="603"/>
      <c r="L306" s="600"/>
      <c r="M306" s="600"/>
      <c r="N306" s="195" t="s">
        <v>769</v>
      </c>
      <c r="O306" s="195" t="s">
        <v>770</v>
      </c>
      <c r="P306" s="76" t="s">
        <v>36</v>
      </c>
      <c r="Q306" s="190">
        <f>[1]龙永!O305</f>
        <v>0</v>
      </c>
      <c r="R306" s="190">
        <f>[1]龙永!P305</f>
        <v>0</v>
      </c>
      <c r="S306" s="345" t="s">
        <v>768</v>
      </c>
      <c r="T306" s="196"/>
      <c r="U306" s="194"/>
      <c r="V306" s="192"/>
      <c r="W306" s="192"/>
      <c r="X306" s="192"/>
      <c r="Y306" s="192"/>
      <c r="Z306" s="609"/>
      <c r="AA306" s="98"/>
    </row>
    <row r="307" spans="1:27" ht="36" hidden="1" customHeight="1">
      <c r="A307" s="475"/>
      <c r="B307" s="339">
        <v>10</v>
      </c>
      <c r="C307" s="346" t="s">
        <v>771</v>
      </c>
      <c r="D307" s="378">
        <v>40500</v>
      </c>
      <c r="E307" s="379" t="s">
        <v>2121</v>
      </c>
      <c r="F307" s="343" t="s">
        <v>243</v>
      </c>
      <c r="G307" s="325">
        <v>152.2595</v>
      </c>
      <c r="H307" s="325">
        <v>1</v>
      </c>
      <c r="I307" s="343"/>
      <c r="J307" s="325"/>
      <c r="K307" s="341" t="s">
        <v>772</v>
      </c>
      <c r="L307" s="325">
        <v>40.511211000000003</v>
      </c>
      <c r="M307" s="325">
        <f t="shared" ref="M307:M309" si="27">SUM(G307,H307,J307,L307)</f>
        <v>193.77071100000001</v>
      </c>
      <c r="N307" s="342" t="s">
        <v>731</v>
      </c>
      <c r="O307" s="342"/>
      <c r="P307" s="342"/>
      <c r="Q307" s="347"/>
      <c r="R307" s="347"/>
      <c r="S307" s="342"/>
      <c r="T307" s="325"/>
      <c r="U307" s="18"/>
      <c r="V307" s="25"/>
      <c r="W307" s="25"/>
      <c r="X307" s="25"/>
      <c r="Y307" s="25"/>
      <c r="Z307" s="342" t="s">
        <v>148</v>
      </c>
      <c r="AA307" s="98"/>
    </row>
    <row r="308" spans="1:27" ht="36" hidden="1" customHeight="1">
      <c r="A308" s="475"/>
      <c r="B308" s="339">
        <v>11</v>
      </c>
      <c r="C308" s="346" t="s">
        <v>773</v>
      </c>
      <c r="D308" s="380">
        <v>20515</v>
      </c>
      <c r="E308" s="381" t="s">
        <v>2122</v>
      </c>
      <c r="F308" s="343" t="s">
        <v>31</v>
      </c>
      <c r="G308" s="325">
        <v>303.7</v>
      </c>
      <c r="H308" s="325">
        <v>2.8</v>
      </c>
      <c r="I308" s="343"/>
      <c r="J308" s="325"/>
      <c r="K308" s="341" t="s">
        <v>774</v>
      </c>
      <c r="L308" s="325">
        <v>252.9</v>
      </c>
      <c r="M308" s="325">
        <f t="shared" si="27"/>
        <v>559.4</v>
      </c>
      <c r="N308" s="342" t="s">
        <v>731</v>
      </c>
      <c r="O308" s="342"/>
      <c r="P308" s="342"/>
      <c r="Q308" s="347"/>
      <c r="R308" s="347"/>
      <c r="S308" s="342"/>
      <c r="T308" s="325"/>
      <c r="U308" s="18"/>
      <c r="V308" s="25"/>
      <c r="W308" s="25"/>
      <c r="X308" s="25"/>
      <c r="Y308" s="25"/>
      <c r="Z308" s="342" t="s">
        <v>148</v>
      </c>
      <c r="AA308" s="98"/>
    </row>
    <row r="309" spans="1:27" ht="24">
      <c r="A309" s="475"/>
      <c r="B309" s="604">
        <v>12</v>
      </c>
      <c r="C309" s="605" t="s">
        <v>775</v>
      </c>
      <c r="D309" s="606">
        <v>29651</v>
      </c>
      <c r="E309" s="606" t="s">
        <v>2123</v>
      </c>
      <c r="F309" s="602" t="s">
        <v>776</v>
      </c>
      <c r="G309" s="600">
        <v>94.051883000000004</v>
      </c>
      <c r="H309" s="600">
        <v>0.7</v>
      </c>
      <c r="I309" s="602" t="s">
        <v>776</v>
      </c>
      <c r="J309" s="600">
        <v>34.933557</v>
      </c>
      <c r="K309" s="603" t="s">
        <v>144</v>
      </c>
      <c r="L309" s="600">
        <v>53.372219999999999</v>
      </c>
      <c r="M309" s="600">
        <f t="shared" si="27"/>
        <v>183.05766</v>
      </c>
      <c r="N309" s="342" t="s">
        <v>777</v>
      </c>
      <c r="O309" s="342" t="s">
        <v>778</v>
      </c>
      <c r="P309" s="76" t="s">
        <v>36</v>
      </c>
      <c r="Q309" s="347">
        <f>[1]邵坪!O302</f>
        <v>0</v>
      </c>
      <c r="R309" s="347">
        <f>[1]邵坪!P302</f>
        <v>0</v>
      </c>
      <c r="S309" s="342">
        <v>2014.9</v>
      </c>
      <c r="T309" s="325">
        <f>[1]邵坪!R302</f>
        <v>0</v>
      </c>
      <c r="U309" s="18" t="e">
        <f t="shared" ref="U309:U313" si="28">T309/Q309</f>
        <v>#DIV/0!</v>
      </c>
      <c r="V309" s="25"/>
      <c r="W309" s="25"/>
      <c r="X309" s="25"/>
      <c r="Y309" s="25"/>
      <c r="Z309" s="601" t="s">
        <v>148</v>
      </c>
      <c r="AA309" s="98"/>
    </row>
    <row r="310" spans="1:27" ht="24" hidden="1" customHeight="1">
      <c r="A310" s="475"/>
      <c r="B310" s="604"/>
      <c r="C310" s="605"/>
      <c r="D310" s="607"/>
      <c r="E310" s="607"/>
      <c r="F310" s="602"/>
      <c r="G310" s="600"/>
      <c r="H310" s="600"/>
      <c r="I310" s="602"/>
      <c r="J310" s="600"/>
      <c r="K310" s="603"/>
      <c r="L310" s="600"/>
      <c r="M310" s="600"/>
      <c r="N310" s="342" t="s">
        <v>779</v>
      </c>
      <c r="O310" s="342" t="s">
        <v>780</v>
      </c>
      <c r="P310" s="76" t="s">
        <v>27</v>
      </c>
      <c r="Q310" s="347">
        <f>[1]邵坪!O303</f>
        <v>0</v>
      </c>
      <c r="R310" s="347">
        <f>[1]邵坪!P303</f>
        <v>0</v>
      </c>
      <c r="S310" s="342" t="s">
        <v>781</v>
      </c>
      <c r="T310" s="325">
        <f>[1]邵坪!R303</f>
        <v>0</v>
      </c>
      <c r="U310" s="18" t="e">
        <f t="shared" si="28"/>
        <v>#DIV/0!</v>
      </c>
      <c r="V310" s="25"/>
      <c r="W310" s="25"/>
      <c r="X310" s="25"/>
      <c r="Y310" s="25"/>
      <c r="Z310" s="601"/>
      <c r="AA310" s="98"/>
    </row>
    <row r="311" spans="1:27" ht="36" hidden="1" customHeight="1">
      <c r="A311" s="475"/>
      <c r="B311" s="339">
        <v>13</v>
      </c>
      <c r="C311" s="346" t="s">
        <v>782</v>
      </c>
      <c r="D311" s="380">
        <v>54696</v>
      </c>
      <c r="E311" s="381" t="s">
        <v>2124</v>
      </c>
      <c r="F311" s="343" t="s">
        <v>783</v>
      </c>
      <c r="G311" s="325">
        <f>(3063161.32-40000)/10000</f>
        <v>302.31613199999998</v>
      </c>
      <c r="H311" s="325">
        <f>40000/10000</f>
        <v>4</v>
      </c>
      <c r="I311" s="343" t="s">
        <v>31</v>
      </c>
      <c r="J311" s="325">
        <f>437520/10000</f>
        <v>43.752000000000002</v>
      </c>
      <c r="K311" s="341"/>
      <c r="L311" s="325"/>
      <c r="M311" s="188">
        <f t="shared" ref="M311:M319" si="29">SUM(G311,H311,J311,L311)</f>
        <v>350.06813199999999</v>
      </c>
      <c r="N311" s="342" t="s">
        <v>731</v>
      </c>
      <c r="O311" s="342"/>
      <c r="P311" s="342"/>
      <c r="Q311" s="347"/>
      <c r="R311" s="347"/>
      <c r="S311" s="342"/>
      <c r="T311" s="325"/>
      <c r="U311" s="18"/>
      <c r="V311" s="25"/>
      <c r="W311" s="25"/>
      <c r="X311" s="25"/>
      <c r="Y311" s="25"/>
      <c r="Z311" s="342" t="s">
        <v>247</v>
      </c>
      <c r="AA311" s="98"/>
    </row>
    <row r="312" spans="1:27" ht="48">
      <c r="A312" s="475"/>
      <c r="B312" s="604">
        <v>14</v>
      </c>
      <c r="C312" s="601" t="s">
        <v>784</v>
      </c>
      <c r="D312" s="614">
        <v>29654</v>
      </c>
      <c r="E312" s="614" t="s">
        <v>2125</v>
      </c>
      <c r="F312" s="602" t="s">
        <v>785</v>
      </c>
      <c r="G312" s="600">
        <v>153.17679999999999</v>
      </c>
      <c r="H312" s="600">
        <v>0.08</v>
      </c>
      <c r="I312" s="602" t="s">
        <v>772</v>
      </c>
      <c r="J312" s="600">
        <v>20.444624000000001</v>
      </c>
      <c r="K312" s="603"/>
      <c r="L312" s="600"/>
      <c r="M312" s="600">
        <f t="shared" si="29"/>
        <v>173.701424</v>
      </c>
      <c r="N312" s="342" t="s">
        <v>786</v>
      </c>
      <c r="O312" s="342" t="s">
        <v>787</v>
      </c>
      <c r="P312" s="76" t="s">
        <v>36</v>
      </c>
      <c r="Q312" s="347">
        <v>40</v>
      </c>
      <c r="R312" s="347">
        <v>200</v>
      </c>
      <c r="S312" s="342" t="s">
        <v>788</v>
      </c>
      <c r="T312" s="325">
        <v>48</v>
      </c>
      <c r="U312" s="18">
        <f t="shared" si="28"/>
        <v>1.2</v>
      </c>
      <c r="V312" s="610">
        <f>SUM(Q312:Q313)</f>
        <v>45</v>
      </c>
      <c r="W312" s="610">
        <f>SUM(T312:T313)</f>
        <v>54.120072</v>
      </c>
      <c r="X312" s="578">
        <f>W312/V312</f>
        <v>1.2026682666666666</v>
      </c>
      <c r="Y312" s="578">
        <f>W312/M312</f>
        <v>0.3115695355496913</v>
      </c>
      <c r="Z312" s="601" t="s">
        <v>247</v>
      </c>
      <c r="AA312" s="98"/>
    </row>
    <row r="313" spans="1:27" ht="48" hidden="1" customHeight="1">
      <c r="A313" s="475"/>
      <c r="B313" s="604"/>
      <c r="C313" s="601"/>
      <c r="D313" s="615"/>
      <c r="E313" s="615"/>
      <c r="F313" s="602"/>
      <c r="G313" s="600"/>
      <c r="H313" s="600"/>
      <c r="I313" s="602"/>
      <c r="J313" s="600"/>
      <c r="K313" s="603"/>
      <c r="L313" s="600"/>
      <c r="M313" s="600"/>
      <c r="N313" s="342" t="s">
        <v>789</v>
      </c>
      <c r="O313" s="342" t="s">
        <v>756</v>
      </c>
      <c r="P313" s="76" t="s">
        <v>27</v>
      </c>
      <c r="Q313" s="347">
        <v>5</v>
      </c>
      <c r="R313" s="347">
        <v>20</v>
      </c>
      <c r="S313" s="342" t="s">
        <v>790</v>
      </c>
      <c r="T313" s="325">
        <v>6.1200720000000004</v>
      </c>
      <c r="U313" s="18">
        <f t="shared" si="28"/>
        <v>1.2240144000000002</v>
      </c>
      <c r="V313" s="577"/>
      <c r="W313" s="577"/>
      <c r="X313" s="580"/>
      <c r="Y313" s="580"/>
      <c r="Z313" s="601"/>
      <c r="AA313" s="98"/>
    </row>
    <row r="314" spans="1:27" ht="48" hidden="1" customHeight="1">
      <c r="A314" s="475"/>
      <c r="B314" s="339">
        <v>15</v>
      </c>
      <c r="C314" s="346" t="s">
        <v>791</v>
      </c>
      <c r="D314" s="378">
        <v>31482</v>
      </c>
      <c r="E314" s="379" t="s">
        <v>2125</v>
      </c>
      <c r="F314" s="343" t="s">
        <v>792</v>
      </c>
      <c r="G314" s="325">
        <v>182.46100000000001</v>
      </c>
      <c r="H314" s="325" t="s">
        <v>793</v>
      </c>
      <c r="I314" s="343"/>
      <c r="J314" s="325"/>
      <c r="K314" s="341"/>
      <c r="L314" s="325"/>
      <c r="M314" s="325">
        <f t="shared" si="29"/>
        <v>182.46100000000001</v>
      </c>
      <c r="N314" s="342" t="s">
        <v>731</v>
      </c>
      <c r="O314" s="342"/>
      <c r="P314" s="342"/>
      <c r="Q314" s="347"/>
      <c r="R314" s="347"/>
      <c r="S314" s="342"/>
      <c r="T314" s="325"/>
      <c r="U314" s="18"/>
      <c r="V314" s="25"/>
      <c r="W314" s="25"/>
      <c r="X314" s="25"/>
      <c r="Y314" s="25"/>
      <c r="Z314" s="342" t="s">
        <v>247</v>
      </c>
      <c r="AA314" s="98"/>
    </row>
    <row r="315" spans="1:27" ht="36" hidden="1" customHeight="1">
      <c r="A315" s="475"/>
      <c r="B315" s="339">
        <v>16</v>
      </c>
      <c r="C315" s="346" t="s">
        <v>794</v>
      </c>
      <c r="D315" s="380">
        <v>54413</v>
      </c>
      <c r="E315" s="381" t="s">
        <v>2126</v>
      </c>
      <c r="F315" s="343" t="s">
        <v>39</v>
      </c>
      <c r="G315" s="325">
        <v>259.11</v>
      </c>
      <c r="H315" s="325" t="s">
        <v>795</v>
      </c>
      <c r="I315" s="343" t="s">
        <v>250</v>
      </c>
      <c r="J315" s="325">
        <v>102.024</v>
      </c>
      <c r="K315" s="341"/>
      <c r="L315" s="325"/>
      <c r="M315" s="325">
        <f t="shared" si="29"/>
        <v>361.13400000000001</v>
      </c>
      <c r="N315" s="342" t="s">
        <v>731</v>
      </c>
      <c r="O315" s="342"/>
      <c r="P315" s="342"/>
      <c r="Q315" s="347"/>
      <c r="R315" s="347"/>
      <c r="S315" s="342"/>
      <c r="T315" s="325"/>
      <c r="U315" s="18"/>
      <c r="V315" s="25"/>
      <c r="W315" s="25"/>
      <c r="X315" s="25"/>
      <c r="Y315" s="25"/>
      <c r="Z315" s="342" t="s">
        <v>247</v>
      </c>
      <c r="AA315" s="98"/>
    </row>
    <row r="316" spans="1:27" ht="36">
      <c r="A316" s="475"/>
      <c r="B316" s="339">
        <v>17</v>
      </c>
      <c r="C316" s="346" t="s">
        <v>796</v>
      </c>
      <c r="D316" s="378">
        <v>10891</v>
      </c>
      <c r="E316" s="379" t="s">
        <v>2127</v>
      </c>
      <c r="F316" s="343" t="s">
        <v>797</v>
      </c>
      <c r="G316" s="325">
        <v>23.956727000000001</v>
      </c>
      <c r="H316" s="325">
        <v>5</v>
      </c>
      <c r="I316" s="343" t="s">
        <v>31</v>
      </c>
      <c r="J316" s="325">
        <v>9.9</v>
      </c>
      <c r="K316" s="341"/>
      <c r="L316" s="325"/>
      <c r="M316" s="325">
        <f t="shared" si="29"/>
        <v>38.856726999999999</v>
      </c>
      <c r="N316" s="342" t="s">
        <v>798</v>
      </c>
      <c r="O316" s="342" t="s">
        <v>799</v>
      </c>
      <c r="P316" s="76" t="s">
        <v>36</v>
      </c>
      <c r="Q316" s="347">
        <v>76</v>
      </c>
      <c r="R316" s="347">
        <v>118.44540000000001</v>
      </c>
      <c r="S316" s="342" t="s">
        <v>800</v>
      </c>
      <c r="T316" s="325">
        <v>53</v>
      </c>
      <c r="U316" s="18">
        <f t="shared" ref="U316:U321" si="30">T316/Q316</f>
        <v>0.69736842105263153</v>
      </c>
      <c r="V316" s="347">
        <f>Q316</f>
        <v>76</v>
      </c>
      <c r="W316" s="347">
        <f>T316</f>
        <v>53</v>
      </c>
      <c r="X316" s="347">
        <f>W316/V316</f>
        <v>0.69736842105263153</v>
      </c>
      <c r="Y316" s="347">
        <f>W316/M316</f>
        <v>1.363985185885574</v>
      </c>
      <c r="Z316" s="342" t="s">
        <v>540</v>
      </c>
      <c r="AA316" s="98"/>
    </row>
    <row r="317" spans="1:27" ht="36">
      <c r="A317" s="475"/>
      <c r="B317" s="339">
        <v>18</v>
      </c>
      <c r="C317" s="346" t="s">
        <v>801</v>
      </c>
      <c r="D317" s="380">
        <v>24997</v>
      </c>
      <c r="E317" s="381" t="s">
        <v>2128</v>
      </c>
      <c r="F317" s="343" t="s">
        <v>802</v>
      </c>
      <c r="G317" s="325">
        <v>56.597000000000001</v>
      </c>
      <c r="H317" s="325">
        <v>0.25</v>
      </c>
      <c r="I317" s="74" t="s">
        <v>803</v>
      </c>
      <c r="J317" s="325">
        <f>(99215+33286+17499)/10000</f>
        <v>15</v>
      </c>
      <c r="K317" s="341"/>
      <c r="L317" s="325"/>
      <c r="M317" s="325">
        <f t="shared" si="29"/>
        <v>71.847000000000008</v>
      </c>
      <c r="N317" s="342" t="s">
        <v>804</v>
      </c>
      <c r="O317" s="342" t="s">
        <v>805</v>
      </c>
      <c r="P317" s="76" t="s">
        <v>36</v>
      </c>
      <c r="Q317" s="347">
        <v>3.2494999999999998</v>
      </c>
      <c r="R317" s="347">
        <v>125.70440000000001</v>
      </c>
      <c r="S317" s="342" t="s">
        <v>806</v>
      </c>
      <c r="T317" s="325">
        <v>7</v>
      </c>
      <c r="U317" s="18">
        <f t="shared" si="30"/>
        <v>2.1541775657793507</v>
      </c>
      <c r="V317" s="347">
        <f>Q317</f>
        <v>3.2494999999999998</v>
      </c>
      <c r="W317" s="347">
        <f>T317</f>
        <v>7</v>
      </c>
      <c r="X317" s="347">
        <f>W317/V317</f>
        <v>2.1541775657793507</v>
      </c>
      <c r="Y317" s="347">
        <f>W317/M317</f>
        <v>9.7429259398443907E-2</v>
      </c>
      <c r="Z317" s="342" t="s">
        <v>540</v>
      </c>
      <c r="AA317" s="98"/>
    </row>
    <row r="318" spans="1:27" ht="24" hidden="1" customHeight="1">
      <c r="A318" s="475"/>
      <c r="B318" s="339">
        <v>19</v>
      </c>
      <c r="C318" s="346" t="s">
        <v>807</v>
      </c>
      <c r="D318" s="380">
        <v>42213</v>
      </c>
      <c r="E318" s="381" t="s">
        <v>2129</v>
      </c>
      <c r="F318" s="345" t="s">
        <v>808</v>
      </c>
      <c r="G318" s="196">
        <v>55</v>
      </c>
      <c r="H318" s="196"/>
      <c r="I318" s="345" t="s">
        <v>808</v>
      </c>
      <c r="J318" s="196" t="s">
        <v>1935</v>
      </c>
      <c r="K318" s="196"/>
      <c r="L318" s="196"/>
      <c r="M318" s="308">
        <f t="shared" si="29"/>
        <v>55</v>
      </c>
      <c r="N318" s="345" t="s">
        <v>731</v>
      </c>
      <c r="O318" s="342"/>
      <c r="P318" s="342"/>
      <c r="Q318" s="347"/>
      <c r="R318" s="347"/>
      <c r="S318" s="342"/>
      <c r="T318" s="325"/>
      <c r="U318" s="18"/>
      <c r="V318" s="25"/>
      <c r="W318" s="25"/>
      <c r="X318" s="25"/>
      <c r="Y318" s="25"/>
      <c r="Z318" s="342" t="s">
        <v>540</v>
      </c>
      <c r="AA318" s="98"/>
    </row>
    <row r="319" spans="1:27" ht="24">
      <c r="A319" s="475"/>
      <c r="B319" s="604">
        <v>20</v>
      </c>
      <c r="C319" s="611" t="s">
        <v>809</v>
      </c>
      <c r="D319" s="606">
        <v>89559</v>
      </c>
      <c r="E319" s="612" t="s">
        <v>2130</v>
      </c>
      <c r="F319" s="601" t="s">
        <v>810</v>
      </c>
      <c r="G319" s="600">
        <v>1601.3959460000001</v>
      </c>
      <c r="H319" s="600"/>
      <c r="I319" s="625" t="s">
        <v>39</v>
      </c>
      <c r="J319" s="600">
        <v>745.47739999999999</v>
      </c>
      <c r="K319" s="600"/>
      <c r="L319" s="600"/>
      <c r="M319" s="600">
        <f t="shared" si="29"/>
        <v>2346.8733460000003</v>
      </c>
      <c r="N319" s="342" t="s">
        <v>811</v>
      </c>
      <c r="O319" s="342" t="s">
        <v>812</v>
      </c>
      <c r="P319" s="76" t="s">
        <v>36</v>
      </c>
      <c r="Q319" s="347">
        <f>[1]万利3分部!O307</f>
        <v>0</v>
      </c>
      <c r="R319" s="347">
        <v>1.7728999999999999</v>
      </c>
      <c r="S319" s="342" t="s">
        <v>813</v>
      </c>
      <c r="T319" s="325">
        <f>[1]万利3分部!R307</f>
        <v>0</v>
      </c>
      <c r="U319" s="18" t="e">
        <f t="shared" si="30"/>
        <v>#DIV/0!</v>
      </c>
      <c r="V319" s="575"/>
      <c r="W319" s="575"/>
      <c r="X319" s="575"/>
      <c r="Y319" s="575"/>
      <c r="Z319" s="601" t="s">
        <v>814</v>
      </c>
      <c r="AA319" s="98"/>
    </row>
    <row r="320" spans="1:27" ht="24" hidden="1" customHeight="1">
      <c r="A320" s="475"/>
      <c r="B320" s="604"/>
      <c r="C320" s="611"/>
      <c r="D320" s="607"/>
      <c r="E320" s="613"/>
      <c r="F320" s="601"/>
      <c r="G320" s="600"/>
      <c r="H320" s="600"/>
      <c r="I320" s="625"/>
      <c r="J320" s="600"/>
      <c r="K320" s="600"/>
      <c r="L320" s="600"/>
      <c r="M320" s="600"/>
      <c r="N320" s="345" t="s">
        <v>815</v>
      </c>
      <c r="O320" s="345" t="s">
        <v>756</v>
      </c>
      <c r="P320" s="76" t="s">
        <v>27</v>
      </c>
      <c r="Q320" s="190">
        <f>[1]万利3分部!O308</f>
        <v>0</v>
      </c>
      <c r="R320" s="190">
        <f>[1]万利3分部!P308</f>
        <v>0</v>
      </c>
      <c r="S320" s="345" t="s">
        <v>134</v>
      </c>
      <c r="T320" s="196">
        <f>[1]万利3分部!R308</f>
        <v>0</v>
      </c>
      <c r="U320" s="194" t="e">
        <f t="shared" si="30"/>
        <v>#DIV/0!</v>
      </c>
      <c r="V320" s="576"/>
      <c r="W320" s="576"/>
      <c r="X320" s="576"/>
      <c r="Y320" s="576"/>
      <c r="Z320" s="601"/>
      <c r="AA320" s="98"/>
    </row>
    <row r="321" spans="1:27" ht="24">
      <c r="A321" s="475"/>
      <c r="B321" s="604">
        <v>21</v>
      </c>
      <c r="C321" s="611" t="s">
        <v>816</v>
      </c>
      <c r="D321" s="606">
        <v>64833</v>
      </c>
      <c r="E321" s="612" t="s">
        <v>2131</v>
      </c>
      <c r="F321" s="601"/>
      <c r="G321" s="600"/>
      <c r="H321" s="600"/>
      <c r="I321" s="625"/>
      <c r="J321" s="600"/>
      <c r="K321" s="600"/>
      <c r="L321" s="600"/>
      <c r="M321" s="600"/>
      <c r="N321" s="345" t="s">
        <v>817</v>
      </c>
      <c r="O321" s="345" t="s">
        <v>818</v>
      </c>
      <c r="P321" s="76" t="s">
        <v>36</v>
      </c>
      <c r="Q321" s="190">
        <f>[1]万利7分部!O307</f>
        <v>0</v>
      </c>
      <c r="R321" s="190">
        <f>[1]万利7分部!P307</f>
        <v>0</v>
      </c>
      <c r="S321" s="345" t="s">
        <v>819</v>
      </c>
      <c r="T321" s="196">
        <f>[1]万利7分部!R307</f>
        <v>0</v>
      </c>
      <c r="U321" s="194" t="e">
        <f t="shared" si="30"/>
        <v>#DIV/0!</v>
      </c>
      <c r="V321" s="576"/>
      <c r="W321" s="576"/>
      <c r="X321" s="576"/>
      <c r="Y321" s="576"/>
      <c r="Z321" s="609" t="s">
        <v>814</v>
      </c>
      <c r="AA321" s="98"/>
    </row>
    <row r="322" spans="1:27" ht="24" hidden="1" customHeight="1">
      <c r="A322" s="475"/>
      <c r="B322" s="604"/>
      <c r="C322" s="611"/>
      <c r="D322" s="607"/>
      <c r="E322" s="613"/>
      <c r="F322" s="601"/>
      <c r="G322" s="600"/>
      <c r="H322" s="600"/>
      <c r="I322" s="625"/>
      <c r="J322" s="600"/>
      <c r="K322" s="600"/>
      <c r="L322" s="600"/>
      <c r="M322" s="600"/>
      <c r="N322" s="345" t="s">
        <v>820</v>
      </c>
      <c r="O322" s="345" t="s">
        <v>756</v>
      </c>
      <c r="P322" s="76" t="s">
        <v>27</v>
      </c>
      <c r="Q322" s="190">
        <f>[1]万利7分部!O308</f>
        <v>0</v>
      </c>
      <c r="R322" s="190">
        <f>[1]万利7分部!P308</f>
        <v>0</v>
      </c>
      <c r="S322" s="345" t="s">
        <v>768</v>
      </c>
      <c r="T322" s="196"/>
      <c r="U322" s="194"/>
      <c r="V322" s="577"/>
      <c r="W322" s="577"/>
      <c r="X322" s="577"/>
      <c r="Y322" s="577"/>
      <c r="Z322" s="609"/>
      <c r="AA322" s="98"/>
    </row>
    <row r="323" spans="1:27" ht="48">
      <c r="A323" s="475"/>
      <c r="B323" s="339">
        <v>22</v>
      </c>
      <c r="C323" s="346" t="s">
        <v>821</v>
      </c>
      <c r="D323" s="380">
        <v>22846</v>
      </c>
      <c r="E323" s="381" t="s">
        <v>2132</v>
      </c>
      <c r="F323" s="343" t="s">
        <v>31</v>
      </c>
      <c r="G323" s="325"/>
      <c r="H323" s="325"/>
      <c r="I323" s="343" t="s">
        <v>822</v>
      </c>
      <c r="J323" s="325">
        <v>14.850199999999999</v>
      </c>
      <c r="K323" s="341"/>
      <c r="L323" s="325"/>
      <c r="M323" s="325">
        <f t="shared" ref="M323:M329" si="31">SUM(G323,H323,J323,L323)</f>
        <v>14.850199999999999</v>
      </c>
      <c r="N323" s="195" t="s">
        <v>823</v>
      </c>
      <c r="O323" s="345" t="s">
        <v>824</v>
      </c>
      <c r="P323" s="76" t="s">
        <v>36</v>
      </c>
      <c r="Q323" s="190">
        <f>[1]宁高!O302</f>
        <v>0</v>
      </c>
      <c r="R323" s="190">
        <f>[1]宁高!P302</f>
        <v>0</v>
      </c>
      <c r="S323" s="345" t="s">
        <v>825</v>
      </c>
      <c r="T323" s="196"/>
      <c r="U323" s="194"/>
      <c r="V323" s="192"/>
      <c r="W323" s="192"/>
      <c r="X323" s="192"/>
      <c r="Y323" s="192"/>
      <c r="Z323" s="342" t="s">
        <v>826</v>
      </c>
      <c r="AA323" s="98"/>
    </row>
    <row r="324" spans="1:27" ht="36" hidden="1" customHeight="1">
      <c r="A324" s="475"/>
      <c r="B324" s="339">
        <v>23</v>
      </c>
      <c r="C324" s="346" t="s">
        <v>827</v>
      </c>
      <c r="D324" s="378">
        <v>13520.64</v>
      </c>
      <c r="E324" s="379" t="s">
        <v>2133</v>
      </c>
      <c r="F324" s="343" t="s">
        <v>543</v>
      </c>
      <c r="G324" s="325">
        <v>14.1031</v>
      </c>
      <c r="H324" s="325"/>
      <c r="I324" s="343" t="s">
        <v>543</v>
      </c>
      <c r="J324" s="325">
        <v>15.5487</v>
      </c>
      <c r="K324" s="341"/>
      <c r="L324" s="325"/>
      <c r="M324" s="188">
        <f t="shared" si="31"/>
        <v>29.651800000000001</v>
      </c>
      <c r="N324" s="342" t="s">
        <v>731</v>
      </c>
      <c r="O324" s="342"/>
      <c r="P324" s="342"/>
      <c r="Q324" s="347"/>
      <c r="R324" s="347"/>
      <c r="S324" s="342"/>
      <c r="T324" s="325"/>
      <c r="U324" s="18"/>
      <c r="V324" s="25"/>
      <c r="W324" s="25"/>
      <c r="X324" s="25"/>
      <c r="Y324" s="25"/>
      <c r="Z324" s="342" t="s">
        <v>826</v>
      </c>
      <c r="AA324" s="98"/>
    </row>
    <row r="325" spans="1:27" ht="24" hidden="1" customHeight="1">
      <c r="A325" s="475"/>
      <c r="B325" s="339">
        <v>24</v>
      </c>
      <c r="C325" s="346" t="s">
        <v>828</v>
      </c>
      <c r="D325" s="380">
        <v>14695</v>
      </c>
      <c r="E325" s="381" t="s">
        <v>2134</v>
      </c>
      <c r="F325" s="343"/>
      <c r="G325" s="325"/>
      <c r="H325" s="325"/>
      <c r="I325" s="187" t="s">
        <v>250</v>
      </c>
      <c r="J325" s="188">
        <v>14</v>
      </c>
      <c r="K325" s="307"/>
      <c r="L325" s="188"/>
      <c r="M325" s="325">
        <f t="shared" si="31"/>
        <v>14</v>
      </c>
      <c r="N325" s="342" t="s">
        <v>731</v>
      </c>
      <c r="O325" s="342"/>
      <c r="P325" s="342"/>
      <c r="Q325" s="347"/>
      <c r="R325" s="347"/>
      <c r="S325" s="342"/>
      <c r="T325" s="325"/>
      <c r="U325" s="18"/>
      <c r="V325" s="25"/>
      <c r="W325" s="25"/>
      <c r="X325" s="25"/>
      <c r="Y325" s="25"/>
      <c r="Z325" s="342" t="s">
        <v>826</v>
      </c>
      <c r="AA325" s="98"/>
    </row>
    <row r="326" spans="1:27" ht="24">
      <c r="A326" s="475"/>
      <c r="B326" s="339">
        <v>25</v>
      </c>
      <c r="C326" s="346" t="s">
        <v>829</v>
      </c>
      <c r="D326" s="380">
        <v>28886</v>
      </c>
      <c r="E326" s="381" t="s">
        <v>2135</v>
      </c>
      <c r="F326" s="343" t="s">
        <v>830</v>
      </c>
      <c r="G326" s="325">
        <v>28.8855</v>
      </c>
      <c r="H326" s="325">
        <v>0</v>
      </c>
      <c r="I326" s="343" t="s">
        <v>39</v>
      </c>
      <c r="J326" s="325">
        <v>11.5542</v>
      </c>
      <c r="K326" s="341"/>
      <c r="L326" s="325"/>
      <c r="M326" s="325">
        <f t="shared" si="31"/>
        <v>40.439700000000002</v>
      </c>
      <c r="N326" s="345" t="s">
        <v>831</v>
      </c>
      <c r="O326" s="345" t="s">
        <v>832</v>
      </c>
      <c r="P326" s="76" t="s">
        <v>36</v>
      </c>
      <c r="Q326" s="190">
        <v>0</v>
      </c>
      <c r="R326" s="190">
        <v>15</v>
      </c>
      <c r="S326" s="345" t="s">
        <v>825</v>
      </c>
      <c r="T326" s="196"/>
      <c r="U326" s="194"/>
      <c r="V326" s="192"/>
      <c r="W326" s="192"/>
      <c r="X326" s="192"/>
      <c r="Y326" s="192"/>
      <c r="Z326" s="345" t="s">
        <v>826</v>
      </c>
      <c r="AA326" s="98"/>
    </row>
    <row r="327" spans="1:27" ht="48">
      <c r="A327" s="475"/>
      <c r="B327" s="339">
        <v>26</v>
      </c>
      <c r="C327" s="346" t="s">
        <v>833</v>
      </c>
      <c r="D327" s="380">
        <v>33822</v>
      </c>
      <c r="E327" s="381" t="s">
        <v>2136</v>
      </c>
      <c r="F327" s="187" t="s">
        <v>834</v>
      </c>
      <c r="G327" s="188">
        <v>44.139387999999997</v>
      </c>
      <c r="H327" s="188"/>
      <c r="I327" s="187" t="s">
        <v>835</v>
      </c>
      <c r="J327" s="188">
        <v>25.366536</v>
      </c>
      <c r="K327" s="307"/>
      <c r="L327" s="188"/>
      <c r="M327" s="325">
        <f t="shared" si="31"/>
        <v>69.505923999999993</v>
      </c>
      <c r="N327" s="345" t="s">
        <v>836</v>
      </c>
      <c r="O327" s="345" t="s">
        <v>837</v>
      </c>
      <c r="P327" s="76" t="s">
        <v>36</v>
      </c>
      <c r="Q327" s="190">
        <v>5</v>
      </c>
      <c r="R327" s="190">
        <v>12</v>
      </c>
      <c r="S327" s="345" t="s">
        <v>825</v>
      </c>
      <c r="T327" s="196"/>
      <c r="U327" s="194"/>
      <c r="V327" s="192"/>
      <c r="W327" s="192"/>
      <c r="X327" s="192"/>
      <c r="Y327" s="192"/>
      <c r="Z327" s="356" t="s">
        <v>826</v>
      </c>
      <c r="AA327" s="98"/>
    </row>
    <row r="328" spans="1:27" ht="48" hidden="1" customHeight="1">
      <c r="A328" s="475"/>
      <c r="B328" s="339">
        <v>27</v>
      </c>
      <c r="C328" s="346" t="s">
        <v>838</v>
      </c>
      <c r="D328" s="380">
        <v>99594.150999999998</v>
      </c>
      <c r="E328" s="381" t="s">
        <v>2137</v>
      </c>
      <c r="F328" s="343" t="s">
        <v>839</v>
      </c>
      <c r="G328" s="325">
        <v>187.5429</v>
      </c>
      <c r="H328" s="325">
        <v>7.5</v>
      </c>
      <c r="I328" s="343" t="s">
        <v>840</v>
      </c>
      <c r="J328" s="325">
        <v>160.3295</v>
      </c>
      <c r="K328" s="341"/>
      <c r="L328" s="325"/>
      <c r="M328" s="325">
        <f t="shared" si="31"/>
        <v>355.37239999999997</v>
      </c>
      <c r="N328" s="345" t="s">
        <v>841</v>
      </c>
      <c r="O328" s="345" t="s">
        <v>756</v>
      </c>
      <c r="P328" s="76" t="s">
        <v>27</v>
      </c>
      <c r="Q328" s="190">
        <f>[1]连盐铁路!O303</f>
        <v>0</v>
      </c>
      <c r="R328" s="190">
        <f>[1]连盐铁路!P303</f>
        <v>0</v>
      </c>
      <c r="S328" s="345" t="s">
        <v>842</v>
      </c>
      <c r="T328" s="196">
        <f>[1]连盐铁路!R303</f>
        <v>0</v>
      </c>
      <c r="U328" s="194" t="e">
        <f>T328/Q328</f>
        <v>#DIV/0!</v>
      </c>
      <c r="V328" s="192"/>
      <c r="W328" s="192"/>
      <c r="X328" s="192"/>
      <c r="Y328" s="192"/>
      <c r="Z328" s="345" t="s">
        <v>826</v>
      </c>
      <c r="AA328" s="98"/>
    </row>
    <row r="329" spans="1:27" ht="48" hidden="1" customHeight="1">
      <c r="A329" s="475"/>
      <c r="B329" s="604">
        <v>28</v>
      </c>
      <c r="C329" s="346" t="s">
        <v>843</v>
      </c>
      <c r="D329" s="380">
        <v>18740</v>
      </c>
      <c r="E329" s="381" t="s">
        <v>2138</v>
      </c>
      <c r="F329" s="623" t="s">
        <v>844</v>
      </c>
      <c r="G329" s="616">
        <v>18.740055999999999</v>
      </c>
      <c r="H329" s="616">
        <v>0.5</v>
      </c>
      <c r="I329" s="623"/>
      <c r="J329" s="616"/>
      <c r="K329" s="618"/>
      <c r="L329" s="616"/>
      <c r="M329" s="616">
        <f t="shared" si="31"/>
        <v>19.240055999999999</v>
      </c>
      <c r="N329" s="342" t="s">
        <v>731</v>
      </c>
      <c r="O329" s="342"/>
      <c r="P329" s="342"/>
      <c r="Q329" s="347"/>
      <c r="R329" s="347"/>
      <c r="S329" s="342"/>
      <c r="T329" s="325"/>
      <c r="U329" s="18"/>
      <c r="V329" s="25"/>
      <c r="W329" s="25"/>
      <c r="X329" s="25"/>
      <c r="Y329" s="25"/>
      <c r="Z329" s="601" t="s">
        <v>826</v>
      </c>
      <c r="AA329" s="98"/>
    </row>
    <row r="330" spans="1:27" ht="72" hidden="1" customHeight="1">
      <c r="A330" s="475"/>
      <c r="B330" s="604"/>
      <c r="C330" s="346" t="s">
        <v>845</v>
      </c>
      <c r="D330" s="380">
        <v>11540</v>
      </c>
      <c r="E330" s="381" t="s">
        <v>2139</v>
      </c>
      <c r="F330" s="624"/>
      <c r="G330" s="617"/>
      <c r="H330" s="617"/>
      <c r="I330" s="624"/>
      <c r="J330" s="617"/>
      <c r="K330" s="619"/>
      <c r="L330" s="617"/>
      <c r="M330" s="617"/>
      <c r="N330" s="342" t="s">
        <v>731</v>
      </c>
      <c r="O330" s="342"/>
      <c r="P330" s="342"/>
      <c r="Q330" s="347"/>
      <c r="R330" s="347"/>
      <c r="S330" s="342"/>
      <c r="T330" s="325"/>
      <c r="U330" s="18"/>
      <c r="V330" s="25"/>
      <c r="W330" s="25"/>
      <c r="X330" s="25"/>
      <c r="Y330" s="25"/>
      <c r="Z330" s="601"/>
      <c r="AA330" s="98"/>
    </row>
    <row r="331" spans="1:27" ht="24" hidden="1" customHeight="1">
      <c r="A331" s="475"/>
      <c r="B331" s="339">
        <v>29</v>
      </c>
      <c r="C331" s="189" t="s">
        <v>846</v>
      </c>
      <c r="D331" s="380">
        <v>5500</v>
      </c>
      <c r="E331" s="381" t="s">
        <v>2140</v>
      </c>
      <c r="F331" s="187"/>
      <c r="G331" s="188"/>
      <c r="H331" s="188"/>
      <c r="I331" s="187" t="s">
        <v>31</v>
      </c>
      <c r="J331" s="188">
        <v>0.39</v>
      </c>
      <c r="K331" s="307"/>
      <c r="L331" s="188"/>
      <c r="M331" s="325">
        <f t="shared" ref="M331:M335" si="32">SUM(G331,H331,J331,L331)</f>
        <v>0.39</v>
      </c>
      <c r="N331" s="197" t="s">
        <v>847</v>
      </c>
      <c r="O331" s="197" t="s">
        <v>848</v>
      </c>
      <c r="P331" s="76" t="s">
        <v>27</v>
      </c>
      <c r="Q331" s="185">
        <v>2.2000000000000002</v>
      </c>
      <c r="R331" s="185">
        <v>2.2000000000000002</v>
      </c>
      <c r="S331" s="197" t="s">
        <v>849</v>
      </c>
      <c r="T331" s="188">
        <v>1.1000000000000001</v>
      </c>
      <c r="U331" s="198">
        <f>T331/Q331</f>
        <v>0.5</v>
      </c>
      <c r="V331" s="185">
        <f>Q331</f>
        <v>2.2000000000000002</v>
      </c>
      <c r="W331" s="185">
        <f>T331</f>
        <v>1.1000000000000001</v>
      </c>
      <c r="X331" s="185">
        <f>W331/V331</f>
        <v>0.5</v>
      </c>
      <c r="Y331" s="185">
        <f>W331/M331</f>
        <v>2.8205128205128207</v>
      </c>
      <c r="Z331" s="197" t="s">
        <v>826</v>
      </c>
      <c r="AA331" s="98"/>
    </row>
    <row r="332" spans="1:27" ht="48" hidden="1" customHeight="1">
      <c r="A332" s="475"/>
      <c r="B332" s="339">
        <v>30</v>
      </c>
      <c r="C332" s="346" t="s">
        <v>850</v>
      </c>
      <c r="D332" s="380">
        <v>35756</v>
      </c>
      <c r="E332" s="381" t="s">
        <v>2141</v>
      </c>
      <c r="F332" s="356" t="s">
        <v>851</v>
      </c>
      <c r="G332" s="313">
        <v>99.212491</v>
      </c>
      <c r="H332" s="313"/>
      <c r="I332" s="356" t="s">
        <v>852</v>
      </c>
      <c r="J332" s="313">
        <v>34.6</v>
      </c>
      <c r="K332" s="313"/>
      <c r="L332" s="313"/>
      <c r="M332" s="313">
        <f t="shared" si="32"/>
        <v>133.81249099999999</v>
      </c>
      <c r="N332" s="342" t="s">
        <v>731</v>
      </c>
      <c r="O332" s="342"/>
      <c r="P332" s="342"/>
      <c r="Q332" s="347"/>
      <c r="R332" s="347"/>
      <c r="S332" s="342"/>
      <c r="T332" s="325"/>
      <c r="U332" s="18"/>
      <c r="V332" s="25"/>
      <c r="W332" s="25"/>
      <c r="X332" s="25"/>
      <c r="Y332" s="25"/>
      <c r="Z332" s="345" t="s">
        <v>21</v>
      </c>
      <c r="AA332" s="98"/>
    </row>
    <row r="333" spans="1:27" ht="48" hidden="1" customHeight="1">
      <c r="A333" s="475"/>
      <c r="B333" s="339">
        <v>31</v>
      </c>
      <c r="C333" s="199" t="s">
        <v>853</v>
      </c>
      <c r="D333" s="380">
        <v>29654.054599999999</v>
      </c>
      <c r="E333" s="381" t="s">
        <v>2142</v>
      </c>
      <c r="F333" s="345"/>
      <c r="G333" s="196"/>
      <c r="H333" s="196"/>
      <c r="I333" s="345" t="s">
        <v>854</v>
      </c>
      <c r="J333" s="196">
        <v>24.998795000000001</v>
      </c>
      <c r="K333" s="196"/>
      <c r="L333" s="196"/>
      <c r="M333" s="196">
        <f t="shared" si="32"/>
        <v>24.998795000000001</v>
      </c>
      <c r="N333" s="342" t="s">
        <v>731</v>
      </c>
      <c r="O333" s="342"/>
      <c r="P333" s="342"/>
      <c r="Q333" s="347"/>
      <c r="R333" s="347"/>
      <c r="S333" s="342"/>
      <c r="T333" s="325"/>
      <c r="U333" s="18"/>
      <c r="V333" s="25"/>
      <c r="W333" s="25"/>
      <c r="X333" s="25"/>
      <c r="Y333" s="25"/>
      <c r="Z333" s="345" t="s">
        <v>247</v>
      </c>
      <c r="AA333" s="98"/>
    </row>
    <row r="334" spans="1:27" ht="36" hidden="1" customHeight="1">
      <c r="A334" s="475"/>
      <c r="B334" s="339">
        <v>32</v>
      </c>
      <c r="C334" s="199" t="s">
        <v>855</v>
      </c>
      <c r="D334" s="380">
        <v>20118</v>
      </c>
      <c r="E334" s="381" t="s">
        <v>2143</v>
      </c>
      <c r="F334" s="200"/>
      <c r="G334" s="201"/>
      <c r="H334" s="201"/>
      <c r="I334" s="200" t="s">
        <v>856</v>
      </c>
      <c r="J334" s="201">
        <v>28.165900000000001</v>
      </c>
      <c r="K334" s="201"/>
      <c r="L334" s="201"/>
      <c r="M334" s="201">
        <f t="shared" si="32"/>
        <v>28.165900000000001</v>
      </c>
      <c r="N334" s="359" t="s">
        <v>731</v>
      </c>
      <c r="O334" s="359"/>
      <c r="P334" s="359"/>
      <c r="Q334" s="319"/>
      <c r="R334" s="319"/>
      <c r="S334" s="359"/>
      <c r="T334" s="321"/>
      <c r="U334" s="202"/>
      <c r="V334" s="316"/>
      <c r="W334" s="316"/>
      <c r="X334" s="316"/>
      <c r="Y334" s="316"/>
      <c r="Z334" s="203" t="s">
        <v>247</v>
      </c>
      <c r="AA334" s="98"/>
    </row>
    <row r="335" spans="1:27" ht="48" hidden="1" customHeight="1">
      <c r="A335" s="475"/>
      <c r="B335" s="339">
        <v>33</v>
      </c>
      <c r="C335" s="199" t="s">
        <v>857</v>
      </c>
      <c r="D335" s="380">
        <v>16706</v>
      </c>
      <c r="E335" s="381" t="s">
        <v>2144</v>
      </c>
      <c r="F335" s="204"/>
      <c r="G335" s="196"/>
      <c r="H335" s="196"/>
      <c r="I335" s="204"/>
      <c r="J335" s="196"/>
      <c r="K335" s="201" t="s">
        <v>858</v>
      </c>
      <c r="L335" s="201">
        <v>10.884230000000001</v>
      </c>
      <c r="M335" s="201">
        <f t="shared" si="32"/>
        <v>10.884230000000001</v>
      </c>
      <c r="N335" s="359" t="s">
        <v>731</v>
      </c>
      <c r="O335" s="342"/>
      <c r="P335" s="342"/>
      <c r="Q335" s="347"/>
      <c r="R335" s="347"/>
      <c r="S335" s="342"/>
      <c r="T335" s="325"/>
      <c r="U335" s="18"/>
      <c r="V335" s="25"/>
      <c r="W335" s="25"/>
      <c r="X335" s="25"/>
      <c r="Y335" s="25"/>
      <c r="Z335" s="345" t="s">
        <v>739</v>
      </c>
      <c r="AA335" s="98"/>
    </row>
    <row r="336" spans="1:27" ht="24" hidden="1" customHeight="1">
      <c r="A336" s="475"/>
      <c r="B336" s="339">
        <v>34</v>
      </c>
      <c r="C336" s="346" t="s">
        <v>859</v>
      </c>
      <c r="D336" s="380">
        <v>8529</v>
      </c>
      <c r="E336" s="381" t="s">
        <v>2145</v>
      </c>
      <c r="F336" s="205" t="s">
        <v>860</v>
      </c>
      <c r="G336" s="325"/>
      <c r="H336" s="325"/>
      <c r="I336" s="343"/>
      <c r="J336" s="325"/>
      <c r="K336" s="341"/>
      <c r="L336" s="325"/>
      <c r="M336" s="325"/>
      <c r="N336" s="342" t="s">
        <v>731</v>
      </c>
      <c r="O336" s="342"/>
      <c r="P336" s="342"/>
      <c r="Q336" s="347"/>
      <c r="R336" s="347"/>
      <c r="S336" s="342"/>
      <c r="T336" s="325"/>
      <c r="U336" s="18"/>
      <c r="V336" s="25"/>
      <c r="W336" s="25"/>
      <c r="X336" s="25"/>
      <c r="Y336" s="25"/>
      <c r="Z336" s="345" t="s">
        <v>861</v>
      </c>
      <c r="AA336" s="98"/>
    </row>
    <row r="337" spans="1:27" ht="36" hidden="1" customHeight="1">
      <c r="A337" s="475"/>
      <c r="B337" s="339">
        <v>35</v>
      </c>
      <c r="C337" s="346" t="s">
        <v>862</v>
      </c>
      <c r="D337" s="380">
        <v>29159</v>
      </c>
      <c r="E337" s="381" t="s">
        <v>2146</v>
      </c>
      <c r="F337" s="205" t="s">
        <v>863</v>
      </c>
      <c r="G337" s="325"/>
      <c r="H337" s="325"/>
      <c r="I337" s="343"/>
      <c r="J337" s="325"/>
      <c r="K337" s="341"/>
      <c r="L337" s="325"/>
      <c r="M337" s="325"/>
      <c r="N337" s="342" t="s">
        <v>731</v>
      </c>
      <c r="O337" s="342"/>
      <c r="P337" s="342"/>
      <c r="Q337" s="347"/>
      <c r="R337" s="347"/>
      <c r="S337" s="342"/>
      <c r="T337" s="325"/>
      <c r="U337" s="18"/>
      <c r="V337" s="25"/>
      <c r="W337" s="25"/>
      <c r="X337" s="25"/>
      <c r="Y337" s="25"/>
      <c r="Z337" s="345" t="s">
        <v>32</v>
      </c>
      <c r="AA337" s="98"/>
    </row>
    <row r="338" spans="1:27" ht="36" hidden="1" customHeight="1">
      <c r="A338" s="475"/>
      <c r="B338" s="339">
        <v>36</v>
      </c>
      <c r="C338" s="346" t="s">
        <v>864</v>
      </c>
      <c r="D338" s="378">
        <v>10459</v>
      </c>
      <c r="E338" s="378" t="s">
        <v>2147</v>
      </c>
      <c r="F338" s="343" t="s">
        <v>865</v>
      </c>
      <c r="G338" s="325"/>
      <c r="H338" s="325"/>
      <c r="I338" s="343"/>
      <c r="J338" s="325"/>
      <c r="K338" s="341"/>
      <c r="L338" s="325"/>
      <c r="M338" s="325"/>
      <c r="N338" s="342" t="s">
        <v>731</v>
      </c>
      <c r="O338" s="342"/>
      <c r="P338" s="342"/>
      <c r="Q338" s="347"/>
      <c r="R338" s="347"/>
      <c r="S338" s="342"/>
      <c r="T338" s="325"/>
      <c r="U338" s="18"/>
      <c r="V338" s="25"/>
      <c r="W338" s="25"/>
      <c r="X338" s="25"/>
      <c r="Y338" s="25"/>
      <c r="Z338" s="345" t="s">
        <v>739</v>
      </c>
      <c r="AA338" s="98"/>
    </row>
    <row r="339" spans="1:27" ht="36" hidden="1" customHeight="1">
      <c r="A339" s="475"/>
      <c r="B339" s="339">
        <v>37</v>
      </c>
      <c r="C339" s="346" t="s">
        <v>866</v>
      </c>
      <c r="D339" s="378">
        <v>25124.924599999998</v>
      </c>
      <c r="E339" s="378" t="s">
        <v>2148</v>
      </c>
      <c r="F339" s="343" t="s">
        <v>867</v>
      </c>
      <c r="G339" s="325"/>
      <c r="H339" s="325"/>
      <c r="I339" s="343"/>
      <c r="J339" s="325"/>
      <c r="K339" s="341"/>
      <c r="L339" s="325"/>
      <c r="M339" s="325"/>
      <c r="N339" s="342" t="s">
        <v>731</v>
      </c>
      <c r="O339" s="342"/>
      <c r="P339" s="342"/>
      <c r="Q339" s="347"/>
      <c r="R339" s="347"/>
      <c r="S339" s="342"/>
      <c r="T339" s="325"/>
      <c r="U339" s="18"/>
      <c r="V339" s="25"/>
      <c r="W339" s="25"/>
      <c r="X339" s="25"/>
      <c r="Y339" s="25"/>
      <c r="Z339" s="345" t="s">
        <v>739</v>
      </c>
      <c r="AA339" s="98"/>
    </row>
    <row r="340" spans="1:27" ht="24" hidden="1" customHeight="1">
      <c r="A340" s="475"/>
      <c r="B340" s="339">
        <v>38</v>
      </c>
      <c r="C340" s="346" t="s">
        <v>868</v>
      </c>
      <c r="D340" s="378">
        <v>7980</v>
      </c>
      <c r="E340" s="378" t="s">
        <v>2149</v>
      </c>
      <c r="F340" s="343" t="s">
        <v>865</v>
      </c>
      <c r="G340" s="325"/>
      <c r="H340" s="325"/>
      <c r="I340" s="343"/>
      <c r="J340" s="325"/>
      <c r="K340" s="341"/>
      <c r="L340" s="325"/>
      <c r="M340" s="325"/>
      <c r="N340" s="342" t="s">
        <v>731</v>
      </c>
      <c r="O340" s="342"/>
      <c r="P340" s="342"/>
      <c r="Q340" s="347"/>
      <c r="R340" s="347"/>
      <c r="S340" s="342"/>
      <c r="T340" s="325"/>
      <c r="U340" s="18"/>
      <c r="V340" s="25"/>
      <c r="W340" s="25"/>
      <c r="X340" s="25"/>
      <c r="Y340" s="25"/>
      <c r="Z340" s="345" t="s">
        <v>869</v>
      </c>
      <c r="AA340" s="98"/>
    </row>
    <row r="341" spans="1:27" ht="36" hidden="1" customHeight="1">
      <c r="A341" s="475"/>
      <c r="B341" s="339">
        <v>39</v>
      </c>
      <c r="C341" s="346" t="s">
        <v>870</v>
      </c>
      <c r="D341" s="378">
        <v>10000</v>
      </c>
      <c r="E341" s="379" t="s">
        <v>2150</v>
      </c>
      <c r="F341" s="206" t="s">
        <v>860</v>
      </c>
      <c r="G341" s="325"/>
      <c r="H341" s="325"/>
      <c r="I341" s="343"/>
      <c r="J341" s="325"/>
      <c r="K341" s="341"/>
      <c r="L341" s="325"/>
      <c r="M341" s="325"/>
      <c r="N341" s="342" t="s">
        <v>731</v>
      </c>
      <c r="O341" s="342"/>
      <c r="P341" s="342"/>
      <c r="Q341" s="347"/>
      <c r="R341" s="347"/>
      <c r="S341" s="342"/>
      <c r="T341" s="325"/>
      <c r="U341" s="18"/>
      <c r="V341" s="25"/>
      <c r="W341" s="25"/>
      <c r="X341" s="25"/>
      <c r="Y341" s="25"/>
      <c r="Z341" s="345" t="s">
        <v>869</v>
      </c>
      <c r="AA341" s="98"/>
    </row>
    <row r="342" spans="1:27" ht="36" hidden="1" customHeight="1">
      <c r="A342" s="475"/>
      <c r="B342" s="339">
        <v>40</v>
      </c>
      <c r="C342" s="346" t="s">
        <v>871</v>
      </c>
      <c r="D342" s="380">
        <v>26000</v>
      </c>
      <c r="E342" s="381" t="s">
        <v>2151</v>
      </c>
      <c r="F342" s="206" t="s">
        <v>860</v>
      </c>
      <c r="G342" s="325"/>
      <c r="H342" s="325"/>
      <c r="I342" s="343"/>
      <c r="J342" s="325"/>
      <c r="K342" s="341"/>
      <c r="L342" s="325"/>
      <c r="M342" s="325"/>
      <c r="N342" s="342" t="s">
        <v>731</v>
      </c>
      <c r="O342" s="342"/>
      <c r="P342" s="342"/>
      <c r="Q342" s="347"/>
      <c r="R342" s="347"/>
      <c r="S342" s="342"/>
      <c r="T342" s="325"/>
      <c r="U342" s="18"/>
      <c r="V342" s="25"/>
      <c r="W342" s="25"/>
      <c r="X342" s="25"/>
      <c r="Y342" s="25"/>
      <c r="Z342" s="345" t="s">
        <v>869</v>
      </c>
      <c r="AA342" s="98"/>
    </row>
    <row r="343" spans="1:27" ht="48" hidden="1" customHeight="1">
      <c r="A343" s="475"/>
      <c r="B343" s="339">
        <v>41</v>
      </c>
      <c r="C343" s="207" t="s">
        <v>872</v>
      </c>
      <c r="D343" s="380">
        <v>88298</v>
      </c>
      <c r="E343" s="381" t="s">
        <v>2152</v>
      </c>
      <c r="F343" s="9" t="s">
        <v>867</v>
      </c>
      <c r="G343" s="321"/>
      <c r="H343" s="321"/>
      <c r="I343" s="9"/>
      <c r="J343" s="321"/>
      <c r="K343" s="309"/>
      <c r="L343" s="321"/>
      <c r="M343" s="361"/>
      <c r="N343" s="342" t="s">
        <v>731</v>
      </c>
      <c r="O343" s="342"/>
      <c r="P343" s="342"/>
      <c r="Q343" s="347"/>
      <c r="R343" s="347"/>
      <c r="S343" s="342"/>
      <c r="T343" s="325"/>
      <c r="U343" s="18"/>
      <c r="V343" s="25"/>
      <c r="W343" s="25"/>
      <c r="X343" s="25"/>
      <c r="Y343" s="25"/>
      <c r="Z343" s="345" t="s">
        <v>732</v>
      </c>
      <c r="AA343" s="98"/>
    </row>
    <row r="344" spans="1:27" ht="24" hidden="1" customHeight="1">
      <c r="A344" s="475"/>
      <c r="B344" s="339">
        <v>42</v>
      </c>
      <c r="C344" s="93" t="s">
        <v>873</v>
      </c>
      <c r="D344" s="380">
        <v>20937</v>
      </c>
      <c r="E344" s="381" t="s">
        <v>2153</v>
      </c>
      <c r="F344" s="206" t="s">
        <v>860</v>
      </c>
      <c r="G344" s="325"/>
      <c r="H344" s="325"/>
      <c r="I344" s="343"/>
      <c r="J344" s="325"/>
      <c r="K344" s="341"/>
      <c r="L344" s="325"/>
      <c r="M344" s="320"/>
      <c r="N344" s="342" t="s">
        <v>731</v>
      </c>
      <c r="O344" s="342"/>
      <c r="P344" s="342"/>
      <c r="Q344" s="347"/>
      <c r="R344" s="347"/>
      <c r="S344" s="342"/>
      <c r="T344" s="325"/>
      <c r="U344" s="18"/>
      <c r="V344" s="25"/>
      <c r="W344" s="25"/>
      <c r="X344" s="25"/>
      <c r="Y344" s="25"/>
      <c r="Z344" s="345" t="s">
        <v>732</v>
      </c>
      <c r="AA344" s="98"/>
    </row>
    <row r="345" spans="1:27" ht="84">
      <c r="A345" s="475" t="s">
        <v>1034</v>
      </c>
      <c r="B345" s="355">
        <v>1</v>
      </c>
      <c r="C345" s="8" t="s">
        <v>875</v>
      </c>
      <c r="D345" s="8">
        <v>35028.972900000001</v>
      </c>
      <c r="E345" s="8" t="s">
        <v>2155</v>
      </c>
      <c r="F345" s="356" t="s">
        <v>876</v>
      </c>
      <c r="G345" s="313">
        <f>110.085214+0.3</f>
        <v>110.38521399999999</v>
      </c>
      <c r="H345" s="313">
        <v>0.3</v>
      </c>
      <c r="I345" s="356" t="s">
        <v>877</v>
      </c>
      <c r="J345" s="313">
        <v>47.591276000000001</v>
      </c>
      <c r="K345" s="313"/>
      <c r="L345" s="313"/>
      <c r="M345" s="313">
        <f>SUM(G345,H345,J345,L345)</f>
        <v>158.27649</v>
      </c>
      <c r="N345" s="356" t="s">
        <v>878</v>
      </c>
      <c r="O345" s="356" t="s">
        <v>879</v>
      </c>
      <c r="P345" s="76" t="s">
        <v>36</v>
      </c>
      <c r="Q345" s="434">
        <v>25.1739</v>
      </c>
      <c r="R345" s="434">
        <v>27.510899999999999</v>
      </c>
      <c r="S345" s="356" t="s">
        <v>880</v>
      </c>
      <c r="T345" s="313">
        <v>22.656918999999998</v>
      </c>
      <c r="U345" s="5">
        <f t="shared" ref="U345:U358" si="33">T345/Q345</f>
        <v>0.90001624698596561</v>
      </c>
      <c r="V345" s="620">
        <f>SUM(Q345:Q348)</f>
        <v>71.713899999999995</v>
      </c>
      <c r="W345" s="620">
        <f>SUM(T345:T348)</f>
        <v>63.367005999999989</v>
      </c>
      <c r="X345" s="589">
        <f>W345/V345</f>
        <v>0.88360842179828447</v>
      </c>
      <c r="Y345" s="589">
        <f>W345/M345</f>
        <v>0.40035640163614944</v>
      </c>
      <c r="Z345" s="356" t="s">
        <v>881</v>
      </c>
      <c r="AA345" s="98"/>
    </row>
    <row r="346" spans="1:27" ht="24">
      <c r="A346" s="475"/>
      <c r="B346" s="355"/>
      <c r="C346" s="8"/>
      <c r="D346" s="8"/>
      <c r="E346" s="8"/>
      <c r="F346" s="356"/>
      <c r="G346" s="313"/>
      <c r="H346" s="313"/>
      <c r="I346" s="356"/>
      <c r="J346" s="313"/>
      <c r="K346" s="313"/>
      <c r="L346" s="313"/>
      <c r="M346" s="313"/>
      <c r="N346" s="356" t="s">
        <v>882</v>
      </c>
      <c r="O346" s="356" t="s">
        <v>879</v>
      </c>
      <c r="P346" s="76" t="s">
        <v>36</v>
      </c>
      <c r="Q346" s="434">
        <v>35.74</v>
      </c>
      <c r="R346" s="434">
        <v>37.21</v>
      </c>
      <c r="S346" s="356" t="s">
        <v>883</v>
      </c>
      <c r="T346" s="313">
        <v>32.410086999999997</v>
      </c>
      <c r="U346" s="5">
        <f t="shared" si="33"/>
        <v>0.90682951874650242</v>
      </c>
      <c r="V346" s="621"/>
      <c r="W346" s="621"/>
      <c r="X346" s="592"/>
      <c r="Y346" s="592"/>
      <c r="Z346" s="356"/>
      <c r="AA346" s="98"/>
    </row>
    <row r="347" spans="1:27" ht="36" hidden="1" customHeight="1">
      <c r="A347" s="475"/>
      <c r="B347" s="355"/>
      <c r="C347" s="8"/>
      <c r="D347" s="8"/>
      <c r="E347" s="8"/>
      <c r="F347" s="356"/>
      <c r="G347" s="313"/>
      <c r="H347" s="313"/>
      <c r="I347" s="356"/>
      <c r="J347" s="313"/>
      <c r="K347" s="313"/>
      <c r="L347" s="313"/>
      <c r="M347" s="313"/>
      <c r="N347" s="356" t="s">
        <v>884</v>
      </c>
      <c r="O347" s="356" t="s">
        <v>885</v>
      </c>
      <c r="P347" s="76" t="s">
        <v>27</v>
      </c>
      <c r="Q347" s="434">
        <v>9</v>
      </c>
      <c r="R347" s="434">
        <v>10</v>
      </c>
      <c r="S347" s="356" t="s">
        <v>886</v>
      </c>
      <c r="T347" s="313">
        <v>7</v>
      </c>
      <c r="U347" s="5">
        <f t="shared" si="33"/>
        <v>0.77777777777777779</v>
      </c>
      <c r="V347" s="621"/>
      <c r="W347" s="621"/>
      <c r="X347" s="592"/>
      <c r="Y347" s="592"/>
      <c r="Z347" s="356"/>
      <c r="AA347" s="98"/>
    </row>
    <row r="348" spans="1:27" ht="36" hidden="1" customHeight="1">
      <c r="A348" s="475"/>
      <c r="B348" s="355"/>
      <c r="C348" s="8"/>
      <c r="D348" s="8"/>
      <c r="E348" s="8"/>
      <c r="F348" s="356"/>
      <c r="G348" s="313"/>
      <c r="H348" s="313"/>
      <c r="I348" s="356"/>
      <c r="J348" s="313"/>
      <c r="K348" s="313"/>
      <c r="L348" s="313"/>
      <c r="M348" s="313"/>
      <c r="N348" s="356" t="s">
        <v>887</v>
      </c>
      <c r="O348" s="356" t="s">
        <v>888</v>
      </c>
      <c r="P348" s="76" t="s">
        <v>27</v>
      </c>
      <c r="Q348" s="434">
        <v>1.8</v>
      </c>
      <c r="R348" s="434">
        <v>2</v>
      </c>
      <c r="S348" s="356" t="s">
        <v>889</v>
      </c>
      <c r="T348" s="313">
        <v>1.3</v>
      </c>
      <c r="U348" s="5">
        <f t="shared" si="33"/>
        <v>0.72222222222222221</v>
      </c>
      <c r="V348" s="622"/>
      <c r="W348" s="622"/>
      <c r="X348" s="590"/>
      <c r="Y348" s="590"/>
      <c r="Z348" s="356"/>
      <c r="AA348" s="98"/>
    </row>
    <row r="349" spans="1:27" ht="36">
      <c r="A349" s="475"/>
      <c r="B349" s="355">
        <v>2</v>
      </c>
      <c r="C349" s="8" t="s">
        <v>890</v>
      </c>
      <c r="D349" s="382">
        <v>73905.514299999995</v>
      </c>
      <c r="E349" s="382" t="s">
        <v>2156</v>
      </c>
      <c r="F349" s="359" t="s">
        <v>31</v>
      </c>
      <c r="G349" s="321">
        <v>1.4704999999999999</v>
      </c>
      <c r="H349" s="321"/>
      <c r="I349" s="359" t="s">
        <v>41</v>
      </c>
      <c r="J349" s="321">
        <v>23.529499999999999</v>
      </c>
      <c r="K349" s="310"/>
      <c r="L349" s="310"/>
      <c r="M349" s="321">
        <f>SUM(G349,H349,J349,L349)</f>
        <v>25</v>
      </c>
      <c r="N349" s="342" t="s">
        <v>891</v>
      </c>
      <c r="O349" s="340" t="s">
        <v>892</v>
      </c>
      <c r="P349" s="76" t="s">
        <v>36</v>
      </c>
      <c r="Q349" s="347">
        <v>2.2545999999999999</v>
      </c>
      <c r="R349" s="347">
        <v>0.22459999999999999</v>
      </c>
      <c r="S349" s="342" t="s">
        <v>893</v>
      </c>
      <c r="T349" s="295">
        <v>1.7449699999999999</v>
      </c>
      <c r="U349" s="5">
        <f t="shared" si="33"/>
        <v>0.77395990419586624</v>
      </c>
      <c r="V349" s="620">
        <f>SUM(Q349:Q358)</f>
        <v>37.520000000000003</v>
      </c>
      <c r="W349" s="620">
        <f>SUM(T349:T358)</f>
        <v>83.687117999999998</v>
      </c>
      <c r="X349" s="589">
        <f>W349/V349</f>
        <v>2.2304668976545838</v>
      </c>
      <c r="Y349" s="589">
        <f>W349/M349</f>
        <v>3.3474847199999997</v>
      </c>
      <c r="Z349" s="356" t="s">
        <v>894</v>
      </c>
      <c r="AA349" s="98"/>
    </row>
    <row r="350" spans="1:27" ht="36">
      <c r="A350" s="475"/>
      <c r="B350" s="355"/>
      <c r="C350" s="8"/>
      <c r="D350" s="8"/>
      <c r="E350" s="8"/>
      <c r="F350" s="356"/>
      <c r="G350" s="313"/>
      <c r="H350" s="313"/>
      <c r="I350" s="356"/>
      <c r="J350" s="313"/>
      <c r="K350" s="313"/>
      <c r="L350" s="313"/>
      <c r="M350" s="313"/>
      <c r="N350" s="12" t="s">
        <v>895</v>
      </c>
      <c r="O350" s="13" t="s">
        <v>896</v>
      </c>
      <c r="P350" s="76" t="s">
        <v>36</v>
      </c>
      <c r="Q350" s="347">
        <v>2.1326000000000001</v>
      </c>
      <c r="R350" s="347">
        <v>2.1326000000000001</v>
      </c>
      <c r="S350" s="342" t="s">
        <v>897</v>
      </c>
      <c r="T350" s="295">
        <v>1.7421</v>
      </c>
      <c r="U350" s="5">
        <f t="shared" si="33"/>
        <v>0.81689018099971866</v>
      </c>
      <c r="V350" s="591"/>
      <c r="W350" s="591"/>
      <c r="X350" s="592"/>
      <c r="Y350" s="592"/>
      <c r="Z350" s="356"/>
      <c r="AA350" s="98"/>
    </row>
    <row r="351" spans="1:27">
      <c r="A351" s="475"/>
      <c r="B351" s="355"/>
      <c r="C351" s="8"/>
      <c r="D351" s="8"/>
      <c r="E351" s="8"/>
      <c r="F351" s="356"/>
      <c r="G351" s="313"/>
      <c r="H351" s="313"/>
      <c r="I351" s="356"/>
      <c r="J351" s="313"/>
      <c r="K351" s="313"/>
      <c r="L351" s="313"/>
      <c r="M351" s="313"/>
      <c r="N351" s="12" t="s">
        <v>898</v>
      </c>
      <c r="O351" s="14" t="s">
        <v>899</v>
      </c>
      <c r="P351" s="76" t="s">
        <v>36</v>
      </c>
      <c r="Q351" s="347">
        <v>2.4125000000000001</v>
      </c>
      <c r="R351" s="347">
        <v>2.4125000000000001</v>
      </c>
      <c r="S351" s="342" t="s">
        <v>900</v>
      </c>
      <c r="T351" s="295">
        <v>1.77976</v>
      </c>
      <c r="U351" s="5">
        <f t="shared" si="33"/>
        <v>0.73772435233160616</v>
      </c>
      <c r="V351" s="591"/>
      <c r="W351" s="591"/>
      <c r="X351" s="592"/>
      <c r="Y351" s="592"/>
      <c r="Z351" s="356"/>
      <c r="AA351" s="98"/>
    </row>
    <row r="352" spans="1:27">
      <c r="A352" s="475"/>
      <c r="B352" s="355"/>
      <c r="C352" s="8"/>
      <c r="D352" s="8"/>
      <c r="E352" s="8"/>
      <c r="F352" s="356"/>
      <c r="G352" s="313"/>
      <c r="H352" s="313"/>
      <c r="I352" s="356"/>
      <c r="J352" s="313"/>
      <c r="K352" s="313"/>
      <c r="L352" s="313"/>
      <c r="M352" s="313"/>
      <c r="N352" s="12" t="s">
        <v>107</v>
      </c>
      <c r="O352" s="14" t="s">
        <v>901</v>
      </c>
      <c r="P352" s="76" t="s">
        <v>36</v>
      </c>
      <c r="Q352" s="347">
        <v>0.74570000000000003</v>
      </c>
      <c r="R352" s="347">
        <v>0.74570000000000003</v>
      </c>
      <c r="S352" s="342" t="s">
        <v>902</v>
      </c>
      <c r="T352" s="295">
        <v>0.53335200000000005</v>
      </c>
      <c r="U352" s="5">
        <f t="shared" si="33"/>
        <v>0.71523669035805282</v>
      </c>
      <c r="V352" s="591"/>
      <c r="W352" s="591"/>
      <c r="X352" s="592"/>
      <c r="Y352" s="592"/>
      <c r="Z352" s="356"/>
      <c r="AA352" s="98"/>
    </row>
    <row r="353" spans="1:27" ht="24">
      <c r="A353" s="475"/>
      <c r="B353" s="355"/>
      <c r="C353" s="8"/>
      <c r="D353" s="8"/>
      <c r="E353" s="8"/>
      <c r="F353" s="356"/>
      <c r="G353" s="313"/>
      <c r="H353" s="313"/>
      <c r="I353" s="356"/>
      <c r="J353" s="313"/>
      <c r="K353" s="313"/>
      <c r="L353" s="313"/>
      <c r="M353" s="313"/>
      <c r="N353" s="12" t="s">
        <v>903</v>
      </c>
      <c r="O353" s="13" t="s">
        <v>904</v>
      </c>
      <c r="P353" s="76" t="s">
        <v>36</v>
      </c>
      <c r="Q353" s="347">
        <v>4.7746000000000004</v>
      </c>
      <c r="R353" s="347">
        <v>4.7746000000000004</v>
      </c>
      <c r="S353" s="342" t="s">
        <v>905</v>
      </c>
      <c r="T353" s="295">
        <v>3.536486</v>
      </c>
      <c r="U353" s="5">
        <f t="shared" si="33"/>
        <v>0.74068738742512452</v>
      </c>
      <c r="V353" s="591"/>
      <c r="W353" s="591"/>
      <c r="X353" s="592"/>
      <c r="Y353" s="592"/>
      <c r="Z353" s="356"/>
      <c r="AA353" s="98"/>
    </row>
    <row r="354" spans="1:27" ht="15" hidden="1" customHeight="1">
      <c r="A354" s="475"/>
      <c r="B354" s="355"/>
      <c r="C354" s="8"/>
      <c r="D354" s="8"/>
      <c r="E354" s="8"/>
      <c r="F354" s="356"/>
      <c r="G354" s="313"/>
      <c r="H354" s="313"/>
      <c r="I354" s="356"/>
      <c r="J354" s="313"/>
      <c r="K354" s="313"/>
      <c r="L354" s="313"/>
      <c r="M354" s="313"/>
      <c r="N354" s="12" t="s">
        <v>109</v>
      </c>
      <c r="O354" s="14" t="s">
        <v>906</v>
      </c>
      <c r="P354" s="76" t="s">
        <v>27</v>
      </c>
      <c r="Q354" s="347">
        <v>2</v>
      </c>
      <c r="R354" s="15">
        <v>5.9164000000000003</v>
      </c>
      <c r="S354" s="12" t="s">
        <v>907</v>
      </c>
      <c r="T354" s="295">
        <v>5.9164000000000003</v>
      </c>
      <c r="U354" s="5">
        <f t="shared" si="33"/>
        <v>2.9582000000000002</v>
      </c>
      <c r="V354" s="591"/>
      <c r="W354" s="591"/>
      <c r="X354" s="592"/>
      <c r="Y354" s="592"/>
      <c r="Z354" s="356"/>
      <c r="AA354" s="98"/>
    </row>
    <row r="355" spans="1:27">
      <c r="A355" s="475"/>
      <c r="B355" s="355"/>
      <c r="C355" s="8"/>
      <c r="D355" s="8"/>
      <c r="E355" s="8"/>
      <c r="F355" s="356"/>
      <c r="G355" s="313"/>
      <c r="H355" s="313"/>
      <c r="I355" s="356"/>
      <c r="J355" s="313"/>
      <c r="K355" s="313"/>
      <c r="L355" s="313"/>
      <c r="M355" s="313"/>
      <c r="N355" s="12" t="s">
        <v>908</v>
      </c>
      <c r="O355" s="14" t="s">
        <v>909</v>
      </c>
      <c r="P355" s="76" t="s">
        <v>36</v>
      </c>
      <c r="Q355" s="347">
        <v>12</v>
      </c>
      <c r="R355" s="15">
        <v>43</v>
      </c>
      <c r="S355" s="12" t="s">
        <v>910</v>
      </c>
      <c r="T355" s="295">
        <v>43</v>
      </c>
      <c r="U355" s="5">
        <f t="shared" si="33"/>
        <v>3.5833333333333335</v>
      </c>
      <c r="V355" s="591"/>
      <c r="W355" s="591"/>
      <c r="X355" s="592"/>
      <c r="Y355" s="592"/>
      <c r="Z355" s="356"/>
      <c r="AA355" s="98"/>
    </row>
    <row r="356" spans="1:27">
      <c r="A356" s="475"/>
      <c r="B356" s="355"/>
      <c r="C356" s="8"/>
      <c r="D356" s="8"/>
      <c r="E356" s="8"/>
      <c r="F356" s="356"/>
      <c r="G356" s="313"/>
      <c r="H356" s="313"/>
      <c r="I356" s="356"/>
      <c r="J356" s="313"/>
      <c r="K356" s="313"/>
      <c r="L356" s="313"/>
      <c r="M356" s="313"/>
      <c r="N356" s="12" t="s">
        <v>911</v>
      </c>
      <c r="O356" s="14" t="s">
        <v>909</v>
      </c>
      <c r="P356" s="76" t="s">
        <v>36</v>
      </c>
      <c r="Q356" s="347">
        <v>7</v>
      </c>
      <c r="R356" s="15">
        <v>16</v>
      </c>
      <c r="S356" s="12" t="s">
        <v>895</v>
      </c>
      <c r="T356" s="295">
        <v>16</v>
      </c>
      <c r="U356" s="5">
        <f t="shared" si="33"/>
        <v>2.2857142857142856</v>
      </c>
      <c r="V356" s="591"/>
      <c r="W356" s="591"/>
      <c r="X356" s="592"/>
      <c r="Y356" s="592"/>
      <c r="Z356" s="356"/>
      <c r="AA356" s="98"/>
    </row>
    <row r="357" spans="1:27" ht="48">
      <c r="A357" s="475"/>
      <c r="B357" s="355"/>
      <c r="C357" s="8"/>
      <c r="D357" s="8"/>
      <c r="E357" s="8"/>
      <c r="F357" s="356"/>
      <c r="G357" s="313"/>
      <c r="H357" s="313"/>
      <c r="I357" s="356"/>
      <c r="J357" s="313"/>
      <c r="K357" s="313"/>
      <c r="L357" s="313"/>
      <c r="M357" s="313"/>
      <c r="N357" s="12" t="s">
        <v>912</v>
      </c>
      <c r="O357" s="13" t="s">
        <v>913</v>
      </c>
      <c r="P357" s="76" t="s">
        <v>36</v>
      </c>
      <c r="Q357" s="347">
        <v>1.2</v>
      </c>
      <c r="R357" s="15">
        <v>0.83404999999999996</v>
      </c>
      <c r="S357" s="12" t="s">
        <v>914</v>
      </c>
      <c r="T357" s="295">
        <v>0.83404999999999996</v>
      </c>
      <c r="U357" s="5">
        <f t="shared" si="33"/>
        <v>0.69504166666666667</v>
      </c>
      <c r="V357" s="591"/>
      <c r="W357" s="591"/>
      <c r="X357" s="592"/>
      <c r="Y357" s="592"/>
      <c r="Z357" s="356"/>
      <c r="AA357" s="98"/>
    </row>
    <row r="358" spans="1:27">
      <c r="A358" s="475"/>
      <c r="B358" s="355"/>
      <c r="C358" s="8"/>
      <c r="D358" s="8"/>
      <c r="E358" s="8"/>
      <c r="F358" s="356"/>
      <c r="G358" s="313"/>
      <c r="H358" s="313"/>
      <c r="I358" s="356"/>
      <c r="J358" s="313"/>
      <c r="K358" s="313"/>
      <c r="L358" s="313"/>
      <c r="M358" s="313"/>
      <c r="N358" s="12" t="s">
        <v>915</v>
      </c>
      <c r="O358" s="14" t="s">
        <v>906</v>
      </c>
      <c r="P358" s="76" t="s">
        <v>36</v>
      </c>
      <c r="Q358" s="347">
        <v>3</v>
      </c>
      <c r="R358" s="15">
        <v>8.6</v>
      </c>
      <c r="S358" s="12" t="s">
        <v>391</v>
      </c>
      <c r="T358" s="295">
        <v>8.6</v>
      </c>
      <c r="U358" s="5">
        <f t="shared" si="33"/>
        <v>2.8666666666666667</v>
      </c>
      <c r="V358" s="588"/>
      <c r="W358" s="588"/>
      <c r="X358" s="590"/>
      <c r="Y358" s="590"/>
      <c r="Z358" s="356"/>
      <c r="AA358" s="98"/>
    </row>
    <row r="359" spans="1:27" ht="48">
      <c r="A359" s="475"/>
      <c r="B359" s="355">
        <v>3</v>
      </c>
      <c r="C359" s="8" t="s">
        <v>916</v>
      </c>
      <c r="D359" s="8">
        <v>67787.517699999997</v>
      </c>
      <c r="E359" s="8" t="s">
        <v>2157</v>
      </c>
      <c r="F359" s="356" t="s">
        <v>372</v>
      </c>
      <c r="G359" s="313">
        <v>185.8</v>
      </c>
      <c r="H359" s="313">
        <v>2.9</v>
      </c>
      <c r="I359" s="356" t="s">
        <v>255</v>
      </c>
      <c r="J359" s="313">
        <f>59.25+37.03+4.1</f>
        <v>100.38</v>
      </c>
      <c r="K359" s="313"/>
      <c r="L359" s="313"/>
      <c r="M359" s="313">
        <f>SUM(G359,H359,J359,L359)</f>
        <v>289.08000000000004</v>
      </c>
      <c r="N359" s="356" t="s">
        <v>917</v>
      </c>
      <c r="O359" s="356" t="s">
        <v>918</v>
      </c>
      <c r="P359" s="76" t="s">
        <v>36</v>
      </c>
      <c r="Q359" s="434">
        <v>34</v>
      </c>
      <c r="R359" s="434">
        <v>173.5881</v>
      </c>
      <c r="S359" s="356" t="s">
        <v>919</v>
      </c>
      <c r="T359" s="313">
        <v>62.15</v>
      </c>
      <c r="U359" s="5">
        <f>T359/Q359</f>
        <v>1.8279411764705882</v>
      </c>
      <c r="V359" s="587">
        <f>SUM(Q359:Q362)</f>
        <v>395.1</v>
      </c>
      <c r="W359" s="587">
        <f>SUM(T359:T362)</f>
        <v>393.15</v>
      </c>
      <c r="X359" s="589">
        <f>W359/V359</f>
        <v>0.99506454062262706</v>
      </c>
      <c r="Y359" s="589">
        <f>W359/M359</f>
        <v>1.3600041511000411</v>
      </c>
      <c r="Z359" s="356" t="s">
        <v>920</v>
      </c>
      <c r="AA359" s="98"/>
    </row>
    <row r="360" spans="1:27">
      <c r="A360" s="475"/>
      <c r="B360" s="355"/>
      <c r="C360" s="8"/>
      <c r="D360" s="8"/>
      <c r="E360" s="8"/>
      <c r="F360" s="356"/>
      <c r="G360" s="313"/>
      <c r="H360" s="313"/>
      <c r="I360" s="356"/>
      <c r="J360" s="313"/>
      <c r="K360" s="313"/>
      <c r="L360" s="313"/>
      <c r="M360" s="313"/>
      <c r="N360" s="356" t="s">
        <v>921</v>
      </c>
      <c r="O360" s="356" t="s">
        <v>922</v>
      </c>
      <c r="P360" s="76" t="s">
        <v>36</v>
      </c>
      <c r="Q360" s="434">
        <v>340</v>
      </c>
      <c r="R360" s="434">
        <v>1073.3399999999999</v>
      </c>
      <c r="S360" s="356" t="s">
        <v>923</v>
      </c>
      <c r="T360" s="313">
        <v>320</v>
      </c>
      <c r="U360" s="5">
        <f t="shared" ref="U360" si="34">T360/Q360</f>
        <v>0.94117647058823528</v>
      </c>
      <c r="V360" s="591"/>
      <c r="W360" s="591"/>
      <c r="X360" s="592"/>
      <c r="Y360" s="592"/>
      <c r="Z360" s="356"/>
      <c r="AA360" s="98"/>
    </row>
    <row r="361" spans="1:27" ht="24">
      <c r="A361" s="475"/>
      <c r="B361" s="355"/>
      <c r="C361" s="8"/>
      <c r="D361" s="8"/>
      <c r="E361" s="8"/>
      <c r="F361" s="356"/>
      <c r="G361" s="313"/>
      <c r="H361" s="313"/>
      <c r="I361" s="356"/>
      <c r="J361" s="313"/>
      <c r="K361" s="313"/>
      <c r="L361" s="313"/>
      <c r="M361" s="313"/>
      <c r="N361" s="356" t="s">
        <v>924</v>
      </c>
      <c r="O361" s="356" t="s">
        <v>925</v>
      </c>
      <c r="P361" s="76" t="s">
        <v>36</v>
      </c>
      <c r="Q361" s="434">
        <v>1.1000000000000001</v>
      </c>
      <c r="R361" s="434">
        <v>15.9</v>
      </c>
      <c r="S361" s="356" t="s">
        <v>926</v>
      </c>
      <c r="T361" s="313">
        <v>1</v>
      </c>
      <c r="U361" s="5">
        <f>T361/Q361</f>
        <v>0.90909090909090906</v>
      </c>
      <c r="V361" s="591"/>
      <c r="W361" s="591"/>
      <c r="X361" s="592"/>
      <c r="Y361" s="592"/>
      <c r="Z361" s="356"/>
      <c r="AA361" s="98"/>
    </row>
    <row r="362" spans="1:27" ht="24">
      <c r="A362" s="475"/>
      <c r="B362" s="355"/>
      <c r="C362" s="8"/>
      <c r="D362" s="8"/>
      <c r="E362" s="8"/>
      <c r="F362" s="356"/>
      <c r="G362" s="313"/>
      <c r="H362" s="313"/>
      <c r="I362" s="356"/>
      <c r="J362" s="313"/>
      <c r="K362" s="313"/>
      <c r="L362" s="313"/>
      <c r="M362" s="313"/>
      <c r="N362" s="356" t="s">
        <v>927</v>
      </c>
      <c r="O362" s="356" t="s">
        <v>928</v>
      </c>
      <c r="P362" s="76" t="s">
        <v>36</v>
      </c>
      <c r="Q362" s="434">
        <v>20</v>
      </c>
      <c r="R362" s="434">
        <v>41</v>
      </c>
      <c r="S362" s="356" t="s">
        <v>929</v>
      </c>
      <c r="T362" s="313">
        <v>10</v>
      </c>
      <c r="U362" s="5">
        <f>T362/Q362</f>
        <v>0.5</v>
      </c>
      <c r="V362" s="588"/>
      <c r="W362" s="588"/>
      <c r="X362" s="590"/>
      <c r="Y362" s="590"/>
      <c r="Z362" s="356"/>
      <c r="AA362" s="98"/>
    </row>
    <row r="363" spans="1:27" ht="36" hidden="1" customHeight="1">
      <c r="A363" s="475"/>
      <c r="B363" s="355">
        <v>4</v>
      </c>
      <c r="C363" s="8" t="s">
        <v>930</v>
      </c>
      <c r="D363" s="8">
        <v>26589.4679</v>
      </c>
      <c r="E363" s="8" t="s">
        <v>2158</v>
      </c>
      <c r="F363" s="356" t="s">
        <v>931</v>
      </c>
      <c r="G363" s="313">
        <v>25.791784</v>
      </c>
      <c r="H363" s="313"/>
      <c r="I363" s="356" t="s">
        <v>932</v>
      </c>
      <c r="J363" s="313">
        <v>27.081865000000001</v>
      </c>
      <c r="K363" s="313"/>
      <c r="L363" s="313"/>
      <c r="M363" s="313">
        <f>SUM(G363,H363,J363,L363)</f>
        <v>52.873649</v>
      </c>
      <c r="N363" s="356"/>
      <c r="O363" s="356"/>
      <c r="P363" s="356"/>
      <c r="Q363" s="434"/>
      <c r="R363" s="434"/>
      <c r="S363" s="356"/>
      <c r="T363" s="313"/>
      <c r="U363" s="5"/>
      <c r="V363" s="24"/>
      <c r="W363" s="24"/>
      <c r="X363" s="24"/>
      <c r="Y363" s="24"/>
      <c r="Z363" s="356" t="s">
        <v>933</v>
      </c>
      <c r="AA363" s="98"/>
    </row>
    <row r="364" spans="1:27" ht="60">
      <c r="A364" s="475"/>
      <c r="B364" s="339">
        <v>5</v>
      </c>
      <c r="C364" s="8" t="s">
        <v>934</v>
      </c>
      <c r="D364" s="8">
        <v>20802.467000000001</v>
      </c>
      <c r="E364" s="8" t="s">
        <v>2159</v>
      </c>
      <c r="F364" s="342" t="s">
        <v>935</v>
      </c>
      <c r="G364" s="325">
        <v>74.750699999999995</v>
      </c>
      <c r="H364" s="325">
        <v>37.444400000000002</v>
      </c>
      <c r="I364" s="342"/>
      <c r="J364" s="325"/>
      <c r="K364" s="325"/>
      <c r="L364" s="325"/>
      <c r="M364" s="325">
        <f>SUM(G364,H364,J364,L364)</f>
        <v>112.1951</v>
      </c>
      <c r="N364" s="342" t="s">
        <v>936</v>
      </c>
      <c r="O364" s="342" t="s">
        <v>937</v>
      </c>
      <c r="P364" s="76" t="s">
        <v>36</v>
      </c>
      <c r="Q364" s="347">
        <f>8.812+36</f>
        <v>44.811999999999998</v>
      </c>
      <c r="R364" s="347">
        <f>8.812+36</f>
        <v>44.811999999999998</v>
      </c>
      <c r="S364" s="342" t="s">
        <v>938</v>
      </c>
      <c r="T364" s="325">
        <f>7.3847+8.4835</f>
        <v>15.868199999999998</v>
      </c>
      <c r="U364" s="16">
        <f t="shared" ref="U364:U379" si="35">T364/Q364</f>
        <v>0.35410604302418991</v>
      </c>
      <c r="V364" s="25">
        <f>Q364</f>
        <v>44.811999999999998</v>
      </c>
      <c r="W364" s="25">
        <f>T364</f>
        <v>15.868199999999998</v>
      </c>
      <c r="X364" s="46">
        <f>W364/V364</f>
        <v>0.35410604302418991</v>
      </c>
      <c r="Y364" s="46">
        <f>W364/M364</f>
        <v>0.14143398419360559</v>
      </c>
      <c r="Z364" s="342" t="s">
        <v>939</v>
      </c>
      <c r="AA364" s="98"/>
    </row>
    <row r="365" spans="1:27" ht="24" hidden="1" customHeight="1">
      <c r="A365" s="475"/>
      <c r="B365" s="208">
        <v>6</v>
      </c>
      <c r="C365" s="356" t="s">
        <v>1936</v>
      </c>
      <c r="D365" s="342">
        <v>19620.3426</v>
      </c>
      <c r="E365" s="342" t="s">
        <v>2160</v>
      </c>
      <c r="F365" s="356" t="s">
        <v>372</v>
      </c>
      <c r="G365" s="313">
        <v>46.436199999999999</v>
      </c>
      <c r="H365" s="313">
        <v>1.25</v>
      </c>
      <c r="I365" s="356" t="s">
        <v>394</v>
      </c>
      <c r="J365" s="313">
        <v>14.9053</v>
      </c>
      <c r="K365" s="313"/>
      <c r="L365" s="313"/>
      <c r="M365" s="313">
        <f>SUM(G365,H365,J365,L365)</f>
        <v>62.591499999999996</v>
      </c>
      <c r="N365" s="356" t="s">
        <v>941</v>
      </c>
      <c r="O365" s="356" t="s">
        <v>1937</v>
      </c>
      <c r="P365" s="76" t="s">
        <v>27</v>
      </c>
      <c r="Q365" s="434">
        <v>0.5</v>
      </c>
      <c r="R365" s="434">
        <v>0.4</v>
      </c>
      <c r="S365" s="356" t="s">
        <v>942</v>
      </c>
      <c r="T365" s="313">
        <v>0.18</v>
      </c>
      <c r="U365" s="5">
        <f t="shared" si="35"/>
        <v>0.36</v>
      </c>
      <c r="V365" s="587">
        <f>SUM(Q365:Q377)</f>
        <v>255.5</v>
      </c>
      <c r="W365" s="587">
        <f>SUM(T365:T377)</f>
        <v>80.37</v>
      </c>
      <c r="X365" s="589">
        <f>W365/V365</f>
        <v>0.31455968688845404</v>
      </c>
      <c r="Y365" s="589">
        <f>W365/M365</f>
        <v>1.2840401651981501</v>
      </c>
      <c r="Z365" s="356" t="s">
        <v>29</v>
      </c>
      <c r="AA365" s="98"/>
    </row>
    <row r="366" spans="1:27">
      <c r="A366" s="475"/>
      <c r="B366" s="208"/>
      <c r="C366" s="356"/>
      <c r="D366" s="342"/>
      <c r="E366" s="342"/>
      <c r="F366" s="356"/>
      <c r="G366" s="313"/>
      <c r="H366" s="313"/>
      <c r="I366" s="356"/>
      <c r="J366" s="313"/>
      <c r="K366" s="313"/>
      <c r="L366" s="313"/>
      <c r="M366" s="313"/>
      <c r="N366" s="356" t="s">
        <v>943</v>
      </c>
      <c r="O366" s="356" t="s">
        <v>944</v>
      </c>
      <c r="P366" s="76" t="s">
        <v>36</v>
      </c>
      <c r="Q366" s="434">
        <v>20</v>
      </c>
      <c r="R366" s="434">
        <v>98</v>
      </c>
      <c r="S366" s="356" t="s">
        <v>262</v>
      </c>
      <c r="T366" s="313">
        <v>35</v>
      </c>
      <c r="U366" s="5">
        <f t="shared" si="35"/>
        <v>1.75</v>
      </c>
      <c r="V366" s="591"/>
      <c r="W366" s="591"/>
      <c r="X366" s="592"/>
      <c r="Y366" s="592"/>
      <c r="Z366" s="356" t="s">
        <v>29</v>
      </c>
      <c r="AA366" s="98"/>
    </row>
    <row r="367" spans="1:27" ht="24">
      <c r="A367" s="475"/>
      <c r="B367" s="208"/>
      <c r="C367" s="356"/>
      <c r="D367" s="342"/>
      <c r="E367" s="342"/>
      <c r="F367" s="356"/>
      <c r="G367" s="313"/>
      <c r="H367" s="313"/>
      <c r="I367" s="356"/>
      <c r="J367" s="313"/>
      <c r="K367" s="313"/>
      <c r="L367" s="313"/>
      <c r="M367" s="313"/>
      <c r="N367" s="356" t="s">
        <v>943</v>
      </c>
      <c r="O367" s="356" t="s">
        <v>945</v>
      </c>
      <c r="P367" s="76" t="s">
        <v>36</v>
      </c>
      <c r="Q367" s="434">
        <v>140</v>
      </c>
      <c r="R367" s="434">
        <v>147</v>
      </c>
      <c r="S367" s="356" t="s">
        <v>262</v>
      </c>
      <c r="T367" s="313">
        <v>30</v>
      </c>
      <c r="U367" s="5">
        <f t="shared" si="35"/>
        <v>0.21428571428571427</v>
      </c>
      <c r="V367" s="591"/>
      <c r="W367" s="591"/>
      <c r="X367" s="592"/>
      <c r="Y367" s="592"/>
      <c r="Z367" s="356"/>
      <c r="AA367" s="98"/>
    </row>
    <row r="368" spans="1:27" ht="24" hidden="1" customHeight="1">
      <c r="A368" s="475"/>
      <c r="B368" s="355"/>
      <c r="C368" s="356"/>
      <c r="D368" s="342"/>
      <c r="E368" s="342"/>
      <c r="F368" s="356"/>
      <c r="G368" s="313"/>
      <c r="H368" s="313"/>
      <c r="I368" s="356"/>
      <c r="J368" s="313"/>
      <c r="K368" s="313"/>
      <c r="L368" s="313"/>
      <c r="M368" s="313"/>
      <c r="N368" s="356" t="s">
        <v>946</v>
      </c>
      <c r="O368" s="356" t="s">
        <v>1938</v>
      </c>
      <c r="P368" s="76" t="s">
        <v>27</v>
      </c>
      <c r="Q368" s="434">
        <v>1.8</v>
      </c>
      <c r="R368" s="434">
        <v>1.2</v>
      </c>
      <c r="S368" s="356" t="s">
        <v>947</v>
      </c>
      <c r="T368" s="313">
        <v>0.73</v>
      </c>
      <c r="U368" s="5">
        <f t="shared" si="35"/>
        <v>0.40555555555555556</v>
      </c>
      <c r="V368" s="591"/>
      <c r="W368" s="591"/>
      <c r="X368" s="592"/>
      <c r="Y368" s="592"/>
      <c r="Z368" s="356"/>
      <c r="AA368" s="98"/>
    </row>
    <row r="369" spans="1:27" ht="24">
      <c r="A369" s="475"/>
      <c r="B369" s="355"/>
      <c r="C369" s="356"/>
      <c r="D369" s="342"/>
      <c r="E369" s="342"/>
      <c r="F369" s="356"/>
      <c r="G369" s="313"/>
      <c r="H369" s="313"/>
      <c r="I369" s="356"/>
      <c r="J369" s="313"/>
      <c r="K369" s="313"/>
      <c r="L369" s="313"/>
      <c r="M369" s="313"/>
      <c r="N369" s="356" t="s">
        <v>948</v>
      </c>
      <c r="O369" s="356" t="s">
        <v>949</v>
      </c>
      <c r="P369" s="76" t="s">
        <v>36</v>
      </c>
      <c r="Q369" s="434">
        <v>0.6</v>
      </c>
      <c r="R369" s="434">
        <v>0.6</v>
      </c>
      <c r="S369" s="356" t="s">
        <v>950</v>
      </c>
      <c r="T369" s="313">
        <v>0.66</v>
      </c>
      <c r="U369" s="5">
        <f t="shared" si="35"/>
        <v>1.1000000000000001</v>
      </c>
      <c r="V369" s="591"/>
      <c r="W369" s="591"/>
      <c r="X369" s="592"/>
      <c r="Y369" s="592"/>
      <c r="Z369" s="356"/>
      <c r="AA369" s="98"/>
    </row>
    <row r="370" spans="1:27" ht="15" hidden="1" customHeight="1">
      <c r="A370" s="475"/>
      <c r="B370" s="355"/>
      <c r="C370" s="356"/>
      <c r="D370" s="342"/>
      <c r="E370" s="342"/>
      <c r="F370" s="356"/>
      <c r="G370" s="313"/>
      <c r="H370" s="313"/>
      <c r="I370" s="356"/>
      <c r="J370" s="313"/>
      <c r="K370" s="313"/>
      <c r="L370" s="313"/>
      <c r="M370" s="313"/>
      <c r="N370" s="356" t="s">
        <v>951</v>
      </c>
      <c r="O370" s="356" t="s">
        <v>952</v>
      </c>
      <c r="P370" s="76" t="s">
        <v>27</v>
      </c>
      <c r="Q370" s="434">
        <v>13</v>
      </c>
      <c r="R370" s="434">
        <v>2.9</v>
      </c>
      <c r="S370" s="356" t="s">
        <v>953</v>
      </c>
      <c r="T370" s="313">
        <v>2.5</v>
      </c>
      <c r="U370" s="5">
        <f t="shared" si="35"/>
        <v>0.19230769230769232</v>
      </c>
      <c r="V370" s="591"/>
      <c r="W370" s="591"/>
      <c r="X370" s="592"/>
      <c r="Y370" s="592"/>
      <c r="Z370" s="356"/>
      <c r="AA370" s="98"/>
    </row>
    <row r="371" spans="1:27" ht="24" hidden="1" customHeight="1">
      <c r="A371" s="475"/>
      <c r="B371" s="355"/>
      <c r="C371" s="356" t="s">
        <v>954</v>
      </c>
      <c r="D371" s="342"/>
      <c r="E371" s="342"/>
      <c r="F371" s="356"/>
      <c r="G371" s="313"/>
      <c r="H371" s="313"/>
      <c r="I371" s="356"/>
      <c r="J371" s="313"/>
      <c r="K371" s="313"/>
      <c r="L371" s="313"/>
      <c r="M371" s="313"/>
      <c r="N371" s="356" t="s">
        <v>955</v>
      </c>
      <c r="O371" s="356" t="s">
        <v>956</v>
      </c>
      <c r="P371" s="76" t="s">
        <v>27</v>
      </c>
      <c r="Q371" s="434">
        <v>11</v>
      </c>
      <c r="R371" s="434">
        <v>3.6</v>
      </c>
      <c r="S371" s="356" t="s">
        <v>957</v>
      </c>
      <c r="T371" s="313">
        <v>2.82</v>
      </c>
      <c r="U371" s="5">
        <f t="shared" si="35"/>
        <v>0.25636363636363635</v>
      </c>
      <c r="V371" s="591"/>
      <c r="W371" s="591"/>
      <c r="X371" s="592"/>
      <c r="Y371" s="592"/>
      <c r="Z371" s="356"/>
      <c r="AA371" s="98"/>
    </row>
    <row r="372" spans="1:27" ht="15" hidden="1" customHeight="1">
      <c r="A372" s="475"/>
      <c r="B372" s="355"/>
      <c r="C372" s="356"/>
      <c r="D372" s="342"/>
      <c r="E372" s="342"/>
      <c r="F372" s="356"/>
      <c r="G372" s="313"/>
      <c r="H372" s="313"/>
      <c r="I372" s="356"/>
      <c r="J372" s="313"/>
      <c r="K372" s="313"/>
      <c r="L372" s="313"/>
      <c r="M372" s="313"/>
      <c r="N372" s="356" t="s">
        <v>958</v>
      </c>
      <c r="O372" s="356" t="s">
        <v>959</v>
      </c>
      <c r="P372" s="76" t="s">
        <v>27</v>
      </c>
      <c r="Q372" s="434">
        <v>1.6</v>
      </c>
      <c r="R372" s="434">
        <v>1.2</v>
      </c>
      <c r="S372" s="356" t="s">
        <v>957</v>
      </c>
      <c r="T372" s="313">
        <v>0.82</v>
      </c>
      <c r="U372" s="5">
        <f t="shared" si="35"/>
        <v>0.51249999999999996</v>
      </c>
      <c r="V372" s="591"/>
      <c r="W372" s="591"/>
      <c r="X372" s="592"/>
      <c r="Y372" s="592"/>
      <c r="Z372" s="356"/>
      <c r="AA372" s="98"/>
    </row>
    <row r="373" spans="1:27" ht="15" hidden="1" customHeight="1">
      <c r="A373" s="475"/>
      <c r="B373" s="355"/>
      <c r="C373" s="356"/>
      <c r="D373" s="342"/>
      <c r="E373" s="342"/>
      <c r="F373" s="356"/>
      <c r="G373" s="313"/>
      <c r="H373" s="313"/>
      <c r="I373" s="356"/>
      <c r="J373" s="313"/>
      <c r="K373" s="313"/>
      <c r="L373" s="313"/>
      <c r="M373" s="313"/>
      <c r="N373" s="356" t="s">
        <v>960</v>
      </c>
      <c r="O373" s="356" t="s">
        <v>961</v>
      </c>
      <c r="P373" s="76" t="s">
        <v>27</v>
      </c>
      <c r="Q373" s="434">
        <v>16</v>
      </c>
      <c r="R373" s="434">
        <v>5.4</v>
      </c>
      <c r="S373" s="356" t="s">
        <v>957</v>
      </c>
      <c r="T373" s="313">
        <v>3.83</v>
      </c>
      <c r="U373" s="5">
        <f t="shared" si="35"/>
        <v>0.239375</v>
      </c>
      <c r="V373" s="591"/>
      <c r="W373" s="591"/>
      <c r="X373" s="592"/>
      <c r="Y373" s="592"/>
      <c r="Z373" s="356"/>
      <c r="AA373" s="98"/>
    </row>
    <row r="374" spans="1:27" ht="15" hidden="1" customHeight="1">
      <c r="A374" s="475"/>
      <c r="B374" s="355"/>
      <c r="C374" s="356"/>
      <c r="D374" s="342"/>
      <c r="E374" s="342"/>
      <c r="F374" s="356"/>
      <c r="G374" s="313"/>
      <c r="H374" s="313"/>
      <c r="I374" s="356"/>
      <c r="J374" s="313"/>
      <c r="K374" s="313"/>
      <c r="L374" s="313"/>
      <c r="M374" s="313"/>
      <c r="N374" s="356" t="s">
        <v>962</v>
      </c>
      <c r="O374" s="356" t="s">
        <v>963</v>
      </c>
      <c r="P374" s="76" t="s">
        <v>27</v>
      </c>
      <c r="Q374" s="434">
        <v>5</v>
      </c>
      <c r="R374" s="434">
        <v>3.5</v>
      </c>
      <c r="S374" s="356" t="s">
        <v>964</v>
      </c>
      <c r="T374" s="313">
        <v>2.4300000000000002</v>
      </c>
      <c r="U374" s="5">
        <f t="shared" si="35"/>
        <v>0.48600000000000004</v>
      </c>
      <c r="V374" s="591"/>
      <c r="W374" s="591"/>
      <c r="X374" s="592"/>
      <c r="Y374" s="592"/>
      <c r="Z374" s="356"/>
      <c r="AA374" s="98"/>
    </row>
    <row r="375" spans="1:27" ht="15" hidden="1" customHeight="1">
      <c r="A375" s="475"/>
      <c r="B375" s="355"/>
      <c r="C375" s="356"/>
      <c r="D375" s="342"/>
      <c r="E375" s="342"/>
      <c r="F375" s="356"/>
      <c r="G375" s="313"/>
      <c r="H375" s="313"/>
      <c r="I375" s="356"/>
      <c r="J375" s="313"/>
      <c r="K375" s="313"/>
      <c r="L375" s="313"/>
      <c r="M375" s="313"/>
      <c r="N375" s="356" t="s">
        <v>264</v>
      </c>
      <c r="O375" s="356" t="s">
        <v>965</v>
      </c>
      <c r="P375" s="76" t="s">
        <v>27</v>
      </c>
      <c r="Q375" s="434">
        <v>6</v>
      </c>
      <c r="R375" s="434">
        <v>1.8</v>
      </c>
      <c r="S375" s="356" t="s">
        <v>964</v>
      </c>
      <c r="T375" s="313">
        <v>1.4</v>
      </c>
      <c r="U375" s="5">
        <f t="shared" si="35"/>
        <v>0.23333333333333331</v>
      </c>
      <c r="V375" s="591"/>
      <c r="W375" s="591"/>
      <c r="X375" s="592"/>
      <c r="Y375" s="592"/>
      <c r="Z375" s="356"/>
      <c r="AA375" s="98"/>
    </row>
    <row r="376" spans="1:27" ht="24">
      <c r="A376" s="475"/>
      <c r="B376" s="355"/>
      <c r="C376" s="356"/>
      <c r="D376" s="342"/>
      <c r="E376" s="342"/>
      <c r="F376" s="356"/>
      <c r="G376" s="313"/>
      <c r="H376" s="313"/>
      <c r="I376" s="356"/>
      <c r="J376" s="313"/>
      <c r="K376" s="313"/>
      <c r="L376" s="313"/>
      <c r="M376" s="313"/>
      <c r="N376" s="356" t="s">
        <v>1939</v>
      </c>
      <c r="O376" s="356" t="s">
        <v>944</v>
      </c>
      <c r="P376" s="76" t="s">
        <v>36</v>
      </c>
      <c r="Q376" s="434">
        <v>20</v>
      </c>
      <c r="R376" s="434">
        <v>50</v>
      </c>
      <c r="S376" s="356"/>
      <c r="T376" s="313"/>
      <c r="U376" s="5">
        <f t="shared" si="35"/>
        <v>0</v>
      </c>
      <c r="V376" s="591"/>
      <c r="W376" s="591"/>
      <c r="X376" s="592"/>
      <c r="Y376" s="592"/>
      <c r="Z376" s="356"/>
      <c r="AA376" s="98"/>
    </row>
    <row r="377" spans="1:27" ht="24">
      <c r="A377" s="475"/>
      <c r="B377" s="355"/>
      <c r="C377" s="356"/>
      <c r="D377" s="342"/>
      <c r="E377" s="342"/>
      <c r="F377" s="356"/>
      <c r="G377" s="313"/>
      <c r="H377" s="313"/>
      <c r="I377" s="356"/>
      <c r="J377" s="313"/>
      <c r="K377" s="313"/>
      <c r="L377" s="313"/>
      <c r="M377" s="313"/>
      <c r="N377" s="356" t="s">
        <v>1939</v>
      </c>
      <c r="O377" s="356" t="s">
        <v>945</v>
      </c>
      <c r="P377" s="76" t="s">
        <v>36</v>
      </c>
      <c r="Q377" s="434">
        <v>20</v>
      </c>
      <c r="R377" s="434">
        <v>50</v>
      </c>
      <c r="S377" s="356"/>
      <c r="T377" s="313"/>
      <c r="U377" s="5">
        <f t="shared" si="35"/>
        <v>0</v>
      </c>
      <c r="V377" s="588"/>
      <c r="W377" s="588"/>
      <c r="X377" s="590"/>
      <c r="Y377" s="590"/>
      <c r="Z377" s="356"/>
      <c r="AA377" s="98"/>
    </row>
    <row r="378" spans="1:27" ht="24">
      <c r="A378" s="475"/>
      <c r="B378" s="339">
        <v>7</v>
      </c>
      <c r="C378" s="342" t="s">
        <v>966</v>
      </c>
      <c r="D378" s="342">
        <v>12517.5098</v>
      </c>
      <c r="E378" s="342" t="s">
        <v>2161</v>
      </c>
      <c r="F378" s="342" t="s">
        <v>372</v>
      </c>
      <c r="G378" s="325">
        <v>52.5169</v>
      </c>
      <c r="H378" s="209"/>
      <c r="I378" s="342" t="s">
        <v>242</v>
      </c>
      <c r="J378" s="325">
        <v>15</v>
      </c>
      <c r="K378" s="325"/>
      <c r="L378" s="325"/>
      <c r="M378" s="325">
        <f>SUM(G378,H378,J378,L378)</f>
        <v>67.516899999999993</v>
      </c>
      <c r="N378" s="342" t="s">
        <v>967</v>
      </c>
      <c r="O378" s="342" t="s">
        <v>968</v>
      </c>
      <c r="P378" s="76" t="s">
        <v>36</v>
      </c>
      <c r="Q378" s="347">
        <v>18</v>
      </c>
      <c r="R378" s="347">
        <v>54</v>
      </c>
      <c r="S378" s="342" t="s">
        <v>969</v>
      </c>
      <c r="T378" s="325">
        <v>17.723379999999999</v>
      </c>
      <c r="U378" s="16">
        <f t="shared" si="35"/>
        <v>0.98463222222222213</v>
      </c>
      <c r="V378" s="575">
        <f>SUM(Q378:Q379)</f>
        <v>148</v>
      </c>
      <c r="W378" s="575">
        <f>SUM(T378:T379)</f>
        <v>145.72337999999999</v>
      </c>
      <c r="X378" s="578">
        <f>W378/V378</f>
        <v>0.98461743243243238</v>
      </c>
      <c r="Y378" s="578">
        <f>W378/M378</f>
        <v>2.1583245083823459</v>
      </c>
      <c r="Z378" s="342" t="s">
        <v>970</v>
      </c>
      <c r="AA378" s="98"/>
    </row>
    <row r="379" spans="1:27" ht="24">
      <c r="A379" s="475"/>
      <c r="B379" s="355"/>
      <c r="C379" s="356" t="s">
        <v>954</v>
      </c>
      <c r="D379" s="342"/>
      <c r="E379" s="342"/>
      <c r="F379" s="356"/>
      <c r="G379" s="313"/>
      <c r="H379" s="313"/>
      <c r="I379" s="356"/>
      <c r="J379" s="313"/>
      <c r="K379" s="313"/>
      <c r="L379" s="313"/>
      <c r="M379" s="313"/>
      <c r="N379" s="356" t="s">
        <v>971</v>
      </c>
      <c r="O379" s="356" t="s">
        <v>972</v>
      </c>
      <c r="P379" s="76" t="s">
        <v>36</v>
      </c>
      <c r="Q379" s="434">
        <v>130</v>
      </c>
      <c r="R379" s="434">
        <v>782</v>
      </c>
      <c r="S379" s="356" t="s">
        <v>973</v>
      </c>
      <c r="T379" s="313">
        <v>128</v>
      </c>
      <c r="U379" s="5">
        <f t="shared" si="35"/>
        <v>0.98461538461538467</v>
      </c>
      <c r="V379" s="577"/>
      <c r="W379" s="577"/>
      <c r="X379" s="580"/>
      <c r="Y379" s="580"/>
      <c r="Z379" s="356"/>
      <c r="AA379" s="98"/>
    </row>
    <row r="380" spans="1:27" ht="24">
      <c r="A380" s="475"/>
      <c r="B380" s="355">
        <v>8</v>
      </c>
      <c r="C380" s="8" t="s">
        <v>974</v>
      </c>
      <c r="D380" s="8">
        <v>35221.199999999997</v>
      </c>
      <c r="E380" s="8" t="s">
        <v>2162</v>
      </c>
      <c r="F380" s="356" t="s">
        <v>975</v>
      </c>
      <c r="G380" s="313">
        <v>72.3</v>
      </c>
      <c r="H380" s="313"/>
      <c r="I380" s="356" t="s">
        <v>31</v>
      </c>
      <c r="J380" s="313">
        <v>35.4</v>
      </c>
      <c r="K380" s="313"/>
      <c r="L380" s="313"/>
      <c r="M380" s="313">
        <f t="shared" ref="M380" si="36">SUM(G380,H380,J380,L380)</f>
        <v>107.69999999999999</v>
      </c>
      <c r="N380" s="356" t="s">
        <v>976</v>
      </c>
      <c r="O380" s="356" t="s">
        <v>977</v>
      </c>
      <c r="P380" s="76" t="s">
        <v>36</v>
      </c>
      <c r="Q380" s="434">
        <v>2</v>
      </c>
      <c r="R380" s="434">
        <v>34</v>
      </c>
      <c r="S380" s="356" t="s">
        <v>978</v>
      </c>
      <c r="T380" s="313">
        <v>15.28</v>
      </c>
      <c r="U380" s="5">
        <f>T380/Q380</f>
        <v>7.64</v>
      </c>
      <c r="V380" s="587">
        <f>SUM(Q380:Q382)</f>
        <v>86</v>
      </c>
      <c r="W380" s="587">
        <f>SUM(T380:T382)</f>
        <v>274.08</v>
      </c>
      <c r="X380" s="589">
        <f>W380/V380</f>
        <v>3.1869767441860462</v>
      </c>
      <c r="Y380" s="589">
        <f>W380/M380</f>
        <v>2.5448467966573816</v>
      </c>
      <c r="Z380" s="356" t="s">
        <v>32</v>
      </c>
      <c r="AA380" s="98"/>
    </row>
    <row r="381" spans="1:27">
      <c r="A381" s="475"/>
      <c r="B381" s="355"/>
      <c r="C381" s="356"/>
      <c r="D381" s="342"/>
      <c r="E381" s="342"/>
      <c r="F381" s="356"/>
      <c r="G381" s="313"/>
      <c r="H381" s="313"/>
      <c r="I381" s="356"/>
      <c r="J381" s="313"/>
      <c r="K381" s="313"/>
      <c r="L381" s="313"/>
      <c r="M381" s="313"/>
      <c r="N381" s="356" t="s">
        <v>979</v>
      </c>
      <c r="O381" s="356" t="s">
        <v>980</v>
      </c>
      <c r="P381" s="76" t="s">
        <v>36</v>
      </c>
      <c r="Q381" s="434">
        <v>4</v>
      </c>
      <c r="R381" s="434">
        <v>70</v>
      </c>
      <c r="S381" s="356" t="s">
        <v>981</v>
      </c>
      <c r="T381" s="313">
        <v>16.3</v>
      </c>
      <c r="U381" s="5">
        <f t="shared" ref="U381:U382" si="37">T381/Q381</f>
        <v>4.0750000000000002</v>
      </c>
      <c r="V381" s="591"/>
      <c r="W381" s="591"/>
      <c r="X381" s="592"/>
      <c r="Y381" s="592"/>
      <c r="Z381" s="356"/>
      <c r="AA381" s="98"/>
    </row>
    <row r="382" spans="1:27">
      <c r="A382" s="475"/>
      <c r="B382" s="355"/>
      <c r="C382" s="356"/>
      <c r="D382" s="342"/>
      <c r="E382" s="342"/>
      <c r="F382" s="356"/>
      <c r="G382" s="313"/>
      <c r="H382" s="313"/>
      <c r="I382" s="356"/>
      <c r="J382" s="313"/>
      <c r="K382" s="313"/>
      <c r="L382" s="313"/>
      <c r="M382" s="313"/>
      <c r="N382" s="356" t="s">
        <v>982</v>
      </c>
      <c r="O382" s="356" t="s">
        <v>980</v>
      </c>
      <c r="P382" s="76" t="s">
        <v>36</v>
      </c>
      <c r="Q382" s="434">
        <v>80</v>
      </c>
      <c r="R382" s="434">
        <v>400</v>
      </c>
      <c r="S382" s="356" t="s">
        <v>983</v>
      </c>
      <c r="T382" s="313">
        <v>242.5</v>
      </c>
      <c r="U382" s="5">
        <f t="shared" si="37"/>
        <v>3.03125</v>
      </c>
      <c r="V382" s="588"/>
      <c r="W382" s="588"/>
      <c r="X382" s="590"/>
      <c r="Y382" s="590"/>
      <c r="Z382" s="356"/>
      <c r="AA382" s="98"/>
    </row>
    <row r="383" spans="1:27" ht="48" hidden="1" customHeight="1">
      <c r="A383" s="475"/>
      <c r="B383" s="355">
        <v>9</v>
      </c>
      <c r="C383" s="8" t="s">
        <v>984</v>
      </c>
      <c r="D383" s="8">
        <v>18718.8986</v>
      </c>
      <c r="E383" s="8" t="s">
        <v>2163</v>
      </c>
      <c r="F383" s="356" t="s">
        <v>985</v>
      </c>
      <c r="G383" s="313">
        <f>489231.01/10000</f>
        <v>48.923101000000003</v>
      </c>
      <c r="H383" s="313">
        <f>5500/10000</f>
        <v>0.55000000000000004</v>
      </c>
      <c r="I383" s="356" t="s">
        <v>986</v>
      </c>
      <c r="J383" s="313">
        <f>270000/10000</f>
        <v>27</v>
      </c>
      <c r="K383" s="313"/>
      <c r="L383" s="313"/>
      <c r="M383" s="313">
        <f>SUM(G383,H383,J383,L383)</f>
        <v>76.473101</v>
      </c>
      <c r="N383" s="356"/>
      <c r="O383" s="356"/>
      <c r="P383" s="356"/>
      <c r="Q383" s="434"/>
      <c r="R383" s="434"/>
      <c r="S383" s="356"/>
      <c r="T383" s="313"/>
      <c r="U383" s="5"/>
      <c r="V383" s="24"/>
      <c r="W383" s="24"/>
      <c r="X383" s="24"/>
      <c r="Y383" s="24"/>
      <c r="Z383" s="356" t="s">
        <v>29</v>
      </c>
      <c r="AA383" s="98"/>
    </row>
    <row r="384" spans="1:27" ht="36">
      <c r="A384" s="475"/>
      <c r="B384" s="355">
        <v>10</v>
      </c>
      <c r="C384" s="8" t="s">
        <v>987</v>
      </c>
      <c r="D384" s="8">
        <v>73826.732600000003</v>
      </c>
      <c r="E384" s="8" t="s">
        <v>2164</v>
      </c>
      <c r="F384" s="356" t="s">
        <v>39</v>
      </c>
      <c r="G384" s="313">
        <v>282</v>
      </c>
      <c r="H384" s="313">
        <v>0.62</v>
      </c>
      <c r="I384" s="356" t="s">
        <v>39</v>
      </c>
      <c r="J384" s="313">
        <v>88</v>
      </c>
      <c r="K384" s="313"/>
      <c r="L384" s="313"/>
      <c r="M384" s="313">
        <f>SUM(G384,H384,J384,L384)</f>
        <v>370.62</v>
      </c>
      <c r="N384" s="210" t="s">
        <v>988</v>
      </c>
      <c r="O384" s="356" t="s">
        <v>989</v>
      </c>
      <c r="P384" s="76" t="s">
        <v>36</v>
      </c>
      <c r="Q384" s="347">
        <v>108</v>
      </c>
      <c r="R384" s="347">
        <v>108</v>
      </c>
      <c r="S384" s="356"/>
      <c r="T384" s="313"/>
      <c r="U384" s="5">
        <f>T384/Q384</f>
        <v>0</v>
      </c>
      <c r="V384" s="620">
        <f>SUM(Q384:Q393)</f>
        <v>345.649</v>
      </c>
      <c r="W384" s="620">
        <f>SUM(T384:T393)</f>
        <v>0</v>
      </c>
      <c r="X384" s="620"/>
      <c r="Y384" s="620"/>
      <c r="Z384" s="356" t="s">
        <v>990</v>
      </c>
      <c r="AA384" s="98"/>
    </row>
    <row r="385" spans="1:27" ht="24">
      <c r="A385" s="475"/>
      <c r="B385" s="355"/>
      <c r="C385" s="8"/>
      <c r="D385" s="8"/>
      <c r="E385" s="8"/>
      <c r="F385" s="356"/>
      <c r="G385" s="313"/>
      <c r="H385" s="313"/>
      <c r="I385" s="356"/>
      <c r="J385" s="313"/>
      <c r="K385" s="313"/>
      <c r="L385" s="313"/>
      <c r="M385" s="313"/>
      <c r="N385" s="210" t="s">
        <v>991</v>
      </c>
      <c r="O385" s="356" t="s">
        <v>992</v>
      </c>
      <c r="P385" s="76" t="s">
        <v>36</v>
      </c>
      <c r="Q385" s="347">
        <v>6.6</v>
      </c>
      <c r="R385" s="347">
        <v>6.6</v>
      </c>
      <c r="S385" s="356"/>
      <c r="T385" s="313"/>
      <c r="U385" s="356"/>
      <c r="V385" s="591"/>
      <c r="W385" s="591"/>
      <c r="X385" s="591"/>
      <c r="Y385" s="591"/>
      <c r="Z385" s="356"/>
      <c r="AA385" s="98"/>
    </row>
    <row r="386" spans="1:27" ht="24">
      <c r="A386" s="475"/>
      <c r="B386" s="355"/>
      <c r="C386" s="8"/>
      <c r="D386" s="8"/>
      <c r="E386" s="8"/>
      <c r="F386" s="356"/>
      <c r="G386" s="313"/>
      <c r="H386" s="313"/>
      <c r="I386" s="356"/>
      <c r="J386" s="313"/>
      <c r="K386" s="313"/>
      <c r="L386" s="313"/>
      <c r="M386" s="313"/>
      <c r="N386" s="210" t="s">
        <v>993</v>
      </c>
      <c r="O386" s="356" t="s">
        <v>994</v>
      </c>
      <c r="P386" s="76" t="s">
        <v>36</v>
      </c>
      <c r="Q386" s="347">
        <v>1.5</v>
      </c>
      <c r="R386" s="347">
        <v>1.5</v>
      </c>
      <c r="S386" s="356"/>
      <c r="T386" s="313"/>
      <c r="U386" s="356"/>
      <c r="V386" s="591"/>
      <c r="W386" s="591"/>
      <c r="X386" s="591"/>
      <c r="Y386" s="591"/>
      <c r="Z386" s="356"/>
      <c r="AA386" s="98"/>
    </row>
    <row r="387" spans="1:27" ht="24">
      <c r="A387" s="475"/>
      <c r="B387" s="355"/>
      <c r="C387" s="8"/>
      <c r="D387" s="8"/>
      <c r="E387" s="8"/>
      <c r="F387" s="356"/>
      <c r="G387" s="313"/>
      <c r="H387" s="313"/>
      <c r="I387" s="356"/>
      <c r="J387" s="313"/>
      <c r="K387" s="313"/>
      <c r="L387" s="313"/>
      <c r="M387" s="313"/>
      <c r="N387" s="210" t="s">
        <v>798</v>
      </c>
      <c r="O387" s="356" t="s">
        <v>995</v>
      </c>
      <c r="P387" s="76" t="s">
        <v>36</v>
      </c>
      <c r="Q387" s="347">
        <v>2.66</v>
      </c>
      <c r="R387" s="347">
        <v>2.66</v>
      </c>
      <c r="S387" s="356"/>
      <c r="T387" s="313"/>
      <c r="U387" s="356"/>
      <c r="V387" s="591"/>
      <c r="W387" s="591"/>
      <c r="X387" s="591"/>
      <c r="Y387" s="591"/>
      <c r="Z387" s="356"/>
      <c r="AA387" s="98"/>
    </row>
    <row r="388" spans="1:27" ht="24">
      <c r="A388" s="475"/>
      <c r="B388" s="355"/>
      <c r="C388" s="8"/>
      <c r="D388" s="8"/>
      <c r="E388" s="8"/>
      <c r="F388" s="356"/>
      <c r="G388" s="313"/>
      <c r="H388" s="313"/>
      <c r="I388" s="356"/>
      <c r="J388" s="313"/>
      <c r="K388" s="313"/>
      <c r="L388" s="313"/>
      <c r="M388" s="313"/>
      <c r="N388" s="210" t="s">
        <v>996</v>
      </c>
      <c r="O388" s="356" t="s">
        <v>997</v>
      </c>
      <c r="P388" s="76" t="s">
        <v>36</v>
      </c>
      <c r="Q388" s="15">
        <v>10.089</v>
      </c>
      <c r="R388" s="15">
        <v>10.089</v>
      </c>
      <c r="S388" s="356"/>
      <c r="T388" s="313"/>
      <c r="U388" s="356"/>
      <c r="V388" s="591"/>
      <c r="W388" s="591"/>
      <c r="X388" s="591"/>
      <c r="Y388" s="591"/>
      <c r="Z388" s="356"/>
      <c r="AA388" s="98"/>
    </row>
    <row r="389" spans="1:27" ht="48">
      <c r="A389" s="475"/>
      <c r="B389" s="355"/>
      <c r="C389" s="8"/>
      <c r="D389" s="8"/>
      <c r="E389" s="8"/>
      <c r="F389" s="356"/>
      <c r="G389" s="313"/>
      <c r="H389" s="313"/>
      <c r="I389" s="356"/>
      <c r="J389" s="313"/>
      <c r="K389" s="313"/>
      <c r="L389" s="313"/>
      <c r="M389" s="313"/>
      <c r="N389" s="210" t="s">
        <v>998</v>
      </c>
      <c r="O389" s="356" t="s">
        <v>999</v>
      </c>
      <c r="P389" s="76" t="s">
        <v>36</v>
      </c>
      <c r="Q389" s="15">
        <v>109</v>
      </c>
      <c r="R389" s="15">
        <v>109</v>
      </c>
      <c r="S389" s="356"/>
      <c r="T389" s="313"/>
      <c r="U389" s="356"/>
      <c r="V389" s="591"/>
      <c r="W389" s="591"/>
      <c r="X389" s="591"/>
      <c r="Y389" s="591"/>
      <c r="Z389" s="356"/>
      <c r="AA389" s="98"/>
    </row>
    <row r="390" spans="1:27" ht="24">
      <c r="A390" s="475"/>
      <c r="B390" s="355"/>
      <c r="C390" s="8"/>
      <c r="D390" s="8"/>
      <c r="E390" s="8"/>
      <c r="F390" s="356"/>
      <c r="G390" s="313"/>
      <c r="H390" s="313"/>
      <c r="I390" s="356"/>
      <c r="J390" s="313"/>
      <c r="K390" s="313"/>
      <c r="L390" s="313"/>
      <c r="M390" s="313"/>
      <c r="N390" s="210" t="s">
        <v>1000</v>
      </c>
      <c r="O390" s="356" t="s">
        <v>1001</v>
      </c>
      <c r="P390" s="76" t="s">
        <v>36</v>
      </c>
      <c r="Q390" s="15">
        <v>13</v>
      </c>
      <c r="R390" s="15">
        <v>13</v>
      </c>
      <c r="S390" s="356"/>
      <c r="T390" s="313"/>
      <c r="U390" s="356"/>
      <c r="V390" s="591"/>
      <c r="W390" s="591"/>
      <c r="X390" s="591"/>
      <c r="Y390" s="591"/>
      <c r="Z390" s="356"/>
      <c r="AA390" s="98"/>
    </row>
    <row r="391" spans="1:27">
      <c r="A391" s="475"/>
      <c r="B391" s="355"/>
      <c r="C391" s="8"/>
      <c r="D391" s="8"/>
      <c r="E391" s="8"/>
      <c r="F391" s="356"/>
      <c r="G391" s="313"/>
      <c r="H391" s="313"/>
      <c r="I391" s="356"/>
      <c r="J391" s="313"/>
      <c r="K391" s="313"/>
      <c r="L391" s="313"/>
      <c r="M391" s="313"/>
      <c r="N391" s="210" t="s">
        <v>1002</v>
      </c>
      <c r="O391" s="356" t="s">
        <v>1003</v>
      </c>
      <c r="P391" s="76" t="s">
        <v>36</v>
      </c>
      <c r="Q391" s="15">
        <v>63</v>
      </c>
      <c r="R391" s="15">
        <v>63</v>
      </c>
      <c r="S391" s="356"/>
      <c r="T391" s="313"/>
      <c r="U391" s="356"/>
      <c r="V391" s="591"/>
      <c r="W391" s="591"/>
      <c r="X391" s="591"/>
      <c r="Y391" s="591"/>
      <c r="Z391" s="356"/>
      <c r="AA391" s="98"/>
    </row>
    <row r="392" spans="1:27" ht="36">
      <c r="A392" s="475"/>
      <c r="B392" s="355"/>
      <c r="C392" s="8"/>
      <c r="D392" s="8"/>
      <c r="E392" s="8"/>
      <c r="F392" s="356"/>
      <c r="G392" s="313"/>
      <c r="H392" s="313"/>
      <c r="I392" s="356"/>
      <c r="J392" s="313"/>
      <c r="K392" s="313"/>
      <c r="L392" s="313"/>
      <c r="M392" s="313"/>
      <c r="N392" s="210" t="s">
        <v>1004</v>
      </c>
      <c r="O392" s="356" t="s">
        <v>1005</v>
      </c>
      <c r="P392" s="76" t="s">
        <v>36</v>
      </c>
      <c r="Q392" s="15">
        <v>30</v>
      </c>
      <c r="R392" s="15">
        <v>30</v>
      </c>
      <c r="S392" s="356"/>
      <c r="T392" s="313"/>
      <c r="U392" s="356"/>
      <c r="V392" s="591"/>
      <c r="W392" s="591"/>
      <c r="X392" s="591"/>
      <c r="Y392" s="591"/>
      <c r="Z392" s="356"/>
      <c r="AA392" s="98"/>
    </row>
    <row r="393" spans="1:27" ht="60">
      <c r="A393" s="475"/>
      <c r="B393" s="355"/>
      <c r="C393" s="8"/>
      <c r="D393" s="8"/>
      <c r="E393" s="8"/>
      <c r="F393" s="356"/>
      <c r="G393" s="313"/>
      <c r="H393" s="313"/>
      <c r="I393" s="356"/>
      <c r="J393" s="313"/>
      <c r="K393" s="313"/>
      <c r="L393" s="313"/>
      <c r="M393" s="313"/>
      <c r="N393" s="356" t="s">
        <v>1006</v>
      </c>
      <c r="O393" s="356" t="s">
        <v>1007</v>
      </c>
      <c r="P393" s="76" t="s">
        <v>36</v>
      </c>
      <c r="Q393" s="347">
        <v>1.8</v>
      </c>
      <c r="R393" s="347">
        <v>1.8</v>
      </c>
      <c r="S393" s="356"/>
      <c r="T393" s="313"/>
      <c r="U393" s="356"/>
      <c r="V393" s="588"/>
      <c r="W393" s="588"/>
      <c r="X393" s="588"/>
      <c r="Y393" s="588"/>
      <c r="Z393" s="356"/>
      <c r="AA393" s="98"/>
    </row>
    <row r="394" spans="1:27" ht="60" hidden="1" customHeight="1">
      <c r="A394" s="475"/>
      <c r="B394" s="355">
        <v>11</v>
      </c>
      <c r="C394" s="8" t="s">
        <v>1008</v>
      </c>
      <c r="D394" s="8">
        <v>25319.399700000002</v>
      </c>
      <c r="E394" s="8" t="s">
        <v>2165</v>
      </c>
      <c r="F394" s="356" t="s">
        <v>1009</v>
      </c>
      <c r="G394" s="313">
        <f>688877/10000</f>
        <v>68.887699999999995</v>
      </c>
      <c r="H394" s="313">
        <f>40000/10000</f>
        <v>4</v>
      </c>
      <c r="I394" s="356" t="s">
        <v>1010</v>
      </c>
      <c r="J394" s="313">
        <f>(222810.72+122721.09)/10000</f>
        <v>34.553181000000002</v>
      </c>
      <c r="K394" s="313"/>
      <c r="L394" s="313"/>
      <c r="M394" s="313">
        <f>SUM(G394,H394,J394,L394)</f>
        <v>107.44088099999999</v>
      </c>
      <c r="N394" s="356" t="s">
        <v>458</v>
      </c>
      <c r="O394" s="356" t="s">
        <v>1011</v>
      </c>
      <c r="P394" s="76" t="s">
        <v>27</v>
      </c>
      <c r="Q394" s="434">
        <f>6172.11/10000</f>
        <v>0.61721099999999995</v>
      </c>
      <c r="R394" s="434">
        <f>Q394</f>
        <v>0.61721099999999995</v>
      </c>
      <c r="S394" s="356" t="s">
        <v>1012</v>
      </c>
      <c r="T394" s="313">
        <f>1506.87/10000</f>
        <v>0.15068699999999999</v>
      </c>
      <c r="U394" s="5">
        <f>T394/Q394</f>
        <v>0.24414179267705857</v>
      </c>
      <c r="V394" s="620">
        <f>SUM(Q394:Q396)</f>
        <v>2.5927990000000003</v>
      </c>
      <c r="W394" s="620">
        <f>SUM(T394:T396)</f>
        <v>1.2075600000000002</v>
      </c>
      <c r="X394" s="589">
        <f>W394/V394</f>
        <v>0.46573606361310693</v>
      </c>
      <c r="Y394" s="589">
        <f>W394/M394</f>
        <v>1.1239297265256047E-2</v>
      </c>
      <c r="Z394" s="356" t="s">
        <v>1013</v>
      </c>
      <c r="AA394" s="98"/>
    </row>
    <row r="395" spans="1:27" ht="15" hidden="1" customHeight="1">
      <c r="A395" s="475"/>
      <c r="B395" s="355"/>
      <c r="C395" s="8"/>
      <c r="D395" s="8"/>
      <c r="E395" s="8"/>
      <c r="F395" s="356"/>
      <c r="G395" s="313"/>
      <c r="H395" s="313"/>
      <c r="I395" s="356"/>
      <c r="J395" s="313"/>
      <c r="K395" s="313"/>
      <c r="L395" s="313"/>
      <c r="M395" s="313"/>
      <c r="N395" s="356" t="s">
        <v>1014</v>
      </c>
      <c r="O395" s="356" t="s">
        <v>1015</v>
      </c>
      <c r="P395" s="76" t="s">
        <v>27</v>
      </c>
      <c r="Q395" s="434">
        <f>14157.04/10000</f>
        <v>1.4157040000000001</v>
      </c>
      <c r="R395" s="434">
        <f t="shared" ref="R395:R396" si="38">Q395</f>
        <v>1.4157040000000001</v>
      </c>
      <c r="S395" s="356" t="s">
        <v>1016</v>
      </c>
      <c r="T395" s="313">
        <f>8384.03/10000</f>
        <v>0.83840300000000012</v>
      </c>
      <c r="U395" s="5">
        <f t="shared" ref="U395:U396" si="39">T395/Q395</f>
        <v>0.59221631075422554</v>
      </c>
      <c r="V395" s="621"/>
      <c r="W395" s="621"/>
      <c r="X395" s="592"/>
      <c r="Y395" s="592"/>
      <c r="Z395" s="356"/>
      <c r="AA395" s="98"/>
    </row>
    <row r="396" spans="1:27" ht="15" hidden="1" customHeight="1">
      <c r="A396" s="475"/>
      <c r="B396" s="355"/>
      <c r="C396" s="8"/>
      <c r="D396" s="8"/>
      <c r="E396" s="8"/>
      <c r="F396" s="356"/>
      <c r="G396" s="313"/>
      <c r="H396" s="313"/>
      <c r="I396" s="356"/>
      <c r="J396" s="313"/>
      <c r="K396" s="313"/>
      <c r="L396" s="313"/>
      <c r="M396" s="313"/>
      <c r="N396" s="356" t="s">
        <v>1017</v>
      </c>
      <c r="O396" s="356" t="s">
        <v>1018</v>
      </c>
      <c r="P396" s="76" t="s">
        <v>27</v>
      </c>
      <c r="Q396" s="434">
        <f>5598.84/10000</f>
        <v>0.55988400000000005</v>
      </c>
      <c r="R396" s="434">
        <f t="shared" si="38"/>
        <v>0.55988400000000005</v>
      </c>
      <c r="S396" s="356" t="s">
        <v>1012</v>
      </c>
      <c r="T396" s="313">
        <f>2184.7/10000</f>
        <v>0.21846999999999997</v>
      </c>
      <c r="U396" s="5">
        <f t="shared" si="39"/>
        <v>0.39020582835015816</v>
      </c>
      <c r="V396" s="622"/>
      <c r="W396" s="622"/>
      <c r="X396" s="590"/>
      <c r="Y396" s="590"/>
      <c r="Z396" s="356"/>
      <c r="AA396" s="98"/>
    </row>
    <row r="397" spans="1:27" ht="24" hidden="1" customHeight="1">
      <c r="A397" s="475"/>
      <c r="B397" s="355">
        <v>12</v>
      </c>
      <c r="C397" s="8" t="s">
        <v>1019</v>
      </c>
      <c r="D397" s="8">
        <v>54684.0406</v>
      </c>
      <c r="E397" s="8" t="s">
        <v>2166</v>
      </c>
      <c r="F397" s="332" t="s">
        <v>242</v>
      </c>
      <c r="G397" s="333">
        <v>147.33000000000001</v>
      </c>
      <c r="H397" s="333">
        <v>0.35</v>
      </c>
      <c r="I397" s="332" t="s">
        <v>394</v>
      </c>
      <c r="J397" s="333">
        <v>59.11</v>
      </c>
      <c r="K397" s="333"/>
      <c r="L397" s="333"/>
      <c r="M397" s="333">
        <f t="shared" ref="M397:M403" si="40">SUM(G397,H397,J397,L397)</f>
        <v>206.79000000000002</v>
      </c>
      <c r="N397" s="356"/>
      <c r="O397" s="356"/>
      <c r="P397" s="356"/>
      <c r="Q397" s="434"/>
      <c r="R397" s="434"/>
      <c r="S397" s="356"/>
      <c r="T397" s="313"/>
      <c r="U397" s="5"/>
      <c r="V397" s="24"/>
      <c r="W397" s="24"/>
      <c r="X397" s="24"/>
      <c r="Y397" s="24"/>
      <c r="Z397" s="356" t="s">
        <v>224</v>
      </c>
      <c r="AA397" s="98"/>
    </row>
    <row r="398" spans="1:27" ht="15" hidden="1" customHeight="1">
      <c r="A398" s="475"/>
      <c r="B398" s="355">
        <v>13</v>
      </c>
      <c r="C398" s="8" t="s">
        <v>1020</v>
      </c>
      <c r="D398" s="8"/>
      <c r="E398" s="8"/>
      <c r="F398" s="356"/>
      <c r="G398" s="313"/>
      <c r="H398" s="313"/>
      <c r="I398" s="356" t="s">
        <v>31</v>
      </c>
      <c r="J398" s="313">
        <v>18</v>
      </c>
      <c r="K398" s="313"/>
      <c r="L398" s="313"/>
      <c r="M398" s="313">
        <f t="shared" si="40"/>
        <v>18</v>
      </c>
      <c r="N398" s="356"/>
      <c r="O398" s="356"/>
      <c r="P398" s="356"/>
      <c r="Q398" s="434"/>
      <c r="R398" s="434"/>
      <c r="S398" s="356"/>
      <c r="T398" s="313"/>
      <c r="U398" s="5"/>
      <c r="V398" s="24"/>
      <c r="W398" s="24"/>
      <c r="X398" s="24"/>
      <c r="Y398" s="24"/>
      <c r="Z398" s="356" t="s">
        <v>1021</v>
      </c>
      <c r="AA398" s="98"/>
    </row>
    <row r="399" spans="1:27" ht="36" hidden="1" customHeight="1">
      <c r="A399" s="475"/>
      <c r="B399" s="355">
        <v>14</v>
      </c>
      <c r="C399" s="8" t="s">
        <v>1022</v>
      </c>
      <c r="D399" s="8">
        <v>47351.101999999999</v>
      </c>
      <c r="E399" s="8" t="s">
        <v>2167</v>
      </c>
      <c r="F399" s="356" t="s">
        <v>242</v>
      </c>
      <c r="G399" s="313">
        <v>136.44210000000001</v>
      </c>
      <c r="H399" s="313">
        <v>9.9760000000000009</v>
      </c>
      <c r="I399" s="356" t="s">
        <v>1023</v>
      </c>
      <c r="J399" s="313">
        <v>41.743200000000002</v>
      </c>
      <c r="K399" s="313"/>
      <c r="L399" s="313"/>
      <c r="M399" s="313">
        <f t="shared" si="40"/>
        <v>188.16130000000001</v>
      </c>
      <c r="N399" s="356"/>
      <c r="O399" s="356"/>
      <c r="P399" s="356"/>
      <c r="Q399" s="434"/>
      <c r="R399" s="434"/>
      <c r="S399" s="356"/>
      <c r="T399" s="313"/>
      <c r="U399" s="5"/>
      <c r="V399" s="24"/>
      <c r="W399" s="24"/>
      <c r="X399" s="24"/>
      <c r="Y399" s="24"/>
      <c r="Z399" s="356" t="s">
        <v>381</v>
      </c>
      <c r="AA399" s="98"/>
    </row>
    <row r="400" spans="1:27" ht="36" hidden="1" customHeight="1">
      <c r="A400" s="475"/>
      <c r="B400" s="339">
        <v>15</v>
      </c>
      <c r="C400" s="8" t="s">
        <v>1024</v>
      </c>
      <c r="D400" s="8">
        <v>50454.879200000003</v>
      </c>
      <c r="E400" s="8" t="s">
        <v>2168</v>
      </c>
      <c r="F400" s="342" t="s">
        <v>372</v>
      </c>
      <c r="G400" s="325">
        <v>515.54999999999995</v>
      </c>
      <c r="H400" s="325">
        <v>4.2</v>
      </c>
      <c r="I400" s="342" t="s">
        <v>394</v>
      </c>
      <c r="J400" s="325">
        <v>40.382399999999997</v>
      </c>
      <c r="K400" s="325"/>
      <c r="L400" s="325"/>
      <c r="M400" s="325">
        <f t="shared" si="40"/>
        <v>560.13239999999996</v>
      </c>
      <c r="N400" s="342"/>
      <c r="O400" s="342"/>
      <c r="P400" s="342"/>
      <c r="Q400" s="347"/>
      <c r="R400" s="347"/>
      <c r="S400" s="342"/>
      <c r="T400" s="325"/>
      <c r="U400" s="16"/>
      <c r="V400" s="25"/>
      <c r="W400" s="25"/>
      <c r="X400" s="25"/>
      <c r="Y400" s="25"/>
      <c r="Z400" s="342" t="s">
        <v>881</v>
      </c>
      <c r="AA400" s="98"/>
    </row>
    <row r="401" spans="1:27" ht="60" hidden="1" customHeight="1">
      <c r="A401" s="475"/>
      <c r="B401" s="355">
        <v>16</v>
      </c>
      <c r="C401" s="356" t="s">
        <v>1025</v>
      </c>
      <c r="D401" s="342">
        <v>29053.2389</v>
      </c>
      <c r="E401" s="342" t="s">
        <v>2169</v>
      </c>
      <c r="F401" s="356" t="s">
        <v>935</v>
      </c>
      <c r="G401" s="313">
        <v>79.996418000000006</v>
      </c>
      <c r="H401" s="313">
        <v>52.295830000000002</v>
      </c>
      <c r="I401" s="356"/>
      <c r="J401" s="313"/>
      <c r="K401" s="313"/>
      <c r="L401" s="313"/>
      <c r="M401" s="313">
        <f t="shared" si="40"/>
        <v>132.292248</v>
      </c>
      <c r="N401" s="356"/>
      <c r="O401" s="356"/>
      <c r="P401" s="356"/>
      <c r="Q401" s="434"/>
      <c r="R401" s="434"/>
      <c r="S401" s="356"/>
      <c r="T401" s="313"/>
      <c r="U401" s="356"/>
      <c r="V401" s="24"/>
      <c r="W401" s="24"/>
      <c r="X401" s="24"/>
      <c r="Y401" s="24"/>
      <c r="Z401" s="356" t="s">
        <v>939</v>
      </c>
      <c r="AA401" s="98"/>
    </row>
    <row r="402" spans="1:27" ht="36" hidden="1" customHeight="1">
      <c r="A402" s="475"/>
      <c r="B402" s="355">
        <v>17</v>
      </c>
      <c r="C402" s="8" t="s">
        <v>1026</v>
      </c>
      <c r="D402" s="8">
        <v>152362.29810000001</v>
      </c>
      <c r="E402" s="8" t="s">
        <v>2170</v>
      </c>
      <c r="F402" s="356"/>
      <c r="G402" s="313"/>
      <c r="H402" s="313"/>
      <c r="I402" s="356" t="s">
        <v>255</v>
      </c>
      <c r="J402" s="313">
        <v>108.4945</v>
      </c>
      <c r="K402" s="313"/>
      <c r="L402" s="313"/>
      <c r="M402" s="313">
        <f t="shared" si="40"/>
        <v>108.4945</v>
      </c>
      <c r="N402" s="356"/>
      <c r="O402" s="356"/>
      <c r="P402" s="356"/>
      <c r="Q402" s="434"/>
      <c r="R402" s="434"/>
      <c r="S402" s="356"/>
      <c r="T402" s="313"/>
      <c r="U402" s="5"/>
      <c r="V402" s="24"/>
      <c r="W402" s="24"/>
      <c r="X402" s="24"/>
      <c r="Y402" s="24"/>
      <c r="Z402" s="356" t="s">
        <v>1013</v>
      </c>
      <c r="AA402" s="98"/>
    </row>
    <row r="403" spans="1:27" ht="24" hidden="1" customHeight="1">
      <c r="A403" s="475"/>
      <c r="B403" s="339">
        <v>18</v>
      </c>
      <c r="C403" s="17" t="s">
        <v>1027</v>
      </c>
      <c r="D403" s="17">
        <v>120425.5049</v>
      </c>
      <c r="E403" s="17" t="s">
        <v>2171</v>
      </c>
      <c r="F403" s="342" t="s">
        <v>250</v>
      </c>
      <c r="G403" s="325">
        <v>0</v>
      </c>
      <c r="H403" s="325">
        <v>0</v>
      </c>
      <c r="I403" s="342" t="s">
        <v>250</v>
      </c>
      <c r="J403" s="325">
        <v>72</v>
      </c>
      <c r="K403" s="325" t="s">
        <v>250</v>
      </c>
      <c r="L403" s="325">
        <v>36</v>
      </c>
      <c r="M403" s="313">
        <f t="shared" si="40"/>
        <v>108</v>
      </c>
      <c r="N403" s="342"/>
      <c r="O403" s="342"/>
      <c r="P403" s="342"/>
      <c r="Q403" s="347"/>
      <c r="R403" s="347"/>
      <c r="S403" s="342"/>
      <c r="T403" s="325"/>
      <c r="U403" s="16"/>
      <c r="V403" s="25"/>
      <c r="W403" s="25"/>
      <c r="X403" s="25"/>
      <c r="Y403" s="25"/>
      <c r="Z403" s="342" t="s">
        <v>1013</v>
      </c>
      <c r="AA403" s="98"/>
    </row>
    <row r="404" spans="1:27" ht="24" hidden="1" customHeight="1">
      <c r="A404" s="475"/>
      <c r="B404" s="355">
        <v>19</v>
      </c>
      <c r="C404" s="356" t="s">
        <v>1028</v>
      </c>
      <c r="D404" s="342">
        <v>49186.675799999997</v>
      </c>
      <c r="E404" s="342" t="s">
        <v>2172</v>
      </c>
      <c r="F404" s="356" t="s">
        <v>240</v>
      </c>
      <c r="G404" s="313"/>
      <c r="H404" s="313"/>
      <c r="I404" s="356" t="s">
        <v>476</v>
      </c>
      <c r="J404" s="313">
        <v>19.674700000000001</v>
      </c>
      <c r="K404" s="313"/>
      <c r="L404" s="313"/>
      <c r="M404" s="313">
        <f>J404</f>
        <v>19.674700000000001</v>
      </c>
      <c r="N404" s="356"/>
      <c r="O404" s="356"/>
      <c r="P404" s="356"/>
      <c r="Q404" s="434"/>
      <c r="R404" s="434"/>
      <c r="S404" s="356"/>
      <c r="T404" s="313"/>
      <c r="U404" s="5"/>
      <c r="V404" s="24"/>
      <c r="W404" s="24"/>
      <c r="X404" s="24"/>
      <c r="Y404" s="24"/>
      <c r="Z404" s="356"/>
      <c r="AA404" s="98"/>
    </row>
    <row r="405" spans="1:27" ht="36" hidden="1" customHeight="1">
      <c r="A405" s="475"/>
      <c r="B405" s="355">
        <v>20</v>
      </c>
      <c r="C405" s="356" t="s">
        <v>1029</v>
      </c>
      <c r="D405" s="342">
        <v>11478.5795</v>
      </c>
      <c r="E405" s="342" t="s">
        <v>2173</v>
      </c>
      <c r="F405" s="356"/>
      <c r="G405" s="313"/>
      <c r="H405" s="313"/>
      <c r="I405" s="356" t="s">
        <v>476</v>
      </c>
      <c r="J405" s="313">
        <v>6.8871000000000002</v>
      </c>
      <c r="K405" s="313"/>
      <c r="L405" s="313"/>
      <c r="M405" s="313">
        <f t="shared" ref="M405:M409" si="41">J405</f>
        <v>6.8871000000000002</v>
      </c>
      <c r="N405" s="356"/>
      <c r="O405" s="356"/>
      <c r="P405" s="356"/>
      <c r="Q405" s="434"/>
      <c r="R405" s="434"/>
      <c r="S405" s="356"/>
      <c r="T405" s="313"/>
      <c r="U405" s="5"/>
      <c r="V405" s="24"/>
      <c r="W405" s="24"/>
      <c r="X405" s="24"/>
      <c r="Y405" s="24"/>
      <c r="Z405" s="356"/>
      <c r="AA405" s="98"/>
    </row>
    <row r="406" spans="1:27" ht="24" hidden="1" customHeight="1">
      <c r="A406" s="475"/>
      <c r="B406" s="355">
        <v>21</v>
      </c>
      <c r="C406" s="356" t="s">
        <v>1030</v>
      </c>
      <c r="D406" s="342">
        <v>2780.9965999999999</v>
      </c>
      <c r="E406" s="342" t="s">
        <v>2174</v>
      </c>
      <c r="F406" s="356"/>
      <c r="G406" s="313"/>
      <c r="H406" s="313"/>
      <c r="I406" s="356" t="s">
        <v>476</v>
      </c>
      <c r="J406" s="313">
        <v>1.6686000000000001</v>
      </c>
      <c r="K406" s="313"/>
      <c r="L406" s="313"/>
      <c r="M406" s="313">
        <f t="shared" si="41"/>
        <v>1.6686000000000001</v>
      </c>
      <c r="N406" s="356"/>
      <c r="O406" s="356"/>
      <c r="P406" s="356"/>
      <c r="Q406" s="434"/>
      <c r="R406" s="434"/>
      <c r="S406" s="356"/>
      <c r="T406" s="313"/>
      <c r="U406" s="5"/>
      <c r="V406" s="24"/>
      <c r="W406" s="24"/>
      <c r="X406" s="24"/>
      <c r="Y406" s="24"/>
      <c r="Z406" s="356"/>
      <c r="AA406" s="98"/>
    </row>
    <row r="407" spans="1:27" ht="36" hidden="1" customHeight="1">
      <c r="A407" s="475"/>
      <c r="B407" s="355">
        <v>22</v>
      </c>
      <c r="C407" s="356" t="s">
        <v>1031</v>
      </c>
      <c r="D407" s="342">
        <v>633.80849999999998</v>
      </c>
      <c r="E407" s="342" t="s">
        <v>2175</v>
      </c>
      <c r="F407" s="356"/>
      <c r="G407" s="313"/>
      <c r="H407" s="313"/>
      <c r="I407" s="356" t="s">
        <v>476</v>
      </c>
      <c r="J407" s="313">
        <v>0.38030000000000003</v>
      </c>
      <c r="K407" s="313"/>
      <c r="L407" s="313"/>
      <c r="M407" s="313">
        <f t="shared" si="41"/>
        <v>0.38030000000000003</v>
      </c>
      <c r="N407" s="356"/>
      <c r="O407" s="356"/>
      <c r="P407" s="356"/>
      <c r="Q407" s="434"/>
      <c r="R407" s="434"/>
      <c r="S407" s="356"/>
      <c r="T407" s="313"/>
      <c r="U407" s="5"/>
      <c r="V407" s="24"/>
      <c r="W407" s="24"/>
      <c r="X407" s="24"/>
      <c r="Y407" s="24"/>
      <c r="Z407" s="356"/>
      <c r="AA407" s="98"/>
    </row>
    <row r="408" spans="1:27" ht="36" hidden="1" customHeight="1">
      <c r="A408" s="475"/>
      <c r="B408" s="355">
        <v>23</v>
      </c>
      <c r="C408" s="356" t="s">
        <v>1032</v>
      </c>
      <c r="D408" s="342">
        <v>5068.9485999999997</v>
      </c>
      <c r="E408" s="342" t="s">
        <v>2176</v>
      </c>
      <c r="F408" s="356"/>
      <c r="G408" s="313"/>
      <c r="H408" s="313"/>
      <c r="I408" s="356" t="s">
        <v>476</v>
      </c>
      <c r="J408" s="313">
        <v>3.0413999999999999</v>
      </c>
      <c r="K408" s="313"/>
      <c r="L408" s="313"/>
      <c r="M408" s="313">
        <f t="shared" si="41"/>
        <v>3.0413999999999999</v>
      </c>
      <c r="N408" s="356"/>
      <c r="O408" s="356"/>
      <c r="P408" s="356"/>
      <c r="Q408" s="434"/>
      <c r="R408" s="434"/>
      <c r="S408" s="356"/>
      <c r="T408" s="313"/>
      <c r="U408" s="5"/>
      <c r="V408" s="24"/>
      <c r="W408" s="24"/>
      <c r="X408" s="24"/>
      <c r="Y408" s="24"/>
      <c r="Z408" s="356"/>
      <c r="AA408" s="98"/>
    </row>
    <row r="409" spans="1:27" ht="36" hidden="1" customHeight="1">
      <c r="A409" s="475"/>
      <c r="B409" s="355">
        <v>24</v>
      </c>
      <c r="C409" s="356" t="s">
        <v>1033</v>
      </c>
      <c r="D409" s="342">
        <v>4800.9665000000005</v>
      </c>
      <c r="E409" s="342" t="s">
        <v>2177</v>
      </c>
      <c r="F409" s="356"/>
      <c r="G409" s="313"/>
      <c r="H409" s="313"/>
      <c r="I409" s="356" t="s">
        <v>476</v>
      </c>
      <c r="J409" s="313">
        <v>2.8805999999999998</v>
      </c>
      <c r="K409" s="313"/>
      <c r="L409" s="313"/>
      <c r="M409" s="313">
        <f t="shared" si="41"/>
        <v>2.8805999999999998</v>
      </c>
      <c r="N409" s="356"/>
      <c r="O409" s="356"/>
      <c r="P409" s="356"/>
      <c r="Q409" s="434"/>
      <c r="R409" s="434"/>
      <c r="S409" s="356"/>
      <c r="T409" s="313"/>
      <c r="U409" s="5"/>
      <c r="V409" s="24"/>
      <c r="W409" s="24"/>
      <c r="X409" s="24"/>
      <c r="Y409" s="24"/>
      <c r="Z409" s="356"/>
      <c r="AA409" s="98"/>
    </row>
    <row r="410" spans="1:27" ht="60" hidden="1" customHeight="1">
      <c r="A410" s="475" t="s">
        <v>1257</v>
      </c>
      <c r="B410" s="211">
        <v>1</v>
      </c>
      <c r="C410" s="93" t="s">
        <v>1940</v>
      </c>
      <c r="D410" s="383">
        <v>41466.699999999997</v>
      </c>
      <c r="E410" s="384" t="s">
        <v>2178</v>
      </c>
      <c r="F410" s="94" t="s">
        <v>1035</v>
      </c>
      <c r="G410" s="136">
        <f>422418765*0.0037/10000</f>
        <v>156.29494305</v>
      </c>
      <c r="H410" s="136">
        <f>20000000*0.002/10000</f>
        <v>4</v>
      </c>
      <c r="I410" s="94" t="s">
        <v>1036</v>
      </c>
      <c r="J410" s="136">
        <f>387524.65/10000</f>
        <v>38.752465000000001</v>
      </c>
      <c r="K410" s="136"/>
      <c r="L410" s="136"/>
      <c r="M410" s="136">
        <f>J410+H410+G410</f>
        <v>199.04740805</v>
      </c>
      <c r="N410" s="94"/>
      <c r="O410" s="94"/>
      <c r="P410" s="94"/>
      <c r="Q410" s="95"/>
      <c r="R410" s="95"/>
      <c r="S410" s="94"/>
      <c r="T410" s="136"/>
      <c r="U410" s="94"/>
      <c r="V410" s="212"/>
      <c r="W410" s="212"/>
      <c r="X410" s="212"/>
      <c r="Y410" s="212"/>
      <c r="Z410" s="94" t="s">
        <v>1037</v>
      </c>
      <c r="AA410" s="98"/>
    </row>
    <row r="411" spans="1:27" ht="15" hidden="1" customHeight="1">
      <c r="A411" s="475"/>
      <c r="B411" s="213">
        <v>2</v>
      </c>
      <c r="C411" s="214" t="s">
        <v>1941</v>
      </c>
      <c r="D411" s="385">
        <v>16923.027999999998</v>
      </c>
      <c r="E411" s="386" t="s">
        <v>2179</v>
      </c>
      <c r="F411" s="94" t="s">
        <v>542</v>
      </c>
      <c r="G411" s="136"/>
      <c r="H411" s="136"/>
      <c r="I411" s="94"/>
      <c r="J411" s="136"/>
      <c r="K411" s="136"/>
      <c r="L411" s="136"/>
      <c r="M411" s="136">
        <f>SUM(G411,H411,J411,L411)</f>
        <v>0</v>
      </c>
      <c r="N411" s="94"/>
      <c r="O411" s="94"/>
      <c r="P411" s="94"/>
      <c r="Q411" s="95"/>
      <c r="R411" s="95"/>
      <c r="S411" s="94"/>
      <c r="T411" s="136"/>
      <c r="U411" s="215"/>
      <c r="V411" s="212"/>
      <c r="W411" s="212"/>
      <c r="X411" s="212"/>
      <c r="Y411" s="212"/>
      <c r="Z411" s="94" t="s">
        <v>1038</v>
      </c>
      <c r="AA411" s="98"/>
    </row>
    <row r="412" spans="1:27" ht="24" hidden="1" customHeight="1">
      <c r="A412" s="475"/>
      <c r="B412" s="213">
        <v>3</v>
      </c>
      <c r="C412" s="214" t="s">
        <v>1039</v>
      </c>
      <c r="D412" s="387">
        <v>8100</v>
      </c>
      <c r="E412" s="388" t="s">
        <v>2180</v>
      </c>
      <c r="F412" s="94" t="s">
        <v>250</v>
      </c>
      <c r="G412" s="136">
        <v>19.277999999999999</v>
      </c>
      <c r="H412" s="136">
        <v>0.69</v>
      </c>
      <c r="I412" s="94"/>
      <c r="J412" s="136"/>
      <c r="K412" s="136"/>
      <c r="L412" s="136"/>
      <c r="M412" s="136">
        <f>SUM(G412,H412,J412,L412)</f>
        <v>19.968</v>
      </c>
      <c r="N412" s="94"/>
      <c r="O412" s="94"/>
      <c r="P412" s="94"/>
      <c r="Q412" s="95"/>
      <c r="R412" s="95"/>
      <c r="S412" s="94"/>
      <c r="T412" s="136"/>
      <c r="U412" s="215"/>
      <c r="V412" s="212"/>
      <c r="W412" s="212"/>
      <c r="X412" s="212"/>
      <c r="Y412" s="212"/>
      <c r="Z412" s="94" t="s">
        <v>1038</v>
      </c>
      <c r="AA412" s="98"/>
    </row>
    <row r="413" spans="1:27" ht="48" hidden="1" customHeight="1">
      <c r="A413" s="475"/>
      <c r="B413" s="213">
        <v>4</v>
      </c>
      <c r="C413" s="214" t="s">
        <v>1040</v>
      </c>
      <c r="D413" s="389">
        <f>ROUND(3114.7894,2)</f>
        <v>3114.79</v>
      </c>
      <c r="E413" s="390" t="s">
        <v>2181</v>
      </c>
      <c r="F413" s="94" t="s">
        <v>542</v>
      </c>
      <c r="G413" s="136">
        <v>0</v>
      </c>
      <c r="H413" s="136">
        <v>0</v>
      </c>
      <c r="I413" s="94"/>
      <c r="J413" s="136"/>
      <c r="K413" s="136"/>
      <c r="L413" s="136"/>
      <c r="M413" s="136">
        <f>SUM(G413,H413,J413,L413)</f>
        <v>0</v>
      </c>
      <c r="N413" s="94"/>
      <c r="O413" s="94"/>
      <c r="P413" s="94"/>
      <c r="Q413" s="95"/>
      <c r="R413" s="95"/>
      <c r="S413" s="94"/>
      <c r="T413" s="136"/>
      <c r="U413" s="215"/>
      <c r="V413" s="212"/>
      <c r="W413" s="212"/>
      <c r="X413" s="212"/>
      <c r="Y413" s="212"/>
      <c r="Z413" s="94" t="s">
        <v>1038</v>
      </c>
      <c r="AA413" s="98"/>
    </row>
    <row r="414" spans="1:27" ht="15" hidden="1" customHeight="1">
      <c r="A414" s="475"/>
      <c r="B414" s="213">
        <v>5</v>
      </c>
      <c r="C414" s="216" t="s">
        <v>1942</v>
      </c>
      <c r="D414" s="383">
        <v>17016.23</v>
      </c>
      <c r="E414" s="391" t="s">
        <v>2182</v>
      </c>
      <c r="F414" s="94" t="s">
        <v>1041</v>
      </c>
      <c r="G414" s="136">
        <v>46</v>
      </c>
      <c r="H414" s="136">
        <v>2</v>
      </c>
      <c r="I414" s="94" t="s">
        <v>1041</v>
      </c>
      <c r="J414" s="136">
        <v>0</v>
      </c>
      <c r="K414" s="136"/>
      <c r="L414" s="136"/>
      <c r="M414" s="136">
        <v>48</v>
      </c>
      <c r="N414" s="94" t="s">
        <v>542</v>
      </c>
      <c r="O414" s="94"/>
      <c r="P414" s="94"/>
      <c r="Q414" s="95"/>
      <c r="R414" s="95"/>
      <c r="S414" s="94"/>
      <c r="T414" s="136"/>
      <c r="U414" s="215"/>
      <c r="V414" s="212"/>
      <c r="W414" s="212"/>
      <c r="X414" s="212"/>
      <c r="Y414" s="212"/>
      <c r="Z414" s="94" t="s">
        <v>1038</v>
      </c>
      <c r="AA414" s="98"/>
    </row>
    <row r="415" spans="1:27" ht="36" hidden="1" customHeight="1">
      <c r="A415" s="475"/>
      <c r="B415" s="650">
        <v>6</v>
      </c>
      <c r="C415" s="653" t="s">
        <v>1042</v>
      </c>
      <c r="D415" s="641">
        <v>26257.6957</v>
      </c>
      <c r="E415" s="656" t="s">
        <v>2183</v>
      </c>
      <c r="F415" s="647" t="s">
        <v>1043</v>
      </c>
      <c r="G415" s="626">
        <v>87.185199999999995</v>
      </c>
      <c r="H415" s="626">
        <v>0</v>
      </c>
      <c r="I415" s="647" t="s">
        <v>31</v>
      </c>
      <c r="J415" s="626">
        <v>24.066400000000002</v>
      </c>
      <c r="K415" s="626"/>
      <c r="L415" s="626"/>
      <c r="M415" s="626">
        <f>SUM(G415,H415,J415,L415)</f>
        <v>111.2516</v>
      </c>
      <c r="N415" s="217" t="s">
        <v>84</v>
      </c>
      <c r="O415" s="94" t="s">
        <v>1943</v>
      </c>
      <c r="P415" s="76" t="s">
        <v>27</v>
      </c>
      <c r="Q415" s="95">
        <v>1.0750999999999999</v>
      </c>
      <c r="R415" s="95">
        <v>1.0750999999999999</v>
      </c>
      <c r="S415" s="94" t="s">
        <v>1044</v>
      </c>
      <c r="T415" s="136">
        <v>0.92449999999999999</v>
      </c>
      <c r="U415" s="215">
        <f t="shared" ref="U415:U422" si="42">T415/Q415</f>
        <v>0.85992000744116825</v>
      </c>
      <c r="V415" s="629">
        <f>SUM(Q415:Q419)</f>
        <v>9.7900999999999989</v>
      </c>
      <c r="W415" s="629">
        <f>SUM(T415:T419)</f>
        <v>8.3355999999999995</v>
      </c>
      <c r="X415" s="632">
        <f>W415/V415</f>
        <v>0.85143154819664768</v>
      </c>
      <c r="Y415" s="632">
        <f>W415/M415</f>
        <v>7.4925663990450475E-2</v>
      </c>
      <c r="Z415" s="94" t="s">
        <v>1045</v>
      </c>
      <c r="AA415" s="98"/>
    </row>
    <row r="416" spans="1:27" ht="36" hidden="1" customHeight="1">
      <c r="A416" s="475"/>
      <c r="B416" s="651"/>
      <c r="C416" s="654"/>
      <c r="D416" s="642"/>
      <c r="E416" s="657"/>
      <c r="F416" s="648"/>
      <c r="G416" s="627"/>
      <c r="H416" s="627"/>
      <c r="I416" s="648"/>
      <c r="J416" s="627"/>
      <c r="K416" s="627"/>
      <c r="L416" s="627"/>
      <c r="M416" s="627"/>
      <c r="N416" s="94" t="s">
        <v>1046</v>
      </c>
      <c r="O416" s="94" t="s">
        <v>1944</v>
      </c>
      <c r="P416" s="76" t="s">
        <v>27</v>
      </c>
      <c r="Q416" s="95">
        <v>1.7176</v>
      </c>
      <c r="R416" s="95">
        <v>1.7176</v>
      </c>
      <c r="S416" s="94" t="s">
        <v>63</v>
      </c>
      <c r="T416" s="136">
        <v>1.6512</v>
      </c>
      <c r="U416" s="215">
        <f t="shared" si="42"/>
        <v>0.96134140661387979</v>
      </c>
      <c r="V416" s="630"/>
      <c r="W416" s="630"/>
      <c r="X416" s="633"/>
      <c r="Y416" s="633"/>
      <c r="Z416" s="94" t="s">
        <v>1045</v>
      </c>
      <c r="AA416" s="98"/>
    </row>
    <row r="417" spans="1:27" ht="48" hidden="1" customHeight="1">
      <c r="A417" s="475"/>
      <c r="B417" s="651"/>
      <c r="C417" s="654"/>
      <c r="D417" s="642"/>
      <c r="E417" s="657"/>
      <c r="F417" s="648"/>
      <c r="G417" s="627"/>
      <c r="H417" s="627"/>
      <c r="I417" s="648"/>
      <c r="J417" s="627"/>
      <c r="K417" s="627"/>
      <c r="L417" s="627"/>
      <c r="M417" s="627"/>
      <c r="N417" s="94" t="s">
        <v>1000</v>
      </c>
      <c r="O417" s="94" t="s">
        <v>1945</v>
      </c>
      <c r="P417" s="76" t="s">
        <v>27</v>
      </c>
      <c r="Q417" s="95">
        <v>3.1970999999999998</v>
      </c>
      <c r="R417" s="95">
        <v>3.1970999999999998</v>
      </c>
      <c r="S417" s="94" t="s">
        <v>137</v>
      </c>
      <c r="T417" s="136">
        <v>2.8912</v>
      </c>
      <c r="U417" s="215">
        <f t="shared" si="42"/>
        <v>0.90431953958274691</v>
      </c>
      <c r="V417" s="630"/>
      <c r="W417" s="630"/>
      <c r="X417" s="633"/>
      <c r="Y417" s="633"/>
      <c r="Z417" s="94" t="s">
        <v>1045</v>
      </c>
      <c r="AA417" s="98"/>
    </row>
    <row r="418" spans="1:27" ht="48" hidden="1" customHeight="1">
      <c r="A418" s="475"/>
      <c r="B418" s="651"/>
      <c r="C418" s="654"/>
      <c r="D418" s="642"/>
      <c r="E418" s="657"/>
      <c r="F418" s="648"/>
      <c r="G418" s="627"/>
      <c r="H418" s="627"/>
      <c r="I418" s="648"/>
      <c r="J418" s="627"/>
      <c r="K418" s="627"/>
      <c r="L418" s="627"/>
      <c r="M418" s="627"/>
      <c r="N418" s="94" t="s">
        <v>1047</v>
      </c>
      <c r="O418" s="94" t="s">
        <v>1946</v>
      </c>
      <c r="P418" s="76" t="s">
        <v>27</v>
      </c>
      <c r="Q418" s="95">
        <v>0.68799999999999994</v>
      </c>
      <c r="R418" s="95">
        <v>0.68799999999999994</v>
      </c>
      <c r="S418" s="94" t="s">
        <v>1048</v>
      </c>
      <c r="T418" s="136">
        <v>0.54730000000000001</v>
      </c>
      <c r="U418" s="215">
        <f>T418/Q418</f>
        <v>0.79549418604651168</v>
      </c>
      <c r="V418" s="630"/>
      <c r="W418" s="630"/>
      <c r="X418" s="633"/>
      <c r="Y418" s="633"/>
      <c r="Z418" s="94" t="s">
        <v>1045</v>
      </c>
      <c r="AA418" s="98"/>
    </row>
    <row r="419" spans="1:27" ht="36" hidden="1" customHeight="1">
      <c r="A419" s="475"/>
      <c r="B419" s="652"/>
      <c r="C419" s="655"/>
      <c r="D419" s="643"/>
      <c r="E419" s="658"/>
      <c r="F419" s="649"/>
      <c r="G419" s="628"/>
      <c r="H419" s="628"/>
      <c r="I419" s="649"/>
      <c r="J419" s="628"/>
      <c r="K419" s="628"/>
      <c r="L419" s="628"/>
      <c r="M419" s="628"/>
      <c r="N419" s="158" t="s">
        <v>1049</v>
      </c>
      <c r="O419" s="76" t="s">
        <v>1050</v>
      </c>
      <c r="P419" s="76" t="s">
        <v>27</v>
      </c>
      <c r="Q419" s="218">
        <v>3.1122999999999998</v>
      </c>
      <c r="R419" s="218">
        <v>3.1122999999999998</v>
      </c>
      <c r="S419" s="158" t="s">
        <v>1051</v>
      </c>
      <c r="T419" s="296">
        <v>2.3214000000000001</v>
      </c>
      <c r="U419" s="219">
        <f>T419/Q419</f>
        <v>0.74587925328535176</v>
      </c>
      <c r="V419" s="631"/>
      <c r="W419" s="631"/>
      <c r="X419" s="634"/>
      <c r="Y419" s="634"/>
      <c r="Z419" s="76" t="s">
        <v>1052</v>
      </c>
      <c r="AA419" s="98"/>
    </row>
    <row r="420" spans="1:27" ht="24" hidden="1" customHeight="1">
      <c r="A420" s="475"/>
      <c r="B420" s="635">
        <v>7</v>
      </c>
      <c r="C420" s="638" t="s">
        <v>1053</v>
      </c>
      <c r="D420" s="641">
        <v>34150</v>
      </c>
      <c r="E420" s="644" t="s">
        <v>2184</v>
      </c>
      <c r="F420" s="647" t="s">
        <v>1054</v>
      </c>
      <c r="G420" s="626">
        <v>108.6237</v>
      </c>
      <c r="H420" s="626">
        <v>10</v>
      </c>
      <c r="I420" s="647" t="s">
        <v>1055</v>
      </c>
      <c r="J420" s="626">
        <v>62.297910000000002</v>
      </c>
      <c r="K420" s="626" t="s">
        <v>542</v>
      </c>
      <c r="L420" s="626"/>
      <c r="M420" s="626">
        <f>SUM(G420,H420,J420,L420)</f>
        <v>180.92160999999999</v>
      </c>
      <c r="N420" s="94" t="s">
        <v>798</v>
      </c>
      <c r="O420" s="94" t="s">
        <v>1056</v>
      </c>
      <c r="P420" s="76" t="s">
        <v>27</v>
      </c>
      <c r="Q420" s="95">
        <v>2.38</v>
      </c>
      <c r="R420" s="95">
        <v>2.38</v>
      </c>
      <c r="S420" s="220">
        <v>41941</v>
      </c>
      <c r="T420" s="136">
        <v>1.5470999999999999</v>
      </c>
      <c r="U420" s="221">
        <f t="shared" si="42"/>
        <v>0.65004201680672269</v>
      </c>
      <c r="V420" s="668">
        <f>SUM(Q420:Q432)</f>
        <v>97.776200000000003</v>
      </c>
      <c r="W420" s="668">
        <f>SUM(T420:T432)</f>
        <v>137.972081</v>
      </c>
      <c r="X420" s="632">
        <f>W420/V420</f>
        <v>1.4111008711731485</v>
      </c>
      <c r="Y420" s="632">
        <f>W420/M420</f>
        <v>0.7626069710522696</v>
      </c>
      <c r="Z420" s="94" t="s">
        <v>548</v>
      </c>
      <c r="AA420" s="98"/>
    </row>
    <row r="421" spans="1:27" ht="36" hidden="1" customHeight="1">
      <c r="A421" s="475"/>
      <c r="B421" s="636"/>
      <c r="C421" s="639"/>
      <c r="D421" s="642"/>
      <c r="E421" s="645"/>
      <c r="F421" s="648"/>
      <c r="G421" s="627"/>
      <c r="H421" s="627"/>
      <c r="I421" s="648"/>
      <c r="J421" s="627"/>
      <c r="K421" s="627"/>
      <c r="L421" s="627"/>
      <c r="M421" s="627"/>
      <c r="N421" s="94" t="s">
        <v>1057</v>
      </c>
      <c r="O421" s="94" t="s">
        <v>1058</v>
      </c>
      <c r="P421" s="76" t="s">
        <v>27</v>
      </c>
      <c r="Q421" s="95">
        <v>95.022900000000007</v>
      </c>
      <c r="R421" s="95">
        <v>44</v>
      </c>
      <c r="S421" s="220">
        <v>41942</v>
      </c>
      <c r="T421" s="136">
        <v>24</v>
      </c>
      <c r="U421" s="221">
        <f t="shared" si="42"/>
        <v>0.25257069611640981</v>
      </c>
      <c r="V421" s="669"/>
      <c r="W421" s="669"/>
      <c r="X421" s="633"/>
      <c r="Y421" s="633"/>
      <c r="Z421" s="94" t="s">
        <v>548</v>
      </c>
      <c r="AA421" s="98"/>
    </row>
    <row r="422" spans="1:27" ht="48" hidden="1" customHeight="1">
      <c r="A422" s="475"/>
      <c r="B422" s="636"/>
      <c r="C422" s="639"/>
      <c r="D422" s="642"/>
      <c r="E422" s="645"/>
      <c r="F422" s="648"/>
      <c r="G422" s="627"/>
      <c r="H422" s="627"/>
      <c r="I422" s="648"/>
      <c r="J422" s="627"/>
      <c r="K422" s="627"/>
      <c r="L422" s="627"/>
      <c r="M422" s="627"/>
      <c r="N422" s="222" t="s">
        <v>1059</v>
      </c>
      <c r="O422" s="222" t="s">
        <v>1060</v>
      </c>
      <c r="P422" s="76" t="s">
        <v>27</v>
      </c>
      <c r="Q422" s="95">
        <v>0.37330000000000002</v>
      </c>
      <c r="R422" s="95">
        <v>0.37330000000000002</v>
      </c>
      <c r="S422" s="220">
        <v>41950</v>
      </c>
      <c r="T422" s="136">
        <v>0.27289999999999998</v>
      </c>
      <c r="U422" s="221">
        <f t="shared" si="42"/>
        <v>0.73104741494776304</v>
      </c>
      <c r="V422" s="669"/>
      <c r="W422" s="669"/>
      <c r="X422" s="633"/>
      <c r="Y422" s="633"/>
      <c r="Z422" s="94" t="s">
        <v>548</v>
      </c>
      <c r="AA422" s="98"/>
    </row>
    <row r="423" spans="1:27" ht="15" hidden="1" customHeight="1">
      <c r="A423" s="475"/>
      <c r="B423" s="636"/>
      <c r="C423" s="639"/>
      <c r="D423" s="642"/>
      <c r="E423" s="645"/>
      <c r="F423" s="648"/>
      <c r="G423" s="627"/>
      <c r="H423" s="627"/>
      <c r="I423" s="648"/>
      <c r="J423" s="627"/>
      <c r="K423" s="627"/>
      <c r="L423" s="627"/>
      <c r="M423" s="627"/>
      <c r="N423" s="222"/>
      <c r="O423" s="222"/>
      <c r="P423" s="76" t="s">
        <v>27</v>
      </c>
      <c r="Q423" s="95"/>
      <c r="R423" s="95"/>
      <c r="S423" s="223">
        <v>41600</v>
      </c>
      <c r="T423" s="136">
        <v>0.50986200000000004</v>
      </c>
      <c r="U423" s="221"/>
      <c r="V423" s="669"/>
      <c r="W423" s="669"/>
      <c r="X423" s="633"/>
      <c r="Y423" s="633"/>
      <c r="Z423" s="94" t="s">
        <v>548</v>
      </c>
      <c r="AA423" s="98"/>
    </row>
    <row r="424" spans="1:27" ht="15" hidden="1" customHeight="1">
      <c r="A424" s="475"/>
      <c r="B424" s="636"/>
      <c r="C424" s="639"/>
      <c r="D424" s="642"/>
      <c r="E424" s="645"/>
      <c r="F424" s="648"/>
      <c r="G424" s="627"/>
      <c r="H424" s="627"/>
      <c r="I424" s="648"/>
      <c r="J424" s="627"/>
      <c r="K424" s="627"/>
      <c r="L424" s="627"/>
      <c r="M424" s="627"/>
      <c r="N424" s="222"/>
      <c r="O424" s="222"/>
      <c r="P424" s="76" t="s">
        <v>27</v>
      </c>
      <c r="Q424" s="95"/>
      <c r="R424" s="95"/>
      <c r="S424" s="223">
        <v>41603</v>
      </c>
      <c r="T424" s="136">
        <v>0.47223799999999999</v>
      </c>
      <c r="U424" s="221"/>
      <c r="V424" s="669"/>
      <c r="W424" s="669"/>
      <c r="X424" s="633"/>
      <c r="Y424" s="633"/>
      <c r="Z424" s="94" t="s">
        <v>548</v>
      </c>
      <c r="AA424" s="98"/>
    </row>
    <row r="425" spans="1:27" ht="15" hidden="1" customHeight="1">
      <c r="A425" s="475"/>
      <c r="B425" s="636"/>
      <c r="C425" s="639"/>
      <c r="D425" s="642"/>
      <c r="E425" s="645"/>
      <c r="F425" s="648"/>
      <c r="G425" s="627"/>
      <c r="H425" s="627"/>
      <c r="I425" s="648"/>
      <c r="J425" s="627"/>
      <c r="K425" s="627"/>
      <c r="L425" s="627"/>
      <c r="M425" s="627"/>
      <c r="N425" s="222"/>
      <c r="O425" s="222"/>
      <c r="P425" s="76" t="s">
        <v>27</v>
      </c>
      <c r="Q425" s="95"/>
      <c r="R425" s="95"/>
      <c r="S425" s="223">
        <v>41620</v>
      </c>
      <c r="T425" s="136">
        <v>40</v>
      </c>
      <c r="U425" s="221"/>
      <c r="V425" s="669"/>
      <c r="W425" s="669"/>
      <c r="X425" s="633"/>
      <c r="Y425" s="633"/>
      <c r="Z425" s="94" t="s">
        <v>548</v>
      </c>
      <c r="AA425" s="98"/>
    </row>
    <row r="426" spans="1:27" ht="15" hidden="1" customHeight="1">
      <c r="A426" s="475"/>
      <c r="B426" s="636"/>
      <c r="C426" s="639"/>
      <c r="D426" s="642"/>
      <c r="E426" s="645"/>
      <c r="F426" s="648"/>
      <c r="G426" s="627"/>
      <c r="H426" s="627"/>
      <c r="I426" s="648"/>
      <c r="J426" s="627"/>
      <c r="K426" s="627"/>
      <c r="L426" s="627"/>
      <c r="M426" s="627"/>
      <c r="N426" s="222"/>
      <c r="O426" s="222"/>
      <c r="P426" s="76" t="s">
        <v>27</v>
      </c>
      <c r="Q426" s="95"/>
      <c r="R426" s="95"/>
      <c r="S426" s="223">
        <v>41631</v>
      </c>
      <c r="T426" s="136">
        <v>0.59896199999999999</v>
      </c>
      <c r="U426" s="221"/>
      <c r="V426" s="669"/>
      <c r="W426" s="669"/>
      <c r="X426" s="633"/>
      <c r="Y426" s="633"/>
      <c r="Z426" s="94" t="s">
        <v>548</v>
      </c>
      <c r="AA426" s="98"/>
    </row>
    <row r="427" spans="1:27" ht="15" hidden="1" customHeight="1">
      <c r="A427" s="475"/>
      <c r="B427" s="636"/>
      <c r="C427" s="639"/>
      <c r="D427" s="642"/>
      <c r="E427" s="645"/>
      <c r="F427" s="648"/>
      <c r="G427" s="627"/>
      <c r="H427" s="627"/>
      <c r="I427" s="648"/>
      <c r="J427" s="627"/>
      <c r="K427" s="627"/>
      <c r="L427" s="627"/>
      <c r="M427" s="627"/>
      <c r="N427" s="222"/>
      <c r="O427" s="222"/>
      <c r="P427" s="76" t="s">
        <v>27</v>
      </c>
      <c r="Q427" s="95"/>
      <c r="R427" s="95"/>
      <c r="S427" s="223">
        <v>41667</v>
      </c>
      <c r="T427" s="136">
        <v>0.05</v>
      </c>
      <c r="U427" s="221"/>
      <c r="V427" s="669"/>
      <c r="W427" s="669"/>
      <c r="X427" s="633"/>
      <c r="Y427" s="633"/>
      <c r="Z427" s="94" t="s">
        <v>548</v>
      </c>
      <c r="AA427" s="98"/>
    </row>
    <row r="428" spans="1:27" ht="15" hidden="1" customHeight="1">
      <c r="A428" s="475"/>
      <c r="B428" s="636"/>
      <c r="C428" s="639"/>
      <c r="D428" s="642"/>
      <c r="E428" s="645"/>
      <c r="F428" s="648"/>
      <c r="G428" s="627"/>
      <c r="H428" s="627"/>
      <c r="I428" s="648"/>
      <c r="J428" s="627"/>
      <c r="K428" s="627"/>
      <c r="L428" s="627"/>
      <c r="M428" s="627"/>
      <c r="N428" s="222"/>
      <c r="O428" s="222"/>
      <c r="P428" s="76" t="s">
        <v>27</v>
      </c>
      <c r="Q428" s="95"/>
      <c r="R428" s="95"/>
      <c r="S428" s="223">
        <v>41709</v>
      </c>
      <c r="T428" s="136">
        <v>0.675624</v>
      </c>
      <c r="U428" s="221"/>
      <c r="V428" s="669"/>
      <c r="W428" s="669"/>
      <c r="X428" s="633"/>
      <c r="Y428" s="633"/>
      <c r="Z428" s="94" t="s">
        <v>548</v>
      </c>
      <c r="AA428" s="98"/>
    </row>
    <row r="429" spans="1:27">
      <c r="A429" s="475"/>
      <c r="B429" s="636"/>
      <c r="C429" s="639"/>
      <c r="D429" s="642"/>
      <c r="E429" s="645"/>
      <c r="F429" s="648"/>
      <c r="G429" s="627"/>
      <c r="H429" s="627"/>
      <c r="I429" s="648"/>
      <c r="J429" s="627"/>
      <c r="K429" s="627"/>
      <c r="L429" s="627"/>
      <c r="M429" s="627"/>
      <c r="N429" s="222"/>
      <c r="O429" s="222"/>
      <c r="P429" s="76" t="s">
        <v>36</v>
      </c>
      <c r="Q429" s="95"/>
      <c r="R429" s="95"/>
      <c r="S429" s="223">
        <v>41750</v>
      </c>
      <c r="T429" s="136">
        <v>28.267499999999998</v>
      </c>
      <c r="U429" s="221"/>
      <c r="V429" s="669"/>
      <c r="W429" s="669"/>
      <c r="X429" s="633"/>
      <c r="Y429" s="633"/>
      <c r="Z429" s="94" t="s">
        <v>548</v>
      </c>
      <c r="AA429" s="98"/>
    </row>
    <row r="430" spans="1:27" ht="15" hidden="1" customHeight="1">
      <c r="A430" s="475"/>
      <c r="B430" s="636"/>
      <c r="C430" s="639"/>
      <c r="D430" s="642"/>
      <c r="E430" s="645"/>
      <c r="F430" s="648"/>
      <c r="G430" s="627"/>
      <c r="H430" s="627"/>
      <c r="I430" s="648"/>
      <c r="J430" s="627"/>
      <c r="K430" s="627"/>
      <c r="L430" s="627"/>
      <c r="M430" s="627"/>
      <c r="N430" s="222"/>
      <c r="O430" s="222"/>
      <c r="P430" s="76" t="s">
        <v>27</v>
      </c>
      <c r="Q430" s="95"/>
      <c r="R430" s="95"/>
      <c r="S430" s="223">
        <v>41886</v>
      </c>
      <c r="T430" s="136">
        <v>0.46998599999999996</v>
      </c>
      <c r="U430" s="221"/>
      <c r="V430" s="669"/>
      <c r="W430" s="669"/>
      <c r="X430" s="633"/>
      <c r="Y430" s="633"/>
      <c r="Z430" s="94" t="s">
        <v>548</v>
      </c>
      <c r="AA430" s="98"/>
    </row>
    <row r="431" spans="1:27" ht="15" hidden="1" customHeight="1">
      <c r="A431" s="475"/>
      <c r="B431" s="636"/>
      <c r="C431" s="639"/>
      <c r="D431" s="642"/>
      <c r="E431" s="645"/>
      <c r="F431" s="648"/>
      <c r="G431" s="627"/>
      <c r="H431" s="627"/>
      <c r="I431" s="648"/>
      <c r="J431" s="627"/>
      <c r="K431" s="627"/>
      <c r="L431" s="627"/>
      <c r="M431" s="627"/>
      <c r="N431" s="222"/>
      <c r="O431" s="222"/>
      <c r="P431" s="76" t="s">
        <v>27</v>
      </c>
      <c r="Q431" s="95"/>
      <c r="R431" s="95"/>
      <c r="S431" s="223">
        <v>41898</v>
      </c>
      <c r="T431" s="136">
        <v>4</v>
      </c>
      <c r="U431" s="221"/>
      <c r="V431" s="669"/>
      <c r="W431" s="669"/>
      <c r="X431" s="633"/>
      <c r="Y431" s="633"/>
      <c r="Z431" s="94" t="s">
        <v>548</v>
      </c>
      <c r="AA431" s="98"/>
    </row>
    <row r="432" spans="1:27">
      <c r="A432" s="475"/>
      <c r="B432" s="637"/>
      <c r="C432" s="640"/>
      <c r="D432" s="643"/>
      <c r="E432" s="646"/>
      <c r="F432" s="649"/>
      <c r="G432" s="628"/>
      <c r="H432" s="628"/>
      <c r="I432" s="649"/>
      <c r="J432" s="628"/>
      <c r="K432" s="628"/>
      <c r="L432" s="628"/>
      <c r="M432" s="628"/>
      <c r="N432" s="222"/>
      <c r="O432" s="222"/>
      <c r="P432" s="76" t="s">
        <v>36</v>
      </c>
      <c r="Q432" s="95"/>
      <c r="R432" s="95"/>
      <c r="S432" s="223">
        <v>41643</v>
      </c>
      <c r="T432" s="136">
        <v>37.107908999999999</v>
      </c>
      <c r="U432" s="221"/>
      <c r="V432" s="670"/>
      <c r="W432" s="670"/>
      <c r="X432" s="634"/>
      <c r="Y432" s="634"/>
      <c r="Z432" s="94" t="s">
        <v>548</v>
      </c>
      <c r="AA432" s="98"/>
    </row>
    <row r="433" spans="1:27" ht="24" hidden="1" customHeight="1">
      <c r="A433" s="475"/>
      <c r="B433" s="650">
        <v>8</v>
      </c>
      <c r="C433" s="647" t="s">
        <v>1947</v>
      </c>
      <c r="D433" s="671">
        <v>40341.824690000001</v>
      </c>
      <c r="E433" s="674" t="s">
        <v>2185</v>
      </c>
      <c r="F433" s="629" t="s">
        <v>1035</v>
      </c>
      <c r="G433" s="665">
        <v>166.698579</v>
      </c>
      <c r="H433" s="626"/>
      <c r="I433" s="647" t="s">
        <v>1036</v>
      </c>
      <c r="J433" s="626">
        <v>30.717700000000001</v>
      </c>
      <c r="K433" s="136"/>
      <c r="L433" s="136"/>
      <c r="M433" s="626">
        <f>J433+G433</f>
        <v>197.416279</v>
      </c>
      <c r="N433" s="94">
        <v>20130809</v>
      </c>
      <c r="O433" s="94" t="s">
        <v>1061</v>
      </c>
      <c r="P433" s="76" t="s">
        <v>27</v>
      </c>
      <c r="Q433" s="95">
        <v>3.12</v>
      </c>
      <c r="R433" s="95">
        <v>2.5</v>
      </c>
      <c r="S433" s="94" t="s">
        <v>692</v>
      </c>
      <c r="T433" s="136">
        <v>1.7289000000000001</v>
      </c>
      <c r="U433" s="224">
        <f t="shared" ref="U433:U442" si="43">T433/Q433</f>
        <v>0.55413461538461539</v>
      </c>
      <c r="V433" s="629">
        <f>SUM(Q433:Q444)</f>
        <v>226.61</v>
      </c>
      <c r="W433" s="629">
        <f>SUM(T433:T444)</f>
        <v>118.19591400000002</v>
      </c>
      <c r="X433" s="632">
        <f>W433/V433</f>
        <v>0.5215829575040819</v>
      </c>
      <c r="Y433" s="632">
        <f>W433/M433</f>
        <v>0.59871412124022461</v>
      </c>
      <c r="Z433" s="94" t="s">
        <v>1038</v>
      </c>
      <c r="AA433" s="98"/>
    </row>
    <row r="434" spans="1:27" ht="24" hidden="1" customHeight="1">
      <c r="A434" s="475"/>
      <c r="B434" s="651"/>
      <c r="C434" s="648"/>
      <c r="D434" s="672"/>
      <c r="E434" s="675"/>
      <c r="F434" s="677"/>
      <c r="G434" s="666"/>
      <c r="H434" s="627"/>
      <c r="I434" s="648"/>
      <c r="J434" s="627"/>
      <c r="K434" s="136"/>
      <c r="L434" s="136"/>
      <c r="M434" s="627"/>
      <c r="N434" s="94">
        <v>20131026</v>
      </c>
      <c r="O434" s="94" t="s">
        <v>1062</v>
      </c>
      <c r="P434" s="76" t="s">
        <v>27</v>
      </c>
      <c r="Q434" s="95">
        <v>0.24</v>
      </c>
      <c r="R434" s="95">
        <v>0.24</v>
      </c>
      <c r="S434" s="94" t="s">
        <v>692</v>
      </c>
      <c r="T434" s="136">
        <v>0.18</v>
      </c>
      <c r="U434" s="224">
        <f t="shared" si="43"/>
        <v>0.75</v>
      </c>
      <c r="V434" s="630"/>
      <c r="W434" s="630"/>
      <c r="X434" s="633"/>
      <c r="Y434" s="633"/>
      <c r="Z434" s="94" t="s">
        <v>1038</v>
      </c>
      <c r="AA434" s="98"/>
    </row>
    <row r="435" spans="1:27" ht="24" hidden="1" customHeight="1">
      <c r="A435" s="475"/>
      <c r="B435" s="651"/>
      <c r="C435" s="648"/>
      <c r="D435" s="672"/>
      <c r="E435" s="675"/>
      <c r="F435" s="677"/>
      <c r="G435" s="666"/>
      <c r="H435" s="627"/>
      <c r="I435" s="648"/>
      <c r="J435" s="627"/>
      <c r="K435" s="136"/>
      <c r="L435" s="136"/>
      <c r="M435" s="627"/>
      <c r="N435" s="94">
        <v>20131202</v>
      </c>
      <c r="O435" s="94" t="s">
        <v>1063</v>
      </c>
      <c r="P435" s="76" t="s">
        <v>27</v>
      </c>
      <c r="Q435" s="95">
        <v>1.23</v>
      </c>
      <c r="R435" s="95">
        <v>1</v>
      </c>
      <c r="S435" s="94" t="s">
        <v>692</v>
      </c>
      <c r="T435" s="136">
        <v>0.88</v>
      </c>
      <c r="U435" s="224">
        <f t="shared" si="43"/>
        <v>0.71544715447154472</v>
      </c>
      <c r="V435" s="630"/>
      <c r="W435" s="630"/>
      <c r="X435" s="633"/>
      <c r="Y435" s="633"/>
      <c r="Z435" s="94" t="s">
        <v>1038</v>
      </c>
      <c r="AA435" s="98"/>
    </row>
    <row r="436" spans="1:27" ht="15" hidden="1" customHeight="1">
      <c r="A436" s="475"/>
      <c r="B436" s="651"/>
      <c r="C436" s="648"/>
      <c r="D436" s="672"/>
      <c r="E436" s="675"/>
      <c r="F436" s="677"/>
      <c r="G436" s="666"/>
      <c r="H436" s="627"/>
      <c r="I436" s="648"/>
      <c r="J436" s="627"/>
      <c r="K436" s="136"/>
      <c r="L436" s="136"/>
      <c r="M436" s="627"/>
      <c r="N436" s="94">
        <v>20131210</v>
      </c>
      <c r="O436" s="94" t="s">
        <v>1948</v>
      </c>
      <c r="P436" s="76" t="s">
        <v>27</v>
      </c>
      <c r="Q436" s="95">
        <v>108</v>
      </c>
      <c r="R436" s="95">
        <v>46</v>
      </c>
      <c r="S436" s="94" t="s">
        <v>692</v>
      </c>
      <c r="T436" s="136">
        <v>46</v>
      </c>
      <c r="U436" s="224">
        <f t="shared" si="43"/>
        <v>0.42592592592592593</v>
      </c>
      <c r="V436" s="630"/>
      <c r="W436" s="630"/>
      <c r="X436" s="633"/>
      <c r="Y436" s="633"/>
      <c r="Z436" s="94" t="s">
        <v>1038</v>
      </c>
      <c r="AA436" s="98"/>
    </row>
    <row r="437" spans="1:27" ht="24" hidden="1" customHeight="1">
      <c r="A437" s="475"/>
      <c r="B437" s="651"/>
      <c r="C437" s="648"/>
      <c r="D437" s="672"/>
      <c r="E437" s="675"/>
      <c r="F437" s="677"/>
      <c r="G437" s="666"/>
      <c r="H437" s="627"/>
      <c r="I437" s="648"/>
      <c r="J437" s="627"/>
      <c r="K437" s="136"/>
      <c r="L437" s="136"/>
      <c r="M437" s="627"/>
      <c r="N437" s="94">
        <v>20131213</v>
      </c>
      <c r="O437" s="94" t="s">
        <v>1064</v>
      </c>
      <c r="P437" s="76" t="s">
        <v>27</v>
      </c>
      <c r="Q437" s="95">
        <v>0.98</v>
      </c>
      <c r="R437" s="95">
        <v>0.98</v>
      </c>
      <c r="S437" s="94" t="s">
        <v>692</v>
      </c>
      <c r="T437" s="136">
        <v>0.84</v>
      </c>
      <c r="U437" s="224">
        <f t="shared" si="43"/>
        <v>0.8571428571428571</v>
      </c>
      <c r="V437" s="630"/>
      <c r="W437" s="630"/>
      <c r="X437" s="633"/>
      <c r="Y437" s="633"/>
      <c r="Z437" s="94" t="s">
        <v>1038</v>
      </c>
      <c r="AA437" s="98"/>
    </row>
    <row r="438" spans="1:27" ht="24" hidden="1" customHeight="1">
      <c r="A438" s="475"/>
      <c r="B438" s="651"/>
      <c r="C438" s="648"/>
      <c r="D438" s="672"/>
      <c r="E438" s="675"/>
      <c r="F438" s="677"/>
      <c r="G438" s="666"/>
      <c r="H438" s="627"/>
      <c r="I438" s="648"/>
      <c r="J438" s="627"/>
      <c r="K438" s="136"/>
      <c r="L438" s="136"/>
      <c r="M438" s="627"/>
      <c r="N438" s="94">
        <v>20140117</v>
      </c>
      <c r="O438" s="94" t="s">
        <v>1949</v>
      </c>
      <c r="P438" s="76" t="s">
        <v>27</v>
      </c>
      <c r="Q438" s="95">
        <v>3.37</v>
      </c>
      <c r="R438" s="95">
        <v>3.37</v>
      </c>
      <c r="S438" s="94" t="s">
        <v>1065</v>
      </c>
      <c r="T438" s="136">
        <v>2.89</v>
      </c>
      <c r="U438" s="224">
        <f t="shared" si="43"/>
        <v>0.85756676557863498</v>
      </c>
      <c r="V438" s="630"/>
      <c r="W438" s="630"/>
      <c r="X438" s="633"/>
      <c r="Y438" s="633"/>
      <c r="Z438" s="94" t="s">
        <v>1038</v>
      </c>
      <c r="AA438" s="98"/>
    </row>
    <row r="439" spans="1:27" ht="15" hidden="1" customHeight="1">
      <c r="A439" s="475"/>
      <c r="B439" s="651"/>
      <c r="C439" s="648"/>
      <c r="D439" s="672"/>
      <c r="E439" s="675"/>
      <c r="F439" s="677"/>
      <c r="G439" s="666"/>
      <c r="H439" s="627"/>
      <c r="I439" s="648"/>
      <c r="J439" s="627"/>
      <c r="K439" s="136"/>
      <c r="L439" s="136"/>
      <c r="M439" s="627"/>
      <c r="N439" s="94">
        <v>20140311</v>
      </c>
      <c r="O439" s="94" t="s">
        <v>1066</v>
      </c>
      <c r="P439" s="76" t="s">
        <v>27</v>
      </c>
      <c r="Q439" s="95">
        <v>2.4700000000000002</v>
      </c>
      <c r="R439" s="95">
        <v>2</v>
      </c>
      <c r="S439" s="94" t="s">
        <v>1067</v>
      </c>
      <c r="T439" s="136">
        <v>1.2941</v>
      </c>
      <c r="U439" s="224">
        <f t="shared" si="43"/>
        <v>0.5239271255060729</v>
      </c>
      <c r="V439" s="630"/>
      <c r="W439" s="630"/>
      <c r="X439" s="633"/>
      <c r="Y439" s="633"/>
      <c r="Z439" s="94" t="s">
        <v>1038</v>
      </c>
      <c r="AA439" s="98"/>
    </row>
    <row r="440" spans="1:27" ht="24" hidden="1" customHeight="1">
      <c r="A440" s="475"/>
      <c r="B440" s="651"/>
      <c r="C440" s="648"/>
      <c r="D440" s="672"/>
      <c r="E440" s="675"/>
      <c r="F440" s="677"/>
      <c r="G440" s="666"/>
      <c r="H440" s="627"/>
      <c r="I440" s="648"/>
      <c r="J440" s="627"/>
      <c r="K440" s="136"/>
      <c r="L440" s="136"/>
      <c r="M440" s="627"/>
      <c r="N440" s="94">
        <v>20140401</v>
      </c>
      <c r="O440" s="94" t="s">
        <v>1068</v>
      </c>
      <c r="P440" s="76" t="s">
        <v>27</v>
      </c>
      <c r="Q440" s="95">
        <v>1.72</v>
      </c>
      <c r="R440" s="95">
        <v>1</v>
      </c>
      <c r="S440" s="94" t="s">
        <v>1067</v>
      </c>
      <c r="T440" s="136">
        <v>0.96</v>
      </c>
      <c r="U440" s="224">
        <f t="shared" si="43"/>
        <v>0.55813953488372092</v>
      </c>
      <c r="V440" s="630"/>
      <c r="W440" s="630"/>
      <c r="X440" s="633"/>
      <c r="Y440" s="633"/>
      <c r="Z440" s="94" t="s">
        <v>1038</v>
      </c>
      <c r="AA440" s="98"/>
    </row>
    <row r="441" spans="1:27" ht="24" hidden="1" customHeight="1">
      <c r="A441" s="475"/>
      <c r="B441" s="651"/>
      <c r="C441" s="648"/>
      <c r="D441" s="672"/>
      <c r="E441" s="675"/>
      <c r="F441" s="677"/>
      <c r="G441" s="666"/>
      <c r="H441" s="627"/>
      <c r="I441" s="648"/>
      <c r="J441" s="627"/>
      <c r="K441" s="136"/>
      <c r="L441" s="136"/>
      <c r="M441" s="627"/>
      <c r="N441" s="94">
        <v>20140505</v>
      </c>
      <c r="O441" s="94" t="s">
        <v>1069</v>
      </c>
      <c r="P441" s="76" t="s">
        <v>27</v>
      </c>
      <c r="Q441" s="95">
        <v>1.48</v>
      </c>
      <c r="R441" s="95">
        <v>1</v>
      </c>
      <c r="S441" s="94" t="s">
        <v>1070</v>
      </c>
      <c r="T441" s="136">
        <v>0.88</v>
      </c>
      <c r="U441" s="224">
        <f t="shared" si="43"/>
        <v>0.59459459459459463</v>
      </c>
      <c r="V441" s="630"/>
      <c r="W441" s="630"/>
      <c r="X441" s="633"/>
      <c r="Y441" s="633"/>
      <c r="Z441" s="94" t="s">
        <v>1038</v>
      </c>
      <c r="AA441" s="98"/>
    </row>
    <row r="442" spans="1:27" ht="24" hidden="1" customHeight="1">
      <c r="A442" s="475"/>
      <c r="B442" s="651"/>
      <c r="C442" s="648"/>
      <c r="D442" s="672"/>
      <c r="E442" s="675"/>
      <c r="F442" s="677"/>
      <c r="G442" s="666"/>
      <c r="H442" s="627"/>
      <c r="I442" s="648"/>
      <c r="J442" s="627"/>
      <c r="K442" s="136"/>
      <c r="L442" s="136"/>
      <c r="M442" s="627"/>
      <c r="N442" s="94">
        <v>20140820</v>
      </c>
      <c r="O442" s="94" t="s">
        <v>1071</v>
      </c>
      <c r="P442" s="76" t="s">
        <v>27</v>
      </c>
      <c r="Q442" s="95">
        <v>52</v>
      </c>
      <c r="R442" s="95">
        <v>24</v>
      </c>
      <c r="S442" s="94" t="s">
        <v>1070</v>
      </c>
      <c r="T442" s="136">
        <v>24</v>
      </c>
      <c r="U442" s="224">
        <f t="shared" si="43"/>
        <v>0.46153846153846156</v>
      </c>
      <c r="V442" s="630"/>
      <c r="W442" s="630"/>
      <c r="X442" s="633"/>
      <c r="Y442" s="633"/>
      <c r="Z442" s="94" t="s">
        <v>1038</v>
      </c>
      <c r="AA442" s="98"/>
    </row>
    <row r="443" spans="1:27" ht="15" hidden="1" customHeight="1">
      <c r="A443" s="475"/>
      <c r="B443" s="651"/>
      <c r="C443" s="648"/>
      <c r="D443" s="672"/>
      <c r="E443" s="675"/>
      <c r="F443" s="677"/>
      <c r="G443" s="666"/>
      <c r="H443" s="627"/>
      <c r="I443" s="648"/>
      <c r="J443" s="627"/>
      <c r="K443" s="136"/>
      <c r="L443" s="136"/>
      <c r="M443" s="627"/>
      <c r="N443" s="94">
        <v>20150102</v>
      </c>
      <c r="O443" s="94" t="s">
        <v>1072</v>
      </c>
      <c r="P443" s="76" t="s">
        <v>27</v>
      </c>
      <c r="Q443" s="95"/>
      <c r="R443" s="95"/>
      <c r="S443" s="94" t="s">
        <v>1073</v>
      </c>
      <c r="T443" s="136"/>
      <c r="U443" s="224"/>
      <c r="V443" s="630"/>
      <c r="W443" s="630"/>
      <c r="X443" s="633"/>
      <c r="Y443" s="633"/>
      <c r="Z443" s="94" t="s">
        <v>1038</v>
      </c>
      <c r="AA443" s="98"/>
    </row>
    <row r="444" spans="1:27" ht="48">
      <c r="A444" s="475"/>
      <c r="B444" s="652"/>
      <c r="C444" s="649"/>
      <c r="D444" s="673"/>
      <c r="E444" s="676"/>
      <c r="F444" s="678"/>
      <c r="G444" s="667"/>
      <c r="H444" s="628"/>
      <c r="I444" s="649"/>
      <c r="J444" s="628"/>
      <c r="K444" s="136"/>
      <c r="L444" s="136"/>
      <c r="M444" s="628"/>
      <c r="N444" s="94">
        <v>20140522</v>
      </c>
      <c r="O444" s="94" t="s">
        <v>1950</v>
      </c>
      <c r="P444" s="76" t="s">
        <v>36</v>
      </c>
      <c r="Q444" s="95">
        <v>52</v>
      </c>
      <c r="R444" s="95">
        <v>52</v>
      </c>
      <c r="S444" s="94"/>
      <c r="T444" s="136">
        <v>38.542914000000003</v>
      </c>
      <c r="U444" s="224">
        <f t="shared" ref="U444:U468" si="44">T444/Q444</f>
        <v>0.74120988461538473</v>
      </c>
      <c r="V444" s="631"/>
      <c r="W444" s="631"/>
      <c r="X444" s="634"/>
      <c r="Y444" s="634"/>
      <c r="Z444" s="94" t="s">
        <v>1038</v>
      </c>
      <c r="AA444" s="98"/>
    </row>
    <row r="445" spans="1:27" ht="24" hidden="1" customHeight="1">
      <c r="A445" s="475"/>
      <c r="B445" s="213">
        <v>9</v>
      </c>
      <c r="C445" s="214" t="s">
        <v>1951</v>
      </c>
      <c r="D445" s="392">
        <v>13638.76</v>
      </c>
      <c r="E445" s="384" t="s">
        <v>2186</v>
      </c>
      <c r="F445" s="94"/>
      <c r="G445" s="136"/>
      <c r="H445" s="136"/>
      <c r="I445" s="94" t="s">
        <v>244</v>
      </c>
      <c r="J445" s="136">
        <v>9.1270299999999995</v>
      </c>
      <c r="K445" s="136"/>
      <c r="L445" s="136"/>
      <c r="M445" s="136">
        <f>SUM(G445,H445,J445,L445)</f>
        <v>9.1270299999999995</v>
      </c>
      <c r="N445" s="94"/>
      <c r="O445" s="94"/>
      <c r="P445" s="94"/>
      <c r="Q445" s="95"/>
      <c r="R445" s="95"/>
      <c r="S445" s="94"/>
      <c r="T445" s="136"/>
      <c r="U445" s="215"/>
      <c r="V445" s="212"/>
      <c r="W445" s="212"/>
      <c r="X445" s="212"/>
      <c r="Y445" s="212"/>
      <c r="Z445" s="94" t="s">
        <v>1038</v>
      </c>
      <c r="AA445" s="98"/>
    </row>
    <row r="446" spans="1:27" ht="72" hidden="1" customHeight="1">
      <c r="A446" s="475"/>
      <c r="B446" s="659">
        <v>10</v>
      </c>
      <c r="C446" s="638" t="s">
        <v>1952</v>
      </c>
      <c r="D446" s="662">
        <v>47470.22</v>
      </c>
      <c r="E446" s="662" t="s">
        <v>2187</v>
      </c>
      <c r="F446" s="647" t="s">
        <v>39</v>
      </c>
      <c r="G446" s="626">
        <f>ROUND(1871462.54/10000,0)</f>
        <v>187</v>
      </c>
      <c r="H446" s="626">
        <f>ROUND(40000/10000,0)</f>
        <v>4</v>
      </c>
      <c r="I446" s="94" t="s">
        <v>250</v>
      </c>
      <c r="J446" s="136">
        <f>ROUND(198812/10000,0)</f>
        <v>20</v>
      </c>
      <c r="K446" s="136"/>
      <c r="L446" s="136"/>
      <c r="M446" s="626">
        <f>G446+H446+J446+J447</f>
        <v>247</v>
      </c>
      <c r="N446" s="225" t="s">
        <v>1074</v>
      </c>
      <c r="O446" s="93" t="s">
        <v>1953</v>
      </c>
      <c r="P446" s="76" t="s">
        <v>27</v>
      </c>
      <c r="Q446" s="95">
        <v>4.9000000000000004</v>
      </c>
      <c r="R446" s="95">
        <f>ROUND(2.8+2.8/3,2)</f>
        <v>3.73</v>
      </c>
      <c r="S446" s="226" t="s">
        <v>1075</v>
      </c>
      <c r="T446" s="136">
        <f>ROUND(2.8+2.8/3,2)</f>
        <v>3.73</v>
      </c>
      <c r="U446" s="227">
        <f t="shared" si="44"/>
        <v>0.76122448979591828</v>
      </c>
      <c r="V446" s="629">
        <f>SUM(Q446:Q466)</f>
        <v>108.07000000000001</v>
      </c>
      <c r="W446" s="629">
        <f>SUM(T446:T466)</f>
        <v>83</v>
      </c>
      <c r="X446" s="632">
        <f>W446/V446</f>
        <v>0.76802072730637549</v>
      </c>
      <c r="Y446" s="632">
        <f>W446/M446</f>
        <v>0.33603238866396762</v>
      </c>
      <c r="Z446" s="94" t="s">
        <v>1038</v>
      </c>
      <c r="AA446" s="98"/>
    </row>
    <row r="447" spans="1:27" ht="60" hidden="1" customHeight="1">
      <c r="A447" s="475"/>
      <c r="B447" s="660"/>
      <c r="C447" s="639"/>
      <c r="D447" s="663"/>
      <c r="E447" s="663"/>
      <c r="F447" s="648"/>
      <c r="G447" s="627"/>
      <c r="H447" s="627"/>
      <c r="I447" s="94" t="s">
        <v>550</v>
      </c>
      <c r="J447" s="136">
        <f>ROUND(39762.4015*9/10000,0)</f>
        <v>36</v>
      </c>
      <c r="K447" s="136"/>
      <c r="L447" s="136"/>
      <c r="M447" s="628"/>
      <c r="N447" s="225" t="s">
        <v>1074</v>
      </c>
      <c r="O447" s="93" t="s">
        <v>1954</v>
      </c>
      <c r="P447" s="76" t="s">
        <v>27</v>
      </c>
      <c r="Q447" s="95">
        <v>1.2</v>
      </c>
      <c r="R447" s="95">
        <f>ROUND(0.58+0.58/3,2)</f>
        <v>0.77</v>
      </c>
      <c r="S447" s="226" t="s">
        <v>1075</v>
      </c>
      <c r="T447" s="136">
        <f>ROUND(0.58+0.58/3,2)</f>
        <v>0.77</v>
      </c>
      <c r="U447" s="227">
        <f t="shared" si="44"/>
        <v>0.64166666666666672</v>
      </c>
      <c r="V447" s="630"/>
      <c r="W447" s="630"/>
      <c r="X447" s="633"/>
      <c r="Y447" s="633"/>
      <c r="Z447" s="94" t="s">
        <v>1038</v>
      </c>
      <c r="AA447" s="98"/>
    </row>
    <row r="448" spans="1:27" ht="72" hidden="1" customHeight="1">
      <c r="A448" s="475"/>
      <c r="B448" s="660"/>
      <c r="C448" s="639"/>
      <c r="D448" s="663"/>
      <c r="E448" s="663"/>
      <c r="F448" s="648"/>
      <c r="G448" s="627"/>
      <c r="H448" s="627"/>
      <c r="I448" s="94"/>
      <c r="J448" s="136"/>
      <c r="K448" s="136"/>
      <c r="L448" s="136"/>
      <c r="M448" s="136"/>
      <c r="N448" s="93" t="s">
        <v>1076</v>
      </c>
      <c r="O448" s="93" t="s">
        <v>1955</v>
      </c>
      <c r="P448" s="76" t="s">
        <v>27</v>
      </c>
      <c r="Q448" s="95">
        <v>0.59</v>
      </c>
      <c r="R448" s="95">
        <f>ROUND(0.35+0.35/3,2)</f>
        <v>0.47</v>
      </c>
      <c r="S448" s="226" t="s">
        <v>1077</v>
      </c>
      <c r="T448" s="136">
        <f>ROUND(0.35+0.35/3,2)</f>
        <v>0.47</v>
      </c>
      <c r="U448" s="227">
        <f t="shared" si="44"/>
        <v>0.79661016949152541</v>
      </c>
      <c r="V448" s="630"/>
      <c r="W448" s="630"/>
      <c r="X448" s="633"/>
      <c r="Y448" s="633"/>
      <c r="Z448" s="94" t="s">
        <v>1038</v>
      </c>
      <c r="AA448" s="98"/>
    </row>
    <row r="449" spans="1:27" ht="48" hidden="1" customHeight="1">
      <c r="A449" s="475"/>
      <c r="B449" s="660"/>
      <c r="C449" s="639"/>
      <c r="D449" s="663"/>
      <c r="E449" s="663"/>
      <c r="F449" s="648"/>
      <c r="G449" s="627"/>
      <c r="H449" s="627"/>
      <c r="I449" s="94"/>
      <c r="J449" s="136"/>
      <c r="K449" s="136"/>
      <c r="L449" s="136"/>
      <c r="M449" s="136"/>
      <c r="N449" s="225" t="s">
        <v>670</v>
      </c>
      <c r="O449" s="93" t="s">
        <v>1956</v>
      </c>
      <c r="P449" s="76" t="s">
        <v>27</v>
      </c>
      <c r="Q449" s="95">
        <v>1.75</v>
      </c>
      <c r="R449" s="95">
        <f>ROUND(0.84+0.84/3,2)</f>
        <v>1.1200000000000001</v>
      </c>
      <c r="S449" s="226" t="s">
        <v>1075</v>
      </c>
      <c r="T449" s="136">
        <f>ROUND(0.84+0.84/3,2)</f>
        <v>1.1200000000000001</v>
      </c>
      <c r="U449" s="227">
        <f t="shared" si="44"/>
        <v>0.64</v>
      </c>
      <c r="V449" s="630"/>
      <c r="W449" s="630"/>
      <c r="X449" s="633"/>
      <c r="Y449" s="633"/>
      <c r="Z449" s="94" t="s">
        <v>1038</v>
      </c>
      <c r="AA449" s="98"/>
    </row>
    <row r="450" spans="1:27" ht="84">
      <c r="A450" s="475"/>
      <c r="B450" s="660"/>
      <c r="C450" s="639"/>
      <c r="D450" s="663"/>
      <c r="E450" s="663"/>
      <c r="F450" s="648"/>
      <c r="G450" s="627"/>
      <c r="H450" s="627"/>
      <c r="I450" s="94"/>
      <c r="J450" s="136"/>
      <c r="K450" s="136"/>
      <c r="L450" s="136"/>
      <c r="M450" s="136"/>
      <c r="N450" s="93" t="s">
        <v>1078</v>
      </c>
      <c r="O450" s="93" t="s">
        <v>1957</v>
      </c>
      <c r="P450" s="76" t="s">
        <v>36</v>
      </c>
      <c r="Q450" s="95">
        <v>6.1</v>
      </c>
      <c r="R450" s="95">
        <v>130</v>
      </c>
      <c r="S450" s="228" t="s">
        <v>1075</v>
      </c>
      <c r="T450" s="136">
        <v>9.1999999999999993</v>
      </c>
      <c r="U450" s="229">
        <f t="shared" si="44"/>
        <v>1.5081967213114753</v>
      </c>
      <c r="V450" s="630"/>
      <c r="W450" s="630"/>
      <c r="X450" s="633"/>
      <c r="Y450" s="633"/>
      <c r="Z450" s="94" t="s">
        <v>1038</v>
      </c>
      <c r="AA450" s="98"/>
    </row>
    <row r="451" spans="1:27" ht="60" hidden="1" customHeight="1">
      <c r="A451" s="475"/>
      <c r="B451" s="660"/>
      <c r="C451" s="639"/>
      <c r="D451" s="663"/>
      <c r="E451" s="663"/>
      <c r="F451" s="648"/>
      <c r="G451" s="627"/>
      <c r="H451" s="627"/>
      <c r="I451" s="94"/>
      <c r="J451" s="136"/>
      <c r="K451" s="136"/>
      <c r="L451" s="136"/>
      <c r="M451" s="136"/>
      <c r="N451" s="225" t="s">
        <v>1079</v>
      </c>
      <c r="O451" s="93" t="s">
        <v>1958</v>
      </c>
      <c r="P451" s="76" t="s">
        <v>27</v>
      </c>
      <c r="Q451" s="95">
        <v>12.86</v>
      </c>
      <c r="R451" s="95">
        <v>4</v>
      </c>
      <c r="S451" s="226" t="s">
        <v>385</v>
      </c>
      <c r="T451" s="136">
        <v>4</v>
      </c>
      <c r="U451" s="227">
        <f t="shared" si="44"/>
        <v>0.31104199066874028</v>
      </c>
      <c r="V451" s="630"/>
      <c r="W451" s="630"/>
      <c r="X451" s="633"/>
      <c r="Y451" s="633"/>
      <c r="Z451" s="94" t="s">
        <v>1038</v>
      </c>
      <c r="AA451" s="98"/>
    </row>
    <row r="452" spans="1:27" ht="48" hidden="1" customHeight="1">
      <c r="A452" s="475"/>
      <c r="B452" s="660"/>
      <c r="C452" s="639"/>
      <c r="D452" s="663"/>
      <c r="E452" s="663"/>
      <c r="F452" s="648"/>
      <c r="G452" s="627"/>
      <c r="H452" s="627"/>
      <c r="I452" s="94"/>
      <c r="J452" s="136"/>
      <c r="K452" s="136"/>
      <c r="L452" s="136"/>
      <c r="M452" s="136"/>
      <c r="N452" s="225" t="s">
        <v>1080</v>
      </c>
      <c r="O452" s="93" t="s">
        <v>1959</v>
      </c>
      <c r="P452" s="76" t="s">
        <v>27</v>
      </c>
      <c r="Q452" s="95">
        <v>1.6</v>
      </c>
      <c r="R452" s="95">
        <v>1.2</v>
      </c>
      <c r="S452" s="226" t="s">
        <v>385</v>
      </c>
      <c r="T452" s="136">
        <v>1.2</v>
      </c>
      <c r="U452" s="227">
        <f t="shared" si="44"/>
        <v>0.74999999999999989</v>
      </c>
      <c r="V452" s="630"/>
      <c r="W452" s="630"/>
      <c r="X452" s="633"/>
      <c r="Y452" s="633"/>
      <c r="Z452" s="94" t="s">
        <v>1038</v>
      </c>
      <c r="AA452" s="98"/>
    </row>
    <row r="453" spans="1:27" ht="60" hidden="1" customHeight="1">
      <c r="A453" s="475"/>
      <c r="B453" s="660"/>
      <c r="C453" s="639"/>
      <c r="D453" s="663"/>
      <c r="E453" s="663"/>
      <c r="F453" s="648"/>
      <c r="G453" s="627"/>
      <c r="H453" s="627"/>
      <c r="I453" s="94"/>
      <c r="J453" s="136"/>
      <c r="K453" s="136"/>
      <c r="L453" s="136"/>
      <c r="M453" s="136"/>
      <c r="N453" s="93" t="s">
        <v>1081</v>
      </c>
      <c r="O453" s="93" t="s">
        <v>1082</v>
      </c>
      <c r="P453" s="76" t="s">
        <v>27</v>
      </c>
      <c r="Q453" s="95">
        <v>2.97</v>
      </c>
      <c r="R453" s="95">
        <f>ROUND(1.4+1.4/3,2)</f>
        <v>1.87</v>
      </c>
      <c r="S453" s="226" t="s">
        <v>682</v>
      </c>
      <c r="T453" s="136">
        <f>ROUND(1.4+1.4/3,2)</f>
        <v>1.87</v>
      </c>
      <c r="U453" s="227">
        <f t="shared" si="44"/>
        <v>0.62962962962962965</v>
      </c>
      <c r="V453" s="630"/>
      <c r="W453" s="630"/>
      <c r="X453" s="633"/>
      <c r="Y453" s="633"/>
      <c r="Z453" s="94" t="s">
        <v>1038</v>
      </c>
      <c r="AA453" s="98"/>
    </row>
    <row r="454" spans="1:27" ht="60" hidden="1" customHeight="1">
      <c r="A454" s="475"/>
      <c r="B454" s="660"/>
      <c r="C454" s="639"/>
      <c r="D454" s="663"/>
      <c r="E454" s="663"/>
      <c r="F454" s="648"/>
      <c r="G454" s="627"/>
      <c r="H454" s="627"/>
      <c r="I454" s="94"/>
      <c r="J454" s="136"/>
      <c r="K454" s="136"/>
      <c r="L454" s="136"/>
      <c r="M454" s="136"/>
      <c r="N454" s="225" t="s">
        <v>1083</v>
      </c>
      <c r="O454" s="93" t="s">
        <v>1960</v>
      </c>
      <c r="P454" s="76" t="s">
        <v>27</v>
      </c>
      <c r="Q454" s="95">
        <v>1.2</v>
      </c>
      <c r="R454" s="95">
        <v>0.95</v>
      </c>
      <c r="S454" s="226" t="s">
        <v>682</v>
      </c>
      <c r="T454" s="136">
        <v>0.95</v>
      </c>
      <c r="U454" s="227">
        <f t="shared" si="44"/>
        <v>0.79166666666666663</v>
      </c>
      <c r="V454" s="630"/>
      <c r="W454" s="630"/>
      <c r="X454" s="633"/>
      <c r="Y454" s="633"/>
      <c r="Z454" s="94" t="s">
        <v>1038</v>
      </c>
      <c r="AA454" s="98"/>
    </row>
    <row r="455" spans="1:27" ht="48" hidden="1" customHeight="1">
      <c r="A455" s="475"/>
      <c r="B455" s="660"/>
      <c r="C455" s="639"/>
      <c r="D455" s="663"/>
      <c r="E455" s="663"/>
      <c r="F455" s="648"/>
      <c r="G455" s="627"/>
      <c r="H455" s="627"/>
      <c r="I455" s="94"/>
      <c r="J455" s="136"/>
      <c r="K455" s="136"/>
      <c r="L455" s="136"/>
      <c r="M455" s="136"/>
      <c r="N455" s="225" t="s">
        <v>1084</v>
      </c>
      <c r="O455" s="93" t="s">
        <v>1961</v>
      </c>
      <c r="P455" s="76" t="s">
        <v>27</v>
      </c>
      <c r="Q455" s="95">
        <v>0.6</v>
      </c>
      <c r="R455" s="95">
        <v>0.47</v>
      </c>
      <c r="S455" s="226" t="s">
        <v>682</v>
      </c>
      <c r="T455" s="136">
        <v>0.47</v>
      </c>
      <c r="U455" s="227">
        <f t="shared" si="44"/>
        <v>0.78333333333333333</v>
      </c>
      <c r="V455" s="630"/>
      <c r="W455" s="630"/>
      <c r="X455" s="633"/>
      <c r="Y455" s="633"/>
      <c r="Z455" s="94" t="s">
        <v>1038</v>
      </c>
      <c r="AA455" s="98"/>
    </row>
    <row r="456" spans="1:27" ht="84" hidden="1" customHeight="1">
      <c r="A456" s="475"/>
      <c r="B456" s="660"/>
      <c r="C456" s="639"/>
      <c r="D456" s="663"/>
      <c r="E456" s="663"/>
      <c r="F456" s="648"/>
      <c r="G456" s="627"/>
      <c r="H456" s="627"/>
      <c r="I456" s="94"/>
      <c r="J456" s="136"/>
      <c r="K456" s="136"/>
      <c r="L456" s="136"/>
      <c r="M456" s="136"/>
      <c r="N456" s="225" t="s">
        <v>97</v>
      </c>
      <c r="O456" s="93" t="s">
        <v>1085</v>
      </c>
      <c r="P456" s="76" t="s">
        <v>27</v>
      </c>
      <c r="Q456" s="95">
        <v>1.2</v>
      </c>
      <c r="R456" s="95">
        <v>0.97</v>
      </c>
      <c r="S456" s="226" t="s">
        <v>682</v>
      </c>
      <c r="T456" s="136">
        <v>0.97</v>
      </c>
      <c r="U456" s="227">
        <f t="shared" si="44"/>
        <v>0.80833333333333335</v>
      </c>
      <c r="V456" s="630"/>
      <c r="W456" s="630"/>
      <c r="X456" s="633"/>
      <c r="Y456" s="633"/>
      <c r="Z456" s="94" t="s">
        <v>1038</v>
      </c>
      <c r="AA456" s="98"/>
    </row>
    <row r="457" spans="1:27" ht="60" hidden="1" customHeight="1">
      <c r="A457" s="475"/>
      <c r="B457" s="660"/>
      <c r="C457" s="639"/>
      <c r="D457" s="663"/>
      <c r="E457" s="663"/>
      <c r="F457" s="648"/>
      <c r="G457" s="627"/>
      <c r="H457" s="627"/>
      <c r="I457" s="94"/>
      <c r="J457" s="136"/>
      <c r="K457" s="136"/>
      <c r="L457" s="136"/>
      <c r="M457" s="136"/>
      <c r="N457" s="225" t="s">
        <v>1086</v>
      </c>
      <c r="O457" s="93" t="s">
        <v>1962</v>
      </c>
      <c r="P457" s="76" t="s">
        <v>27</v>
      </c>
      <c r="Q457" s="95">
        <v>2.2999999999999998</v>
      </c>
      <c r="R457" s="95">
        <v>1.5</v>
      </c>
      <c r="S457" s="226" t="s">
        <v>63</v>
      </c>
      <c r="T457" s="136">
        <v>1.5</v>
      </c>
      <c r="U457" s="227">
        <f t="shared" si="44"/>
        <v>0.65217391304347827</v>
      </c>
      <c r="V457" s="630"/>
      <c r="W457" s="630"/>
      <c r="X457" s="633"/>
      <c r="Y457" s="633"/>
      <c r="Z457" s="94" t="s">
        <v>1038</v>
      </c>
      <c r="AA457" s="98"/>
    </row>
    <row r="458" spans="1:27" ht="72" hidden="1" customHeight="1">
      <c r="A458" s="475"/>
      <c r="B458" s="660"/>
      <c r="C458" s="639"/>
      <c r="D458" s="663"/>
      <c r="E458" s="663"/>
      <c r="F458" s="648"/>
      <c r="G458" s="627"/>
      <c r="H458" s="627"/>
      <c r="I458" s="94"/>
      <c r="J458" s="136"/>
      <c r="K458" s="136"/>
      <c r="L458" s="136"/>
      <c r="M458" s="136"/>
      <c r="N458" s="225" t="s">
        <v>1087</v>
      </c>
      <c r="O458" s="93" t="s">
        <v>1963</v>
      </c>
      <c r="P458" s="76" t="s">
        <v>27</v>
      </c>
      <c r="Q458" s="95">
        <v>1.2</v>
      </c>
      <c r="R458" s="95">
        <v>0.71</v>
      </c>
      <c r="S458" s="226" t="s">
        <v>682</v>
      </c>
      <c r="T458" s="136">
        <v>0.71</v>
      </c>
      <c r="U458" s="227">
        <f t="shared" si="44"/>
        <v>0.59166666666666667</v>
      </c>
      <c r="V458" s="630"/>
      <c r="W458" s="630"/>
      <c r="X458" s="633"/>
      <c r="Y458" s="633"/>
      <c r="Z458" s="94" t="s">
        <v>1038</v>
      </c>
      <c r="AA458" s="98"/>
    </row>
    <row r="459" spans="1:27" ht="60" hidden="1" customHeight="1">
      <c r="A459" s="475"/>
      <c r="B459" s="660"/>
      <c r="C459" s="639"/>
      <c r="D459" s="663"/>
      <c r="E459" s="663"/>
      <c r="F459" s="648"/>
      <c r="G459" s="627"/>
      <c r="H459" s="627"/>
      <c r="I459" s="94"/>
      <c r="J459" s="136"/>
      <c r="K459" s="136"/>
      <c r="L459" s="136"/>
      <c r="M459" s="136"/>
      <c r="N459" s="225" t="s">
        <v>1088</v>
      </c>
      <c r="O459" s="93" t="s">
        <v>1089</v>
      </c>
      <c r="P459" s="76" t="s">
        <v>27</v>
      </c>
      <c r="Q459" s="95">
        <v>2.1</v>
      </c>
      <c r="R459" s="95">
        <v>0.93</v>
      </c>
      <c r="S459" s="226" t="s">
        <v>63</v>
      </c>
      <c r="T459" s="136">
        <v>0.93</v>
      </c>
      <c r="U459" s="227">
        <f t="shared" si="44"/>
        <v>0.44285714285714284</v>
      </c>
      <c r="V459" s="630"/>
      <c r="W459" s="630"/>
      <c r="X459" s="633"/>
      <c r="Y459" s="633"/>
      <c r="Z459" s="94" t="s">
        <v>1038</v>
      </c>
      <c r="AA459" s="98"/>
    </row>
    <row r="460" spans="1:27" ht="108">
      <c r="A460" s="475"/>
      <c r="B460" s="660"/>
      <c r="C460" s="639"/>
      <c r="D460" s="663"/>
      <c r="E460" s="663"/>
      <c r="F460" s="648"/>
      <c r="G460" s="627"/>
      <c r="H460" s="627"/>
      <c r="I460" s="94"/>
      <c r="J460" s="136"/>
      <c r="K460" s="136"/>
      <c r="L460" s="136"/>
      <c r="M460" s="136"/>
      <c r="N460" s="225" t="s">
        <v>1090</v>
      </c>
      <c r="O460" s="93" t="s">
        <v>1964</v>
      </c>
      <c r="P460" s="76" t="s">
        <v>36</v>
      </c>
      <c r="Q460" s="95">
        <v>11</v>
      </c>
      <c r="R460" s="95">
        <v>11</v>
      </c>
      <c r="S460" s="226" t="s">
        <v>542</v>
      </c>
      <c r="T460" s="136">
        <v>0</v>
      </c>
      <c r="U460" s="227">
        <f t="shared" si="44"/>
        <v>0</v>
      </c>
      <c r="V460" s="630"/>
      <c r="W460" s="630"/>
      <c r="X460" s="633"/>
      <c r="Y460" s="633"/>
      <c r="Z460" s="94" t="s">
        <v>1038</v>
      </c>
      <c r="AA460" s="98"/>
    </row>
    <row r="461" spans="1:27" ht="60" hidden="1" customHeight="1">
      <c r="A461" s="475"/>
      <c r="B461" s="660"/>
      <c r="C461" s="639"/>
      <c r="D461" s="663"/>
      <c r="E461" s="663"/>
      <c r="F461" s="648"/>
      <c r="G461" s="627"/>
      <c r="H461" s="627"/>
      <c r="I461" s="94"/>
      <c r="J461" s="136"/>
      <c r="K461" s="136"/>
      <c r="L461" s="136"/>
      <c r="M461" s="136"/>
      <c r="N461" s="225" t="s">
        <v>112</v>
      </c>
      <c r="O461" s="93" t="s">
        <v>1091</v>
      </c>
      <c r="P461" s="76" t="s">
        <v>27</v>
      </c>
      <c r="Q461" s="95">
        <v>1.2</v>
      </c>
      <c r="R461" s="95">
        <v>0.6</v>
      </c>
      <c r="S461" s="226" t="s">
        <v>63</v>
      </c>
      <c r="T461" s="136">
        <v>0.6</v>
      </c>
      <c r="U461" s="227">
        <f t="shared" si="44"/>
        <v>0.5</v>
      </c>
      <c r="V461" s="630"/>
      <c r="W461" s="630"/>
      <c r="X461" s="633"/>
      <c r="Y461" s="633"/>
      <c r="Z461" s="94" t="s">
        <v>1038</v>
      </c>
      <c r="AA461" s="98"/>
    </row>
    <row r="462" spans="1:27" ht="108">
      <c r="A462" s="475"/>
      <c r="B462" s="660"/>
      <c r="C462" s="639"/>
      <c r="D462" s="663"/>
      <c r="E462" s="663"/>
      <c r="F462" s="648"/>
      <c r="G462" s="627"/>
      <c r="H462" s="627"/>
      <c r="I462" s="94"/>
      <c r="J462" s="136"/>
      <c r="K462" s="136"/>
      <c r="L462" s="136"/>
      <c r="M462" s="136"/>
      <c r="N462" s="93" t="s">
        <v>1092</v>
      </c>
      <c r="O462" s="93" t="s">
        <v>1965</v>
      </c>
      <c r="P462" s="76" t="s">
        <v>36</v>
      </c>
      <c r="Q462" s="95">
        <v>40</v>
      </c>
      <c r="R462" s="95">
        <v>431</v>
      </c>
      <c r="S462" s="228" t="s">
        <v>1093</v>
      </c>
      <c r="T462" s="297">
        <v>35</v>
      </c>
      <c r="U462" s="229">
        <f t="shared" si="44"/>
        <v>0.875</v>
      </c>
      <c r="V462" s="630"/>
      <c r="W462" s="630"/>
      <c r="X462" s="633"/>
      <c r="Y462" s="633"/>
      <c r="Z462" s="94" t="s">
        <v>1038</v>
      </c>
      <c r="AA462" s="98"/>
    </row>
    <row r="463" spans="1:27" ht="60" hidden="1" customHeight="1">
      <c r="A463" s="475"/>
      <c r="B463" s="660"/>
      <c r="C463" s="639"/>
      <c r="D463" s="663"/>
      <c r="E463" s="663"/>
      <c r="F463" s="648"/>
      <c r="G463" s="627"/>
      <c r="H463" s="627"/>
      <c r="I463" s="94"/>
      <c r="J463" s="136"/>
      <c r="K463" s="136"/>
      <c r="L463" s="136"/>
      <c r="M463" s="136"/>
      <c r="N463" s="225" t="s">
        <v>1094</v>
      </c>
      <c r="O463" s="93" t="s">
        <v>1966</v>
      </c>
      <c r="P463" s="76" t="s">
        <v>27</v>
      </c>
      <c r="Q463" s="95">
        <v>3.3</v>
      </c>
      <c r="R463" s="95">
        <v>2</v>
      </c>
      <c r="S463" s="226" t="s">
        <v>1095</v>
      </c>
      <c r="T463" s="136">
        <v>2</v>
      </c>
      <c r="U463" s="227">
        <f t="shared" si="44"/>
        <v>0.60606060606060608</v>
      </c>
      <c r="V463" s="630"/>
      <c r="W463" s="630"/>
      <c r="X463" s="633"/>
      <c r="Y463" s="633"/>
      <c r="Z463" s="94" t="s">
        <v>1038</v>
      </c>
      <c r="AA463" s="98"/>
    </row>
    <row r="464" spans="1:27" ht="60" hidden="1" customHeight="1">
      <c r="A464" s="475"/>
      <c r="B464" s="660"/>
      <c r="C464" s="639"/>
      <c r="D464" s="663"/>
      <c r="E464" s="663"/>
      <c r="F464" s="648"/>
      <c r="G464" s="627"/>
      <c r="H464" s="627"/>
      <c r="I464" s="94"/>
      <c r="J464" s="136"/>
      <c r="K464" s="136"/>
      <c r="L464" s="136"/>
      <c r="M464" s="136"/>
      <c r="N464" s="225" t="s">
        <v>1096</v>
      </c>
      <c r="O464" s="93" t="s">
        <v>1967</v>
      </c>
      <c r="P464" s="76" t="s">
        <v>27</v>
      </c>
      <c r="Q464" s="95">
        <v>0.8</v>
      </c>
      <c r="R464" s="95">
        <v>0.54</v>
      </c>
      <c r="S464" s="226" t="s">
        <v>1097</v>
      </c>
      <c r="T464" s="136">
        <v>0.54</v>
      </c>
      <c r="U464" s="227">
        <f t="shared" si="44"/>
        <v>0.67500000000000004</v>
      </c>
      <c r="V464" s="630"/>
      <c r="W464" s="630"/>
      <c r="X464" s="633"/>
      <c r="Y464" s="633"/>
      <c r="Z464" s="94" t="s">
        <v>1038</v>
      </c>
      <c r="AA464" s="98"/>
    </row>
    <row r="465" spans="1:27" ht="108">
      <c r="A465" s="475"/>
      <c r="B465" s="660"/>
      <c r="C465" s="639"/>
      <c r="D465" s="663"/>
      <c r="E465" s="663"/>
      <c r="F465" s="648"/>
      <c r="G465" s="627"/>
      <c r="H465" s="627"/>
      <c r="I465" s="94"/>
      <c r="J465" s="136"/>
      <c r="K465" s="136"/>
      <c r="L465" s="136"/>
      <c r="M465" s="136"/>
      <c r="N465" s="93" t="s">
        <v>1000</v>
      </c>
      <c r="O465" s="93" t="s">
        <v>1968</v>
      </c>
      <c r="P465" s="76" t="s">
        <v>36</v>
      </c>
      <c r="Q465" s="95">
        <v>10</v>
      </c>
      <c r="R465" s="95">
        <v>202</v>
      </c>
      <c r="S465" s="228" t="s">
        <v>1098</v>
      </c>
      <c r="T465" s="136">
        <v>16</v>
      </c>
      <c r="U465" s="229">
        <f t="shared" si="44"/>
        <v>1.6</v>
      </c>
      <c r="V465" s="630"/>
      <c r="W465" s="630"/>
      <c r="X465" s="633"/>
      <c r="Y465" s="633"/>
      <c r="Z465" s="94" t="s">
        <v>1038</v>
      </c>
      <c r="AA465" s="98"/>
    </row>
    <row r="466" spans="1:27" ht="96" hidden="1" customHeight="1">
      <c r="A466" s="475"/>
      <c r="B466" s="661"/>
      <c r="C466" s="640"/>
      <c r="D466" s="664"/>
      <c r="E466" s="664"/>
      <c r="F466" s="649"/>
      <c r="G466" s="628"/>
      <c r="H466" s="628"/>
      <c r="I466" s="94"/>
      <c r="J466" s="136"/>
      <c r="K466" s="136"/>
      <c r="L466" s="136"/>
      <c r="M466" s="136"/>
      <c r="N466" s="225" t="s">
        <v>1099</v>
      </c>
      <c r="O466" s="93" t="s">
        <v>1100</v>
      </c>
      <c r="P466" s="76" t="s">
        <v>27</v>
      </c>
      <c r="Q466" s="95">
        <v>1.2</v>
      </c>
      <c r="R466" s="95">
        <v>0.97</v>
      </c>
      <c r="S466" s="226" t="s">
        <v>1101</v>
      </c>
      <c r="T466" s="136">
        <v>0.97</v>
      </c>
      <c r="U466" s="227">
        <f t="shared" si="44"/>
        <v>0.80833333333333335</v>
      </c>
      <c r="V466" s="631"/>
      <c r="W466" s="631"/>
      <c r="X466" s="634"/>
      <c r="Y466" s="634"/>
      <c r="Z466" s="94" t="s">
        <v>1038</v>
      </c>
      <c r="AA466" s="98"/>
    </row>
    <row r="467" spans="1:27">
      <c r="A467" s="475"/>
      <c r="B467" s="650">
        <v>11</v>
      </c>
      <c r="C467" s="685" t="s">
        <v>1969</v>
      </c>
      <c r="D467" s="662">
        <v>45755.521800000002</v>
      </c>
      <c r="E467" s="674" t="s">
        <v>2188</v>
      </c>
      <c r="F467" s="647" t="s">
        <v>1102</v>
      </c>
      <c r="G467" s="626">
        <v>180.38377399999999</v>
      </c>
      <c r="H467" s="626">
        <v>4</v>
      </c>
      <c r="I467" s="647" t="s">
        <v>1103</v>
      </c>
      <c r="J467" s="626">
        <v>51.392499999999998</v>
      </c>
      <c r="K467" s="136"/>
      <c r="L467" s="136"/>
      <c r="M467" s="626">
        <f t="shared" ref="M467:M482" si="45">SUM(G467,H467,J467,L467)</f>
        <v>235.776274</v>
      </c>
      <c r="N467" s="94" t="s">
        <v>1104</v>
      </c>
      <c r="O467" s="94" t="s">
        <v>1105</v>
      </c>
      <c r="P467" s="76" t="s">
        <v>36</v>
      </c>
      <c r="Q467" s="95">
        <v>8</v>
      </c>
      <c r="R467" s="95">
        <v>8</v>
      </c>
      <c r="S467" s="94" t="s">
        <v>1090</v>
      </c>
      <c r="T467" s="136">
        <v>5.8047120000000003</v>
      </c>
      <c r="U467" s="215">
        <f t="shared" si="44"/>
        <v>0.72558900000000004</v>
      </c>
      <c r="V467" s="629">
        <f>SUM(Q467:Q468)</f>
        <v>61</v>
      </c>
      <c r="W467" s="629">
        <f>SUM(T467:T468)</f>
        <v>55.804712000000002</v>
      </c>
      <c r="X467" s="632">
        <f>W467/V467</f>
        <v>0.91483134426229507</v>
      </c>
      <c r="Y467" s="632">
        <f>W467/M467</f>
        <v>0.23668501946043988</v>
      </c>
      <c r="Z467" s="94" t="s">
        <v>1038</v>
      </c>
      <c r="AA467" s="98"/>
    </row>
    <row r="468" spans="1:27" ht="72" hidden="1" customHeight="1">
      <c r="A468" s="475"/>
      <c r="B468" s="652"/>
      <c r="C468" s="686"/>
      <c r="D468" s="664"/>
      <c r="E468" s="676"/>
      <c r="F468" s="649"/>
      <c r="G468" s="628"/>
      <c r="H468" s="628"/>
      <c r="I468" s="649"/>
      <c r="J468" s="628"/>
      <c r="K468" s="136"/>
      <c r="L468" s="136"/>
      <c r="M468" s="628"/>
      <c r="N468" s="94" t="s">
        <v>120</v>
      </c>
      <c r="O468" s="94" t="s">
        <v>1970</v>
      </c>
      <c r="P468" s="76" t="s">
        <v>27</v>
      </c>
      <c r="Q468" s="95">
        <v>53</v>
      </c>
      <c r="R468" s="95">
        <v>50</v>
      </c>
      <c r="S468" s="94" t="s">
        <v>1106</v>
      </c>
      <c r="T468" s="136">
        <v>50</v>
      </c>
      <c r="U468" s="215">
        <f t="shared" si="44"/>
        <v>0.94339622641509435</v>
      </c>
      <c r="V468" s="631"/>
      <c r="W468" s="631"/>
      <c r="X468" s="634"/>
      <c r="Y468" s="634"/>
      <c r="Z468" s="94" t="s">
        <v>1038</v>
      </c>
      <c r="AA468" s="98"/>
    </row>
    <row r="469" spans="1:27" ht="24">
      <c r="A469" s="475"/>
      <c r="B469" s="650">
        <v>12</v>
      </c>
      <c r="C469" s="653" t="s">
        <v>1107</v>
      </c>
      <c r="D469" s="679">
        <v>54882.94</v>
      </c>
      <c r="E469" s="682" t="s">
        <v>2189</v>
      </c>
      <c r="F469" s="647" t="s">
        <v>31</v>
      </c>
      <c r="G469" s="626">
        <v>35.287799999999997</v>
      </c>
      <c r="H469" s="626" t="s">
        <v>1108</v>
      </c>
      <c r="I469" s="647" t="s">
        <v>39</v>
      </c>
      <c r="J469" s="626">
        <v>43.9</v>
      </c>
      <c r="K469" s="626" t="s">
        <v>1108</v>
      </c>
      <c r="L469" s="626" t="s">
        <v>1108</v>
      </c>
      <c r="M469" s="136">
        <f t="shared" si="45"/>
        <v>79.187799999999996</v>
      </c>
      <c r="N469" s="94" t="s">
        <v>908</v>
      </c>
      <c r="O469" s="94" t="s">
        <v>1109</v>
      </c>
      <c r="P469" s="76" t="s">
        <v>36</v>
      </c>
      <c r="Q469" s="95"/>
      <c r="R469" s="95">
        <v>6.1601999999999997</v>
      </c>
      <c r="S469" s="94"/>
      <c r="T469" s="136"/>
      <c r="U469" s="215"/>
      <c r="V469" s="629">
        <f>SUM(Q469:Q481)</f>
        <v>515</v>
      </c>
      <c r="W469" s="629">
        <f>SUM(T469:T481)</f>
        <v>0</v>
      </c>
      <c r="X469" s="629"/>
      <c r="Y469" s="629"/>
      <c r="Z469" s="94" t="s">
        <v>814</v>
      </c>
      <c r="AA469" s="98"/>
    </row>
    <row r="470" spans="1:27" ht="24">
      <c r="A470" s="475"/>
      <c r="B470" s="651"/>
      <c r="C470" s="654"/>
      <c r="D470" s="680"/>
      <c r="E470" s="683"/>
      <c r="F470" s="648"/>
      <c r="G470" s="627"/>
      <c r="H470" s="627"/>
      <c r="I470" s="648"/>
      <c r="J470" s="627"/>
      <c r="K470" s="627"/>
      <c r="L470" s="627"/>
      <c r="M470" s="136">
        <f t="shared" si="45"/>
        <v>0</v>
      </c>
      <c r="N470" s="94" t="s">
        <v>1110</v>
      </c>
      <c r="O470" s="94" t="s">
        <v>1971</v>
      </c>
      <c r="P470" s="76" t="s">
        <v>36</v>
      </c>
      <c r="Q470" s="95"/>
      <c r="R470" s="95">
        <v>12.3612</v>
      </c>
      <c r="S470" s="94"/>
      <c r="T470" s="136"/>
      <c r="U470" s="94"/>
      <c r="V470" s="630"/>
      <c r="W470" s="630"/>
      <c r="X470" s="630"/>
      <c r="Y470" s="630"/>
      <c r="Z470" s="94" t="s">
        <v>814</v>
      </c>
      <c r="AA470" s="98"/>
    </row>
    <row r="471" spans="1:27" ht="48">
      <c r="A471" s="475"/>
      <c r="B471" s="651"/>
      <c r="C471" s="654"/>
      <c r="D471" s="680"/>
      <c r="E471" s="683"/>
      <c r="F471" s="648"/>
      <c r="G471" s="627"/>
      <c r="H471" s="627"/>
      <c r="I471" s="648"/>
      <c r="J471" s="627"/>
      <c r="K471" s="627"/>
      <c r="L471" s="627"/>
      <c r="M471" s="136">
        <f t="shared" si="45"/>
        <v>0</v>
      </c>
      <c r="N471" s="94" t="s">
        <v>1111</v>
      </c>
      <c r="O471" s="94" t="s">
        <v>1972</v>
      </c>
      <c r="P471" s="76" t="s">
        <v>36</v>
      </c>
      <c r="Q471" s="95"/>
      <c r="R471" s="95">
        <v>19.911000000000001</v>
      </c>
      <c r="S471" s="94"/>
      <c r="T471" s="136"/>
      <c r="U471" s="94"/>
      <c r="V471" s="630"/>
      <c r="W471" s="630"/>
      <c r="X471" s="630"/>
      <c r="Y471" s="630"/>
      <c r="Z471" s="94" t="s">
        <v>814</v>
      </c>
      <c r="AA471" s="98"/>
    </row>
    <row r="472" spans="1:27" ht="24">
      <c r="A472" s="475"/>
      <c r="B472" s="651"/>
      <c r="C472" s="654"/>
      <c r="D472" s="680"/>
      <c r="E472" s="683"/>
      <c r="F472" s="648"/>
      <c r="G472" s="627"/>
      <c r="H472" s="627"/>
      <c r="I472" s="648"/>
      <c r="J472" s="627"/>
      <c r="K472" s="627"/>
      <c r="L472" s="627"/>
      <c r="M472" s="136">
        <f t="shared" si="45"/>
        <v>0</v>
      </c>
      <c r="N472" s="94" t="s">
        <v>1112</v>
      </c>
      <c r="O472" s="94" t="s">
        <v>1113</v>
      </c>
      <c r="P472" s="76" t="s">
        <v>36</v>
      </c>
      <c r="Q472" s="95"/>
      <c r="R472" s="95"/>
      <c r="S472" s="94"/>
      <c r="T472" s="136"/>
      <c r="U472" s="94"/>
      <c r="V472" s="630"/>
      <c r="W472" s="630"/>
      <c r="X472" s="630"/>
      <c r="Y472" s="630"/>
      <c r="Z472" s="94" t="s">
        <v>814</v>
      </c>
      <c r="AA472" s="98"/>
    </row>
    <row r="473" spans="1:27" ht="36">
      <c r="A473" s="475"/>
      <c r="B473" s="651"/>
      <c r="C473" s="654"/>
      <c r="D473" s="680"/>
      <c r="E473" s="683"/>
      <c r="F473" s="648"/>
      <c r="G473" s="627"/>
      <c r="H473" s="627"/>
      <c r="I473" s="648"/>
      <c r="J473" s="627"/>
      <c r="K473" s="627"/>
      <c r="L473" s="627"/>
      <c r="M473" s="136">
        <f t="shared" si="45"/>
        <v>0</v>
      </c>
      <c r="N473" s="94" t="s">
        <v>1114</v>
      </c>
      <c r="O473" s="94" t="s">
        <v>1973</v>
      </c>
      <c r="P473" s="76" t="s">
        <v>36</v>
      </c>
      <c r="Q473" s="95"/>
      <c r="R473" s="95"/>
      <c r="S473" s="94"/>
      <c r="T473" s="136"/>
      <c r="U473" s="94"/>
      <c r="V473" s="630"/>
      <c r="W473" s="630"/>
      <c r="X473" s="630"/>
      <c r="Y473" s="630"/>
      <c r="Z473" s="94" t="s">
        <v>814</v>
      </c>
      <c r="AA473" s="98"/>
    </row>
    <row r="474" spans="1:27" ht="24">
      <c r="A474" s="475"/>
      <c r="B474" s="651"/>
      <c r="C474" s="654"/>
      <c r="D474" s="680"/>
      <c r="E474" s="683"/>
      <c r="F474" s="648"/>
      <c r="G474" s="627"/>
      <c r="H474" s="627"/>
      <c r="I474" s="648"/>
      <c r="J474" s="627"/>
      <c r="K474" s="627"/>
      <c r="L474" s="627"/>
      <c r="M474" s="136">
        <f t="shared" si="45"/>
        <v>0</v>
      </c>
      <c r="N474" s="94" t="s">
        <v>1115</v>
      </c>
      <c r="O474" s="94" t="s">
        <v>1116</v>
      </c>
      <c r="P474" s="76" t="s">
        <v>36</v>
      </c>
      <c r="Q474" s="95"/>
      <c r="R474" s="95">
        <v>400</v>
      </c>
      <c r="S474" s="94"/>
      <c r="T474" s="136"/>
      <c r="U474" s="94"/>
      <c r="V474" s="630"/>
      <c r="W474" s="630"/>
      <c r="X474" s="630"/>
      <c r="Y474" s="630"/>
      <c r="Z474" s="94" t="s">
        <v>814</v>
      </c>
      <c r="AA474" s="98"/>
    </row>
    <row r="475" spans="1:27" ht="24" hidden="1" customHeight="1">
      <c r="A475" s="475"/>
      <c r="B475" s="651"/>
      <c r="C475" s="654"/>
      <c r="D475" s="680"/>
      <c r="E475" s="683"/>
      <c r="F475" s="648"/>
      <c r="G475" s="627"/>
      <c r="H475" s="627"/>
      <c r="I475" s="648"/>
      <c r="J475" s="627"/>
      <c r="K475" s="627"/>
      <c r="L475" s="627"/>
      <c r="M475" s="136">
        <f t="shared" si="45"/>
        <v>0</v>
      </c>
      <c r="N475" s="94" t="s">
        <v>677</v>
      </c>
      <c r="O475" s="94" t="s">
        <v>1117</v>
      </c>
      <c r="P475" s="76" t="s">
        <v>27</v>
      </c>
      <c r="Q475" s="95"/>
      <c r="R475" s="95"/>
      <c r="S475" s="94"/>
      <c r="T475" s="136"/>
      <c r="U475" s="94"/>
      <c r="V475" s="630"/>
      <c r="W475" s="630"/>
      <c r="X475" s="630"/>
      <c r="Y475" s="630"/>
      <c r="Z475" s="94" t="s">
        <v>814</v>
      </c>
      <c r="AA475" s="98"/>
    </row>
    <row r="476" spans="1:27" ht="24" hidden="1" customHeight="1">
      <c r="A476" s="475"/>
      <c r="B476" s="651"/>
      <c r="C476" s="654"/>
      <c r="D476" s="680"/>
      <c r="E476" s="683"/>
      <c r="F476" s="648"/>
      <c r="G476" s="627"/>
      <c r="H476" s="627"/>
      <c r="I476" s="648"/>
      <c r="J476" s="627"/>
      <c r="K476" s="627"/>
      <c r="L476" s="627"/>
      <c r="M476" s="136">
        <f t="shared" si="45"/>
        <v>0</v>
      </c>
      <c r="N476" s="94" t="s">
        <v>1118</v>
      </c>
      <c r="O476" s="94" t="s">
        <v>1119</v>
      </c>
      <c r="P476" s="76" t="s">
        <v>27</v>
      </c>
      <c r="Q476" s="95">
        <v>200</v>
      </c>
      <c r="R476" s="95">
        <v>60</v>
      </c>
      <c r="S476" s="94"/>
      <c r="T476" s="136"/>
      <c r="U476" s="94"/>
      <c r="V476" s="630"/>
      <c r="W476" s="630"/>
      <c r="X476" s="630"/>
      <c r="Y476" s="630"/>
      <c r="Z476" s="94" t="s">
        <v>814</v>
      </c>
      <c r="AA476" s="98"/>
    </row>
    <row r="477" spans="1:27" ht="36" hidden="1" customHeight="1">
      <c r="A477" s="475"/>
      <c r="B477" s="651"/>
      <c r="C477" s="654"/>
      <c r="D477" s="680"/>
      <c r="E477" s="683"/>
      <c r="F477" s="648"/>
      <c r="G477" s="627"/>
      <c r="H477" s="627"/>
      <c r="I477" s="648"/>
      <c r="J477" s="627"/>
      <c r="K477" s="627"/>
      <c r="L477" s="627"/>
      <c r="M477" s="136">
        <f t="shared" si="45"/>
        <v>0</v>
      </c>
      <c r="N477" s="94" t="s">
        <v>1120</v>
      </c>
      <c r="O477" s="94" t="s">
        <v>1121</v>
      </c>
      <c r="P477" s="76" t="s">
        <v>27</v>
      </c>
      <c r="Q477" s="95">
        <v>100</v>
      </c>
      <c r="R477" s="95">
        <v>30</v>
      </c>
      <c r="S477" s="94"/>
      <c r="T477" s="136"/>
      <c r="U477" s="94"/>
      <c r="V477" s="630"/>
      <c r="W477" s="630"/>
      <c r="X477" s="630"/>
      <c r="Y477" s="630"/>
      <c r="Z477" s="94" t="s">
        <v>814</v>
      </c>
      <c r="AA477" s="98"/>
    </row>
    <row r="478" spans="1:27" ht="36" hidden="1" customHeight="1">
      <c r="A478" s="475"/>
      <c r="B478" s="651"/>
      <c r="C478" s="654"/>
      <c r="D478" s="680"/>
      <c r="E478" s="683"/>
      <c r="F478" s="648"/>
      <c r="G478" s="627"/>
      <c r="H478" s="627"/>
      <c r="I478" s="648"/>
      <c r="J478" s="627"/>
      <c r="K478" s="627"/>
      <c r="L478" s="627"/>
      <c r="M478" s="136">
        <f t="shared" si="45"/>
        <v>0</v>
      </c>
      <c r="N478" s="94" t="s">
        <v>1122</v>
      </c>
      <c r="O478" s="94" t="s">
        <v>1123</v>
      </c>
      <c r="P478" s="76" t="s">
        <v>27</v>
      </c>
      <c r="Q478" s="95">
        <v>100</v>
      </c>
      <c r="R478" s="95">
        <v>30</v>
      </c>
      <c r="S478" s="94"/>
      <c r="T478" s="136"/>
      <c r="U478" s="94"/>
      <c r="V478" s="630"/>
      <c r="W478" s="630"/>
      <c r="X478" s="630"/>
      <c r="Y478" s="630"/>
      <c r="Z478" s="94" t="s">
        <v>814</v>
      </c>
      <c r="AA478" s="98"/>
    </row>
    <row r="479" spans="1:27" ht="36" hidden="1" customHeight="1">
      <c r="A479" s="475"/>
      <c r="B479" s="651"/>
      <c r="C479" s="654"/>
      <c r="D479" s="680"/>
      <c r="E479" s="683"/>
      <c r="F479" s="648"/>
      <c r="G479" s="627"/>
      <c r="H479" s="627"/>
      <c r="I479" s="648"/>
      <c r="J479" s="627"/>
      <c r="K479" s="627"/>
      <c r="L479" s="627"/>
      <c r="M479" s="136">
        <f t="shared" si="45"/>
        <v>0</v>
      </c>
      <c r="N479" s="94" t="s">
        <v>71</v>
      </c>
      <c r="O479" s="94" t="s">
        <v>1974</v>
      </c>
      <c r="P479" s="76" t="s">
        <v>27</v>
      </c>
      <c r="Q479" s="95"/>
      <c r="R479" s="95"/>
      <c r="S479" s="94"/>
      <c r="T479" s="136"/>
      <c r="U479" s="94"/>
      <c r="V479" s="630"/>
      <c r="W479" s="630"/>
      <c r="X479" s="630"/>
      <c r="Y479" s="630"/>
      <c r="Z479" s="94" t="s">
        <v>814</v>
      </c>
      <c r="AA479" s="98"/>
    </row>
    <row r="480" spans="1:27" ht="24" hidden="1" customHeight="1">
      <c r="A480" s="475"/>
      <c r="B480" s="651"/>
      <c r="C480" s="654"/>
      <c r="D480" s="680"/>
      <c r="E480" s="683"/>
      <c r="F480" s="648"/>
      <c r="G480" s="627"/>
      <c r="H480" s="627"/>
      <c r="I480" s="648"/>
      <c r="J480" s="627"/>
      <c r="K480" s="627"/>
      <c r="L480" s="627"/>
      <c r="M480" s="136">
        <f t="shared" si="45"/>
        <v>0</v>
      </c>
      <c r="N480" s="94" t="s">
        <v>1124</v>
      </c>
      <c r="O480" s="94" t="s">
        <v>1125</v>
      </c>
      <c r="P480" s="76" t="s">
        <v>27</v>
      </c>
      <c r="Q480" s="95">
        <v>100</v>
      </c>
      <c r="R480" s="95">
        <v>30</v>
      </c>
      <c r="S480" s="94"/>
      <c r="T480" s="136"/>
      <c r="U480" s="94"/>
      <c r="V480" s="630"/>
      <c r="W480" s="630"/>
      <c r="X480" s="630"/>
      <c r="Y480" s="630"/>
      <c r="Z480" s="94" t="s">
        <v>814</v>
      </c>
      <c r="AA480" s="98"/>
    </row>
    <row r="481" spans="1:27" ht="24" hidden="1" customHeight="1">
      <c r="A481" s="475"/>
      <c r="B481" s="652"/>
      <c r="C481" s="655"/>
      <c r="D481" s="681"/>
      <c r="E481" s="684"/>
      <c r="F481" s="649"/>
      <c r="G481" s="628"/>
      <c r="H481" s="628"/>
      <c r="I481" s="649"/>
      <c r="J481" s="628"/>
      <c r="K481" s="628"/>
      <c r="L481" s="628"/>
      <c r="M481" s="136">
        <f t="shared" si="45"/>
        <v>0</v>
      </c>
      <c r="N481" s="94" t="s">
        <v>1124</v>
      </c>
      <c r="O481" s="94" t="s">
        <v>1975</v>
      </c>
      <c r="P481" s="76" t="s">
        <v>27</v>
      </c>
      <c r="Q481" s="95">
        <v>15</v>
      </c>
      <c r="R481" s="95">
        <v>5</v>
      </c>
      <c r="S481" s="94"/>
      <c r="T481" s="136"/>
      <c r="U481" s="94"/>
      <c r="V481" s="631"/>
      <c r="W481" s="631"/>
      <c r="X481" s="631"/>
      <c r="Y481" s="631"/>
      <c r="Z481" s="94" t="s">
        <v>814</v>
      </c>
      <c r="AA481" s="98"/>
    </row>
    <row r="482" spans="1:27" ht="48" hidden="1" customHeight="1">
      <c r="A482" s="475"/>
      <c r="B482" s="213">
        <v>13</v>
      </c>
      <c r="C482" s="214" t="s">
        <v>1976</v>
      </c>
      <c r="D482" s="393">
        <v>18874.948100000001</v>
      </c>
      <c r="E482" s="394" t="s">
        <v>2190</v>
      </c>
      <c r="F482" s="94" t="s">
        <v>1126</v>
      </c>
      <c r="G482" s="136">
        <v>44.379843999999999</v>
      </c>
      <c r="H482" s="136"/>
      <c r="I482" s="94"/>
      <c r="J482" s="136"/>
      <c r="K482" s="136"/>
      <c r="L482" s="136"/>
      <c r="M482" s="136">
        <f t="shared" si="45"/>
        <v>44.379843999999999</v>
      </c>
      <c r="N482" s="94"/>
      <c r="O482" s="94"/>
      <c r="P482" s="94"/>
      <c r="Q482" s="95"/>
      <c r="R482" s="95"/>
      <c r="S482" s="94"/>
      <c r="T482" s="136"/>
      <c r="U482" s="215"/>
      <c r="V482" s="212"/>
      <c r="W482" s="212"/>
      <c r="X482" s="212"/>
      <c r="Y482" s="212"/>
      <c r="Z482" s="94" t="s">
        <v>1045</v>
      </c>
      <c r="AA482" s="98"/>
    </row>
    <row r="483" spans="1:27" ht="24" hidden="1" customHeight="1">
      <c r="A483" s="475"/>
      <c r="B483" s="650">
        <v>14</v>
      </c>
      <c r="C483" s="653" t="s">
        <v>1127</v>
      </c>
      <c r="D483" s="671">
        <v>62800</v>
      </c>
      <c r="E483" s="674" t="s">
        <v>2191</v>
      </c>
      <c r="F483" s="647" t="s">
        <v>39</v>
      </c>
      <c r="G483" s="626">
        <v>239.01</v>
      </c>
      <c r="H483" s="626">
        <v>5</v>
      </c>
      <c r="I483" s="647" t="s">
        <v>1128</v>
      </c>
      <c r="J483" s="626">
        <v>56</v>
      </c>
      <c r="K483" s="136"/>
      <c r="L483" s="136"/>
      <c r="M483" s="626">
        <f>SUM(J483,G483:H487)</f>
        <v>300.01</v>
      </c>
      <c r="N483" s="94" t="s">
        <v>789</v>
      </c>
      <c r="O483" s="94" t="s">
        <v>1129</v>
      </c>
      <c r="P483" s="76" t="s">
        <v>27</v>
      </c>
      <c r="Q483" s="95">
        <v>0.62</v>
      </c>
      <c r="R483" s="95">
        <v>0.45</v>
      </c>
      <c r="S483" s="94" t="s">
        <v>1130</v>
      </c>
      <c r="T483" s="136">
        <v>0.34</v>
      </c>
      <c r="U483" s="215">
        <f t="shared" ref="U483:U488" si="46">T483/Q483</f>
        <v>0.54838709677419362</v>
      </c>
      <c r="V483" s="629">
        <f>SUM(Q483:Q487)</f>
        <v>27.01</v>
      </c>
      <c r="W483" s="629">
        <f>SUM(T483:T487)</f>
        <v>7.96</v>
      </c>
      <c r="X483" s="632">
        <f>W483/V483</f>
        <v>0.29470566456867825</v>
      </c>
      <c r="Y483" s="632">
        <f>W483/M483</f>
        <v>2.6532448918369388E-2</v>
      </c>
      <c r="Z483" s="94" t="s">
        <v>1038</v>
      </c>
      <c r="AA483" s="98"/>
    </row>
    <row r="484" spans="1:27" ht="15" hidden="1" customHeight="1">
      <c r="A484" s="475"/>
      <c r="B484" s="651"/>
      <c r="C484" s="654"/>
      <c r="D484" s="672"/>
      <c r="E484" s="675"/>
      <c r="F484" s="648"/>
      <c r="G484" s="627"/>
      <c r="H484" s="627"/>
      <c r="I484" s="648"/>
      <c r="J484" s="627"/>
      <c r="K484" s="136"/>
      <c r="L484" s="136"/>
      <c r="M484" s="627"/>
      <c r="N484" s="94" t="s">
        <v>690</v>
      </c>
      <c r="O484" s="94" t="s">
        <v>1131</v>
      </c>
      <c r="P484" s="76" t="s">
        <v>27</v>
      </c>
      <c r="Q484" s="95">
        <v>0.92</v>
      </c>
      <c r="R484" s="95">
        <v>0.83</v>
      </c>
      <c r="S484" s="94" t="s">
        <v>1132</v>
      </c>
      <c r="T484" s="136">
        <v>0.66</v>
      </c>
      <c r="U484" s="215">
        <f t="shared" si="46"/>
        <v>0.71739130434782605</v>
      </c>
      <c r="V484" s="630"/>
      <c r="W484" s="630"/>
      <c r="X484" s="633"/>
      <c r="Y484" s="633"/>
      <c r="Z484" s="94" t="s">
        <v>1038</v>
      </c>
      <c r="AA484" s="98"/>
    </row>
    <row r="485" spans="1:27" ht="15" hidden="1" customHeight="1">
      <c r="A485" s="475"/>
      <c r="B485" s="651"/>
      <c r="C485" s="654"/>
      <c r="D485" s="672"/>
      <c r="E485" s="675"/>
      <c r="F485" s="648"/>
      <c r="G485" s="627"/>
      <c r="H485" s="627"/>
      <c r="I485" s="648"/>
      <c r="J485" s="627"/>
      <c r="K485" s="136"/>
      <c r="L485" s="136"/>
      <c r="M485" s="627"/>
      <c r="N485" s="94" t="s">
        <v>1133</v>
      </c>
      <c r="O485" s="94" t="s">
        <v>1134</v>
      </c>
      <c r="P485" s="76" t="s">
        <v>27</v>
      </c>
      <c r="Q485" s="95">
        <v>0.45</v>
      </c>
      <c r="R485" s="95">
        <v>1.82</v>
      </c>
      <c r="S485" s="94" t="s">
        <v>1132</v>
      </c>
      <c r="T485" s="136">
        <v>0.25</v>
      </c>
      <c r="U485" s="215">
        <f t="shared" si="46"/>
        <v>0.55555555555555558</v>
      </c>
      <c r="V485" s="630"/>
      <c r="W485" s="630"/>
      <c r="X485" s="633"/>
      <c r="Y485" s="633"/>
      <c r="Z485" s="94" t="s">
        <v>1038</v>
      </c>
      <c r="AA485" s="98"/>
    </row>
    <row r="486" spans="1:27" ht="24" hidden="1" customHeight="1">
      <c r="A486" s="475"/>
      <c r="B486" s="651"/>
      <c r="C486" s="654"/>
      <c r="D486" s="672"/>
      <c r="E486" s="675"/>
      <c r="F486" s="648"/>
      <c r="G486" s="627"/>
      <c r="H486" s="627"/>
      <c r="I486" s="648"/>
      <c r="J486" s="627"/>
      <c r="K486" s="136"/>
      <c r="L486" s="136"/>
      <c r="M486" s="627"/>
      <c r="N486" s="94" t="s">
        <v>1135</v>
      </c>
      <c r="O486" s="94" t="s">
        <v>1136</v>
      </c>
      <c r="P486" s="76" t="s">
        <v>27</v>
      </c>
      <c r="Q486" s="95">
        <v>1.2</v>
      </c>
      <c r="R486" s="95">
        <v>0.63</v>
      </c>
      <c r="S486" s="94" t="s">
        <v>1132</v>
      </c>
      <c r="T486" s="136">
        <v>0.71</v>
      </c>
      <c r="U486" s="215">
        <f t="shared" si="46"/>
        <v>0.59166666666666667</v>
      </c>
      <c r="V486" s="630"/>
      <c r="W486" s="630"/>
      <c r="X486" s="633"/>
      <c r="Y486" s="633"/>
      <c r="Z486" s="94" t="s">
        <v>1038</v>
      </c>
      <c r="AA486" s="98"/>
    </row>
    <row r="487" spans="1:27" ht="24" hidden="1" customHeight="1">
      <c r="A487" s="475"/>
      <c r="B487" s="652"/>
      <c r="C487" s="655"/>
      <c r="D487" s="673"/>
      <c r="E487" s="676"/>
      <c r="F487" s="649"/>
      <c r="G487" s="628"/>
      <c r="H487" s="628"/>
      <c r="I487" s="649"/>
      <c r="J487" s="628"/>
      <c r="K487" s="136"/>
      <c r="L487" s="136"/>
      <c r="M487" s="628"/>
      <c r="N487" s="94" t="s">
        <v>1137</v>
      </c>
      <c r="O487" s="94" t="s">
        <v>1138</v>
      </c>
      <c r="P487" s="76" t="s">
        <v>27</v>
      </c>
      <c r="Q487" s="95">
        <v>23.82</v>
      </c>
      <c r="R487" s="95">
        <v>24</v>
      </c>
      <c r="S487" s="94" t="s">
        <v>1139</v>
      </c>
      <c r="T487" s="136">
        <v>6</v>
      </c>
      <c r="U487" s="231">
        <f t="shared" si="46"/>
        <v>0.25188916876574308</v>
      </c>
      <c r="V487" s="631"/>
      <c r="W487" s="631"/>
      <c r="X487" s="634"/>
      <c r="Y487" s="634"/>
      <c r="Z487" s="94" t="s">
        <v>1038</v>
      </c>
      <c r="AA487" s="98"/>
    </row>
    <row r="488" spans="1:27" ht="48" hidden="1" customHeight="1">
      <c r="A488" s="475"/>
      <c r="B488" s="650">
        <v>15</v>
      </c>
      <c r="C488" s="685" t="s">
        <v>1140</v>
      </c>
      <c r="D488" s="701">
        <v>39207.1276</v>
      </c>
      <c r="E488" s="674" t="s">
        <v>2192</v>
      </c>
      <c r="F488" s="653" t="s">
        <v>1141</v>
      </c>
      <c r="G488" s="697">
        <f>ROUND(871575.85/10000,2)</f>
        <v>87.16</v>
      </c>
      <c r="H488" s="697"/>
      <c r="I488" s="653" t="s">
        <v>1142</v>
      </c>
      <c r="J488" s="697">
        <f>ROUND(314004.9/10000,2)</f>
        <v>31.4</v>
      </c>
      <c r="K488" s="136"/>
      <c r="L488" s="136"/>
      <c r="M488" s="697">
        <f>L488+J488+H488+G488</f>
        <v>118.56</v>
      </c>
      <c r="N488" s="94" t="s">
        <v>98</v>
      </c>
      <c r="O488" s="94" t="s">
        <v>1977</v>
      </c>
      <c r="P488" s="76" t="s">
        <v>27</v>
      </c>
      <c r="Q488" s="95">
        <f>ROUND(6357184.81/10000,2)</f>
        <v>635.72</v>
      </c>
      <c r="R488" s="95">
        <v>240</v>
      </c>
      <c r="S488" s="95" t="s">
        <v>1143</v>
      </c>
      <c r="T488" s="136">
        <v>240</v>
      </c>
      <c r="U488" s="215">
        <f t="shared" si="46"/>
        <v>0.3775246964072233</v>
      </c>
      <c r="V488" s="629">
        <f>SUM(Q488:Q491)</f>
        <v>742.52</v>
      </c>
      <c r="W488" s="629">
        <f>SUM(T488:T491)</f>
        <v>240</v>
      </c>
      <c r="X488" s="632">
        <f>W488/V488</f>
        <v>0.3232236168722728</v>
      </c>
      <c r="Y488" s="632">
        <f>W488/M488</f>
        <v>2.0242914979757085</v>
      </c>
      <c r="Z488" s="94" t="s">
        <v>540</v>
      </c>
      <c r="AA488" s="98"/>
    </row>
    <row r="489" spans="1:27" ht="48">
      <c r="A489" s="475"/>
      <c r="B489" s="651"/>
      <c r="C489" s="700"/>
      <c r="D489" s="702"/>
      <c r="E489" s="675"/>
      <c r="F489" s="654"/>
      <c r="G489" s="698"/>
      <c r="H489" s="698"/>
      <c r="I489" s="654"/>
      <c r="J489" s="698"/>
      <c r="K489" s="136"/>
      <c r="L489" s="136"/>
      <c r="M489" s="698"/>
      <c r="N489" s="94" t="s">
        <v>98</v>
      </c>
      <c r="O489" s="94" t="s">
        <v>1978</v>
      </c>
      <c r="P489" s="76" t="s">
        <v>36</v>
      </c>
      <c r="Q489" s="95">
        <f>ROUND(359307/10000,2)</f>
        <v>35.93</v>
      </c>
      <c r="R489" s="95">
        <v>167.7568</v>
      </c>
      <c r="S489" s="95"/>
      <c r="T489" s="136"/>
      <c r="U489" s="95"/>
      <c r="V489" s="630"/>
      <c r="W489" s="630"/>
      <c r="X489" s="633"/>
      <c r="Y489" s="633"/>
      <c r="Z489" s="94" t="s">
        <v>540</v>
      </c>
      <c r="AA489" s="98"/>
    </row>
    <row r="490" spans="1:27" ht="96">
      <c r="A490" s="475"/>
      <c r="B490" s="651"/>
      <c r="C490" s="700"/>
      <c r="D490" s="702"/>
      <c r="E490" s="675"/>
      <c r="F490" s="654"/>
      <c r="G490" s="698"/>
      <c r="H490" s="698"/>
      <c r="I490" s="654"/>
      <c r="J490" s="698"/>
      <c r="K490" s="136"/>
      <c r="L490" s="136"/>
      <c r="M490" s="698"/>
      <c r="N490" s="94" t="s">
        <v>1144</v>
      </c>
      <c r="O490" s="94" t="s">
        <v>1979</v>
      </c>
      <c r="P490" s="76" t="s">
        <v>36</v>
      </c>
      <c r="Q490" s="95">
        <f>ROUND(588250/10000,2)</f>
        <v>58.83</v>
      </c>
      <c r="R490" s="95">
        <v>432.3141</v>
      </c>
      <c r="S490" s="95"/>
      <c r="T490" s="136"/>
      <c r="U490" s="95"/>
      <c r="V490" s="630"/>
      <c r="W490" s="630"/>
      <c r="X490" s="633"/>
      <c r="Y490" s="633"/>
      <c r="Z490" s="94" t="s">
        <v>540</v>
      </c>
      <c r="AA490" s="98"/>
    </row>
    <row r="491" spans="1:27" ht="48">
      <c r="A491" s="475"/>
      <c r="B491" s="652"/>
      <c r="C491" s="686"/>
      <c r="D491" s="703"/>
      <c r="E491" s="676"/>
      <c r="F491" s="655"/>
      <c r="G491" s="699"/>
      <c r="H491" s="699"/>
      <c r="I491" s="655"/>
      <c r="J491" s="699"/>
      <c r="K491" s="136"/>
      <c r="L491" s="136"/>
      <c r="M491" s="699"/>
      <c r="N491" s="94" t="s">
        <v>1095</v>
      </c>
      <c r="O491" s="94" t="s">
        <v>1980</v>
      </c>
      <c r="P491" s="76" t="s">
        <v>36</v>
      </c>
      <c r="Q491" s="95">
        <f>ROUND(120384/10000,2)</f>
        <v>12.04</v>
      </c>
      <c r="R491" s="95">
        <v>110.2158</v>
      </c>
      <c r="S491" s="95"/>
      <c r="T491" s="136"/>
      <c r="U491" s="95"/>
      <c r="V491" s="631"/>
      <c r="W491" s="631"/>
      <c r="X491" s="634"/>
      <c r="Y491" s="634"/>
      <c r="Z491" s="94" t="s">
        <v>540</v>
      </c>
      <c r="AA491" s="98"/>
    </row>
    <row r="492" spans="1:27" ht="24">
      <c r="A492" s="475"/>
      <c r="B492" s="213">
        <v>16</v>
      </c>
      <c r="C492" s="214" t="s">
        <v>1981</v>
      </c>
      <c r="D492" s="395">
        <v>51056.417200000004</v>
      </c>
      <c r="E492" s="396" t="s">
        <v>2193</v>
      </c>
      <c r="F492" s="94" t="s">
        <v>507</v>
      </c>
      <c r="G492" s="136">
        <v>205.9</v>
      </c>
      <c r="H492" s="136">
        <v>4</v>
      </c>
      <c r="I492" s="94"/>
      <c r="J492" s="136"/>
      <c r="K492" s="136" t="s">
        <v>1145</v>
      </c>
      <c r="L492" s="136">
        <v>50.3</v>
      </c>
      <c r="M492" s="136">
        <f>+G492+H492+L492</f>
        <v>260.2</v>
      </c>
      <c r="N492" s="94" t="s">
        <v>1002</v>
      </c>
      <c r="O492" s="94" t="s">
        <v>1982</v>
      </c>
      <c r="P492" s="76" t="s">
        <v>36</v>
      </c>
      <c r="Q492" s="95">
        <v>130</v>
      </c>
      <c r="R492" s="95">
        <v>130</v>
      </c>
      <c r="S492" s="94" t="s">
        <v>1146</v>
      </c>
      <c r="T492" s="136">
        <v>0</v>
      </c>
      <c r="U492" s="215">
        <f>T492/Q492</f>
        <v>0</v>
      </c>
      <c r="V492" s="95">
        <f>Q492</f>
        <v>130</v>
      </c>
      <c r="W492" s="95">
        <f>T492</f>
        <v>0</v>
      </c>
      <c r="X492" s="95"/>
      <c r="Y492" s="95"/>
      <c r="Z492" s="94" t="s">
        <v>1038</v>
      </c>
      <c r="AA492" s="98"/>
    </row>
    <row r="493" spans="1:27" ht="24">
      <c r="A493" s="475"/>
      <c r="B493" s="650">
        <v>17</v>
      </c>
      <c r="C493" s="94" t="s">
        <v>1983</v>
      </c>
      <c r="D493" s="691">
        <v>44573.54</v>
      </c>
      <c r="E493" s="694" t="s">
        <v>2194</v>
      </c>
      <c r="F493" s="94" t="s">
        <v>507</v>
      </c>
      <c r="G493" s="626">
        <v>196.93</v>
      </c>
      <c r="H493" s="626">
        <v>4</v>
      </c>
      <c r="I493" s="94"/>
      <c r="J493" s="136"/>
      <c r="K493" s="136"/>
      <c r="L493" s="136"/>
      <c r="M493" s="626">
        <f>SUM(G493:H495)</f>
        <v>200.93</v>
      </c>
      <c r="N493" s="94" t="s">
        <v>1147</v>
      </c>
      <c r="O493" s="94" t="s">
        <v>1148</v>
      </c>
      <c r="P493" s="76" t="s">
        <v>36</v>
      </c>
      <c r="Q493" s="95">
        <v>341</v>
      </c>
      <c r="R493" s="95">
        <v>762</v>
      </c>
      <c r="S493" s="94" t="s">
        <v>1149</v>
      </c>
      <c r="T493" s="136">
        <v>298</v>
      </c>
      <c r="U493" s="231">
        <f>T493/Q493</f>
        <v>0.87390029325513197</v>
      </c>
      <c r="V493" s="629">
        <f>SUM(Q493:Q495)</f>
        <v>545</v>
      </c>
      <c r="W493" s="629">
        <f>SUM(T493:T495)</f>
        <v>348</v>
      </c>
      <c r="X493" s="632">
        <f>W493/V493</f>
        <v>0.63853211009174315</v>
      </c>
      <c r="Y493" s="632">
        <f>W493/M493</f>
        <v>1.7319464490120937</v>
      </c>
      <c r="Z493" s="94" t="s">
        <v>1038</v>
      </c>
      <c r="AA493" s="98"/>
    </row>
    <row r="494" spans="1:27" ht="60">
      <c r="A494" s="475"/>
      <c r="B494" s="651"/>
      <c r="C494" s="94" t="s">
        <v>1983</v>
      </c>
      <c r="D494" s="692"/>
      <c r="E494" s="695"/>
      <c r="F494" s="94" t="s">
        <v>507</v>
      </c>
      <c r="G494" s="627"/>
      <c r="H494" s="627"/>
      <c r="I494" s="94"/>
      <c r="J494" s="136"/>
      <c r="K494" s="136"/>
      <c r="L494" s="136"/>
      <c r="M494" s="627"/>
      <c r="N494" s="94" t="s">
        <v>1002</v>
      </c>
      <c r="O494" s="94" t="s">
        <v>1984</v>
      </c>
      <c r="P494" s="76" t="s">
        <v>36</v>
      </c>
      <c r="Q494" s="95">
        <v>122</v>
      </c>
      <c r="R494" s="95">
        <v>352</v>
      </c>
      <c r="S494" s="94"/>
      <c r="T494" s="136"/>
      <c r="U494" s="94"/>
      <c r="V494" s="630"/>
      <c r="W494" s="630"/>
      <c r="X494" s="633"/>
      <c r="Y494" s="633"/>
      <c r="Z494" s="94" t="s">
        <v>1038</v>
      </c>
      <c r="AA494" s="98"/>
    </row>
    <row r="495" spans="1:27" ht="24" hidden="1" customHeight="1">
      <c r="A495" s="475"/>
      <c r="B495" s="652"/>
      <c r="C495" s="94" t="s">
        <v>1983</v>
      </c>
      <c r="D495" s="693"/>
      <c r="E495" s="696"/>
      <c r="F495" s="94"/>
      <c r="G495" s="628"/>
      <c r="H495" s="628"/>
      <c r="I495" s="94" t="s">
        <v>1145</v>
      </c>
      <c r="J495" s="136">
        <v>47.9</v>
      </c>
      <c r="K495" s="136"/>
      <c r="L495" s="136"/>
      <c r="M495" s="628"/>
      <c r="N495" s="94" t="s">
        <v>111</v>
      </c>
      <c r="O495" s="94" t="s">
        <v>1150</v>
      </c>
      <c r="P495" s="76" t="s">
        <v>27</v>
      </c>
      <c r="Q495" s="95">
        <v>82</v>
      </c>
      <c r="R495" s="95">
        <v>50</v>
      </c>
      <c r="S495" s="94" t="s">
        <v>649</v>
      </c>
      <c r="T495" s="136">
        <v>50</v>
      </c>
      <c r="U495" s="231">
        <f>T495/Q495</f>
        <v>0.6097560975609756</v>
      </c>
      <c r="V495" s="631"/>
      <c r="W495" s="631"/>
      <c r="X495" s="634"/>
      <c r="Y495" s="634"/>
      <c r="Z495" s="94" t="s">
        <v>1038</v>
      </c>
      <c r="AA495" s="98"/>
    </row>
    <row r="496" spans="1:27" ht="36" hidden="1" customHeight="1">
      <c r="A496" s="475"/>
      <c r="B496" s="232">
        <v>18</v>
      </c>
      <c r="C496" s="93" t="s">
        <v>1985</v>
      </c>
      <c r="D496" s="397">
        <v>31344.566378</v>
      </c>
      <c r="E496" s="394" t="s">
        <v>2195</v>
      </c>
      <c r="F496" s="94" t="s">
        <v>1151</v>
      </c>
      <c r="G496" s="136">
        <v>74.44</v>
      </c>
      <c r="H496" s="136">
        <v>2.5</v>
      </c>
      <c r="I496" s="94" t="s">
        <v>1151</v>
      </c>
      <c r="J496" s="136">
        <v>10.97</v>
      </c>
      <c r="K496" s="136"/>
      <c r="L496" s="136"/>
      <c r="M496" s="136">
        <f>SUM(G496,H496,J496,L496)</f>
        <v>87.91</v>
      </c>
      <c r="N496" s="94"/>
      <c r="O496" s="94"/>
      <c r="P496" s="94"/>
      <c r="Q496" s="95"/>
      <c r="R496" s="95"/>
      <c r="S496" s="94"/>
      <c r="T496" s="136"/>
      <c r="U496" s="215"/>
      <c r="V496" s="212"/>
      <c r="W496" s="212"/>
      <c r="X496" s="212"/>
      <c r="Y496" s="212"/>
      <c r="Z496" s="94" t="s">
        <v>1152</v>
      </c>
      <c r="AA496" s="98"/>
    </row>
    <row r="497" spans="1:27" ht="48" hidden="1" customHeight="1">
      <c r="A497" s="475"/>
      <c r="B497" s="213">
        <v>19</v>
      </c>
      <c r="C497" s="214" t="s">
        <v>1986</v>
      </c>
      <c r="D497" s="383">
        <v>23069.153900000001</v>
      </c>
      <c r="E497" s="394" t="s">
        <v>2196</v>
      </c>
      <c r="F497" s="94" t="s">
        <v>1153</v>
      </c>
      <c r="G497" s="136">
        <v>46.638308000000002</v>
      </c>
      <c r="H497" s="136">
        <v>0.5</v>
      </c>
      <c r="I497" s="94" t="s">
        <v>1154</v>
      </c>
      <c r="J497" s="136">
        <v>23.069154000000001</v>
      </c>
      <c r="K497" s="136"/>
      <c r="L497" s="136"/>
      <c r="M497" s="136">
        <f>J497+H497+G497</f>
        <v>70.207462000000007</v>
      </c>
      <c r="N497" s="94"/>
      <c r="O497" s="94"/>
      <c r="P497" s="94"/>
      <c r="Q497" s="95"/>
      <c r="R497" s="95"/>
      <c r="S497" s="94"/>
      <c r="T497" s="136"/>
      <c r="U497" s="215"/>
      <c r="V497" s="212"/>
      <c r="W497" s="212"/>
      <c r="X497" s="212"/>
      <c r="Y497" s="212"/>
      <c r="Z497" s="94" t="s">
        <v>1045</v>
      </c>
      <c r="AA497" s="98"/>
    </row>
    <row r="498" spans="1:27" ht="24">
      <c r="A498" s="475"/>
      <c r="B498" s="650">
        <v>20</v>
      </c>
      <c r="C498" s="653" t="s">
        <v>1155</v>
      </c>
      <c r="D498" s="687">
        <v>17365.657899999998</v>
      </c>
      <c r="E498" s="689" t="s">
        <v>2197</v>
      </c>
      <c r="F498" s="647" t="s">
        <v>1156</v>
      </c>
      <c r="G498" s="626">
        <v>71.7</v>
      </c>
      <c r="H498" s="626"/>
      <c r="I498" s="647" t="s">
        <v>1157</v>
      </c>
      <c r="J498" s="626">
        <v>26.05</v>
      </c>
      <c r="K498" s="626"/>
      <c r="L498" s="626"/>
      <c r="M498" s="626">
        <f>SUM(G498,H498,J498,L498)</f>
        <v>97.75</v>
      </c>
      <c r="N498" s="94" t="s">
        <v>1158</v>
      </c>
      <c r="O498" s="94" t="s">
        <v>1159</v>
      </c>
      <c r="P498" s="76" t="s">
        <v>36</v>
      </c>
      <c r="Q498" s="95">
        <v>21.23</v>
      </c>
      <c r="R498" s="95">
        <v>266.89999999999998</v>
      </c>
      <c r="S498" s="94" t="s">
        <v>1160</v>
      </c>
      <c r="T498" s="136"/>
      <c r="U498" s="215"/>
      <c r="V498" s="629">
        <f>SUM(Q498:Q499)</f>
        <v>34.94</v>
      </c>
      <c r="W498" s="629">
        <f>SUM(T498:T499)</f>
        <v>0</v>
      </c>
      <c r="X498" s="629"/>
      <c r="Y498" s="629"/>
      <c r="Z498" s="94" t="s">
        <v>1161</v>
      </c>
      <c r="AA498" s="98"/>
    </row>
    <row r="499" spans="1:27" ht="24">
      <c r="A499" s="475"/>
      <c r="B499" s="652"/>
      <c r="C499" s="655"/>
      <c r="D499" s="688"/>
      <c r="E499" s="690"/>
      <c r="F499" s="649"/>
      <c r="G499" s="628"/>
      <c r="H499" s="628"/>
      <c r="I499" s="649"/>
      <c r="J499" s="628"/>
      <c r="K499" s="628"/>
      <c r="L499" s="628"/>
      <c r="M499" s="628"/>
      <c r="N499" s="94" t="s">
        <v>1162</v>
      </c>
      <c r="O499" s="94" t="s">
        <v>1159</v>
      </c>
      <c r="P499" s="76" t="s">
        <v>36</v>
      </c>
      <c r="Q499" s="95">
        <v>13.71</v>
      </c>
      <c r="R499" s="95">
        <v>129.41</v>
      </c>
      <c r="S499" s="94" t="s">
        <v>1160</v>
      </c>
      <c r="T499" s="136"/>
      <c r="U499" s="94"/>
      <c r="V499" s="631"/>
      <c r="W499" s="631"/>
      <c r="X499" s="631"/>
      <c r="Y499" s="631"/>
      <c r="Z499" s="94" t="s">
        <v>1161</v>
      </c>
      <c r="AA499" s="98"/>
    </row>
    <row r="500" spans="1:27" ht="36">
      <c r="A500" s="475"/>
      <c r="B500" s="659">
        <v>21</v>
      </c>
      <c r="C500" s="638" t="s">
        <v>1987</v>
      </c>
      <c r="D500" s="704">
        <v>35180.79</v>
      </c>
      <c r="E500" s="644" t="s">
        <v>2198</v>
      </c>
      <c r="F500" s="647" t="s">
        <v>1163</v>
      </c>
      <c r="G500" s="626">
        <v>141.88</v>
      </c>
      <c r="H500" s="626">
        <v>4</v>
      </c>
      <c r="I500" s="647" t="s">
        <v>1164</v>
      </c>
      <c r="J500" s="626">
        <v>20.79</v>
      </c>
      <c r="K500" s="136"/>
      <c r="L500" s="136"/>
      <c r="M500" s="626">
        <f>SUM(G500,H500,J500,L500)</f>
        <v>166.67</v>
      </c>
      <c r="N500" s="94" t="s">
        <v>903</v>
      </c>
      <c r="O500" s="222" t="s">
        <v>1165</v>
      </c>
      <c r="P500" s="76" t="s">
        <v>36</v>
      </c>
      <c r="Q500" s="95">
        <v>185</v>
      </c>
      <c r="R500" s="95">
        <v>185</v>
      </c>
      <c r="S500" s="94" t="s">
        <v>1166</v>
      </c>
      <c r="T500" s="136">
        <f>29-15</f>
        <v>14</v>
      </c>
      <c r="U500" s="215">
        <f t="shared" ref="U500:U505" si="47">T500/Q500</f>
        <v>7.567567567567568E-2</v>
      </c>
      <c r="V500" s="629">
        <f>SUM(Q500:Q505)</f>
        <v>232.79999999999998</v>
      </c>
      <c r="W500" s="629">
        <f>SUM(T500:T505)</f>
        <v>21.554917000000003</v>
      </c>
      <c r="X500" s="632">
        <f>W500/V500</f>
        <v>9.2589849656357415E-2</v>
      </c>
      <c r="Y500" s="632">
        <f>W500/M500</f>
        <v>0.12932691546169078</v>
      </c>
      <c r="Z500" s="94" t="s">
        <v>1038</v>
      </c>
      <c r="AA500" s="98"/>
    </row>
    <row r="501" spans="1:27" ht="24">
      <c r="A501" s="475"/>
      <c r="B501" s="660"/>
      <c r="C501" s="639"/>
      <c r="D501" s="705"/>
      <c r="E501" s="645"/>
      <c r="F501" s="648"/>
      <c r="G501" s="627"/>
      <c r="H501" s="627"/>
      <c r="I501" s="648"/>
      <c r="J501" s="627"/>
      <c r="K501" s="136"/>
      <c r="L501" s="136"/>
      <c r="M501" s="627"/>
      <c r="N501" s="94" t="s">
        <v>1167</v>
      </c>
      <c r="O501" s="222" t="s">
        <v>1988</v>
      </c>
      <c r="P501" s="76" t="s">
        <v>36</v>
      </c>
      <c r="Q501" s="95">
        <v>43.2</v>
      </c>
      <c r="R501" s="95">
        <v>43.2</v>
      </c>
      <c r="S501" s="94" t="s">
        <v>1166</v>
      </c>
      <c r="T501" s="136">
        <f>18.5-15</f>
        <v>3.5</v>
      </c>
      <c r="U501" s="215">
        <f t="shared" si="47"/>
        <v>8.1018518518518517E-2</v>
      </c>
      <c r="V501" s="630"/>
      <c r="W501" s="630"/>
      <c r="X501" s="633"/>
      <c r="Y501" s="633"/>
      <c r="Z501" s="94" t="s">
        <v>1038</v>
      </c>
      <c r="AA501" s="98"/>
    </row>
    <row r="502" spans="1:27" ht="36" hidden="1" customHeight="1">
      <c r="A502" s="475"/>
      <c r="B502" s="660"/>
      <c r="C502" s="639"/>
      <c r="D502" s="705"/>
      <c r="E502" s="645"/>
      <c r="F502" s="648"/>
      <c r="G502" s="627"/>
      <c r="H502" s="627"/>
      <c r="I502" s="648"/>
      <c r="J502" s="627"/>
      <c r="K502" s="136"/>
      <c r="L502" s="136"/>
      <c r="M502" s="627"/>
      <c r="N502" s="94" t="s">
        <v>682</v>
      </c>
      <c r="O502" s="222" t="s">
        <v>1168</v>
      </c>
      <c r="P502" s="76" t="s">
        <v>27</v>
      </c>
      <c r="Q502" s="95">
        <v>0.8</v>
      </c>
      <c r="R502" s="95">
        <v>0.8</v>
      </c>
      <c r="S502" s="94" t="s">
        <v>1169</v>
      </c>
      <c r="T502" s="136">
        <v>0.69599999999999995</v>
      </c>
      <c r="U502" s="215">
        <f t="shared" si="47"/>
        <v>0.86999999999999988</v>
      </c>
      <c r="V502" s="630"/>
      <c r="W502" s="630"/>
      <c r="X502" s="633"/>
      <c r="Y502" s="633"/>
      <c r="Z502" s="94" t="s">
        <v>1038</v>
      </c>
      <c r="AA502" s="98"/>
    </row>
    <row r="503" spans="1:27" ht="36" hidden="1" customHeight="1">
      <c r="A503" s="475"/>
      <c r="B503" s="660"/>
      <c r="C503" s="639"/>
      <c r="D503" s="705"/>
      <c r="E503" s="645"/>
      <c r="F503" s="648"/>
      <c r="G503" s="627"/>
      <c r="H503" s="627"/>
      <c r="I503" s="648"/>
      <c r="J503" s="627"/>
      <c r="K503" s="136"/>
      <c r="L503" s="136"/>
      <c r="M503" s="627"/>
      <c r="N503" s="94" t="s">
        <v>1170</v>
      </c>
      <c r="O503" s="222" t="s">
        <v>1171</v>
      </c>
      <c r="P503" s="76" t="s">
        <v>27</v>
      </c>
      <c r="Q503" s="95">
        <v>1.2</v>
      </c>
      <c r="R503" s="95">
        <v>1.2</v>
      </c>
      <c r="S503" s="94" t="s">
        <v>1172</v>
      </c>
      <c r="T503" s="136">
        <v>1.0149999999999999</v>
      </c>
      <c r="U503" s="215">
        <f t="shared" si="47"/>
        <v>0.84583333333333333</v>
      </c>
      <c r="V503" s="630"/>
      <c r="W503" s="630"/>
      <c r="X503" s="633"/>
      <c r="Y503" s="633"/>
      <c r="Z503" s="94" t="s">
        <v>1038</v>
      </c>
      <c r="AA503" s="98"/>
    </row>
    <row r="504" spans="1:27" ht="48" hidden="1" customHeight="1">
      <c r="A504" s="475"/>
      <c r="B504" s="660"/>
      <c r="C504" s="639"/>
      <c r="D504" s="705"/>
      <c r="E504" s="645"/>
      <c r="F504" s="648"/>
      <c r="G504" s="627"/>
      <c r="H504" s="627"/>
      <c r="I504" s="648"/>
      <c r="J504" s="627"/>
      <c r="K504" s="136"/>
      <c r="L504" s="136"/>
      <c r="M504" s="627"/>
      <c r="N504" s="94" t="s">
        <v>1173</v>
      </c>
      <c r="O504" s="222" t="s">
        <v>1174</v>
      </c>
      <c r="P504" s="76" t="s">
        <v>27</v>
      </c>
      <c r="Q504" s="95">
        <v>2.1</v>
      </c>
      <c r="R504" s="95">
        <v>2.1</v>
      </c>
      <c r="S504" s="94" t="s">
        <v>1175</v>
      </c>
      <c r="T504" s="136">
        <v>2</v>
      </c>
      <c r="U504" s="215">
        <f t="shared" si="47"/>
        <v>0.95238095238095233</v>
      </c>
      <c r="V504" s="630"/>
      <c r="W504" s="630"/>
      <c r="X504" s="633"/>
      <c r="Y504" s="633"/>
      <c r="Z504" s="94" t="s">
        <v>1038</v>
      </c>
      <c r="AA504" s="98"/>
    </row>
    <row r="505" spans="1:27" ht="48" hidden="1" customHeight="1">
      <c r="A505" s="475"/>
      <c r="B505" s="661"/>
      <c r="C505" s="640"/>
      <c r="D505" s="706"/>
      <c r="E505" s="646"/>
      <c r="F505" s="649"/>
      <c r="G505" s="628"/>
      <c r="H505" s="628"/>
      <c r="I505" s="649"/>
      <c r="J505" s="628"/>
      <c r="K505" s="136"/>
      <c r="L505" s="136"/>
      <c r="M505" s="628"/>
      <c r="N505" s="94" t="s">
        <v>1176</v>
      </c>
      <c r="O505" s="222" t="s">
        <v>1989</v>
      </c>
      <c r="P505" s="76" t="s">
        <v>27</v>
      </c>
      <c r="Q505" s="95">
        <v>0.5</v>
      </c>
      <c r="R505" s="95">
        <v>0.5</v>
      </c>
      <c r="S505" s="94" t="s">
        <v>1177</v>
      </c>
      <c r="T505" s="136">
        <v>0.34391699999999997</v>
      </c>
      <c r="U505" s="215">
        <f t="shared" si="47"/>
        <v>0.68783399999999995</v>
      </c>
      <c r="V505" s="631"/>
      <c r="W505" s="631"/>
      <c r="X505" s="634"/>
      <c r="Y505" s="634"/>
      <c r="Z505" s="94" t="s">
        <v>1038</v>
      </c>
      <c r="AA505" s="98"/>
    </row>
    <row r="506" spans="1:27" ht="72" hidden="1" customHeight="1">
      <c r="A506" s="475"/>
      <c r="B506" s="659">
        <v>22</v>
      </c>
      <c r="C506" s="638" t="s">
        <v>1990</v>
      </c>
      <c r="D506" s="718">
        <v>47400.366800000003</v>
      </c>
      <c r="E506" s="674" t="s">
        <v>2199</v>
      </c>
      <c r="F506" s="94"/>
      <c r="G506" s="136"/>
      <c r="H506" s="136"/>
      <c r="I506" s="647" t="s">
        <v>39</v>
      </c>
      <c r="J506" s="626">
        <v>60</v>
      </c>
      <c r="K506" s="626" t="s">
        <v>39</v>
      </c>
      <c r="L506" s="626">
        <v>6</v>
      </c>
      <c r="M506" s="626">
        <v>66</v>
      </c>
      <c r="N506" s="94" t="s">
        <v>1178</v>
      </c>
      <c r="O506" s="94" t="s">
        <v>1179</v>
      </c>
      <c r="P506" s="76" t="s">
        <v>27</v>
      </c>
      <c r="Q506" s="95">
        <f>16286.84/10000</f>
        <v>1.628684</v>
      </c>
      <c r="R506" s="95">
        <f>16286.84/10000</f>
        <v>1.628684</v>
      </c>
      <c r="S506" s="94" t="s">
        <v>849</v>
      </c>
      <c r="T506" s="136">
        <f>11307.13/10000</f>
        <v>1.1307129999999999</v>
      </c>
      <c r="U506" s="215">
        <f>T506/R506</f>
        <v>0.69424946766837514</v>
      </c>
      <c r="V506" s="629">
        <f>SUM(Q506:Q507)</f>
        <v>5.9492409999999998</v>
      </c>
      <c r="W506" s="629">
        <f>SUM(T506:T507)</f>
        <v>3.6282350000000001</v>
      </c>
      <c r="X506" s="710">
        <f>W506/V506</f>
        <v>0.60986519120674387</v>
      </c>
      <c r="Y506" s="710">
        <f>W506/M506</f>
        <v>5.4973257575757578E-2</v>
      </c>
      <c r="Z506" s="94" t="s">
        <v>1038</v>
      </c>
      <c r="AA506" s="98"/>
    </row>
    <row r="507" spans="1:27" ht="48" hidden="1" customHeight="1">
      <c r="A507" s="475"/>
      <c r="B507" s="661"/>
      <c r="C507" s="640"/>
      <c r="D507" s="719"/>
      <c r="E507" s="676"/>
      <c r="F507" s="94"/>
      <c r="G507" s="136"/>
      <c r="H507" s="136"/>
      <c r="I507" s="649"/>
      <c r="J507" s="628"/>
      <c r="K507" s="628"/>
      <c r="L507" s="628"/>
      <c r="M507" s="628"/>
      <c r="N507" s="94" t="s">
        <v>649</v>
      </c>
      <c r="O507" s="94" t="s">
        <v>1180</v>
      </c>
      <c r="P507" s="76" t="s">
        <v>27</v>
      </c>
      <c r="Q507" s="95">
        <f>43205.57/10000</f>
        <v>4.320557</v>
      </c>
      <c r="R507" s="95">
        <f>43205.57/10000</f>
        <v>4.320557</v>
      </c>
      <c r="S507" s="94" t="s">
        <v>1181</v>
      </c>
      <c r="T507" s="136">
        <f>24975.22/10000</f>
        <v>2.497522</v>
      </c>
      <c r="U507" s="215">
        <f>T507/R507</f>
        <v>0.57805556089180166</v>
      </c>
      <c r="V507" s="631"/>
      <c r="W507" s="631"/>
      <c r="X507" s="711"/>
      <c r="Y507" s="711"/>
      <c r="Z507" s="94" t="s">
        <v>1038</v>
      </c>
      <c r="AA507" s="98"/>
    </row>
    <row r="508" spans="1:27">
      <c r="A508" s="475"/>
      <c r="B508" s="650">
        <v>23</v>
      </c>
      <c r="C508" s="653" t="s">
        <v>1991</v>
      </c>
      <c r="D508" s="712">
        <v>43191.96</v>
      </c>
      <c r="E508" s="715" t="s">
        <v>2200</v>
      </c>
      <c r="F508" s="653" t="s">
        <v>39</v>
      </c>
      <c r="G508" s="697">
        <v>221.54310000000001</v>
      </c>
      <c r="H508" s="697">
        <v>4</v>
      </c>
      <c r="I508" s="653" t="s">
        <v>250</v>
      </c>
      <c r="J508" s="697">
        <v>45.564</v>
      </c>
      <c r="K508" s="136"/>
      <c r="L508" s="136"/>
      <c r="M508" s="697">
        <f>SUM(G508,H508,J508,L508)</f>
        <v>271.1071</v>
      </c>
      <c r="N508" s="94" t="s">
        <v>1182</v>
      </c>
      <c r="O508" s="94" t="s">
        <v>1992</v>
      </c>
      <c r="P508" s="76" t="s">
        <v>36</v>
      </c>
      <c r="Q508" s="95">
        <v>85</v>
      </c>
      <c r="R508" s="95">
        <v>110</v>
      </c>
      <c r="S508" s="94" t="s">
        <v>284</v>
      </c>
      <c r="T508" s="136">
        <v>59.109085999999998</v>
      </c>
      <c r="U508" s="215">
        <f>T508/Q508</f>
        <v>0.69540101176470581</v>
      </c>
      <c r="V508" s="629">
        <f>SUM(Q508:Q512)</f>
        <v>93.047316000000009</v>
      </c>
      <c r="W508" s="629">
        <f>SUM(T508:T512)</f>
        <v>59.109085999999998</v>
      </c>
      <c r="X508" s="632">
        <f>W508/V508</f>
        <v>0.63525836682919468</v>
      </c>
      <c r="Y508" s="632">
        <f>W508/M508</f>
        <v>0.21802854296327909</v>
      </c>
      <c r="Z508" s="94" t="s">
        <v>1038</v>
      </c>
      <c r="AA508" s="98"/>
    </row>
    <row r="509" spans="1:27" ht="24" hidden="1" customHeight="1">
      <c r="A509" s="475"/>
      <c r="B509" s="651"/>
      <c r="C509" s="654"/>
      <c r="D509" s="713"/>
      <c r="E509" s="716"/>
      <c r="F509" s="654"/>
      <c r="G509" s="698"/>
      <c r="H509" s="698"/>
      <c r="I509" s="654"/>
      <c r="J509" s="698"/>
      <c r="K509" s="136"/>
      <c r="L509" s="136"/>
      <c r="M509" s="698"/>
      <c r="N509" s="94" t="s">
        <v>1065</v>
      </c>
      <c r="O509" s="94" t="s">
        <v>1993</v>
      </c>
      <c r="P509" s="76" t="s">
        <v>27</v>
      </c>
      <c r="Q509" s="95"/>
      <c r="R509" s="95"/>
      <c r="S509" s="94"/>
      <c r="T509" s="136"/>
      <c r="U509" s="94"/>
      <c r="V509" s="630"/>
      <c r="W509" s="630"/>
      <c r="X509" s="633"/>
      <c r="Y509" s="633"/>
      <c r="Z509" s="94" t="s">
        <v>1038</v>
      </c>
      <c r="AA509" s="98"/>
    </row>
    <row r="510" spans="1:27" ht="15" hidden="1" customHeight="1">
      <c r="A510" s="475"/>
      <c r="B510" s="651"/>
      <c r="C510" s="654"/>
      <c r="D510" s="713"/>
      <c r="E510" s="716"/>
      <c r="F510" s="654"/>
      <c r="G510" s="698"/>
      <c r="H510" s="698"/>
      <c r="I510" s="654"/>
      <c r="J510" s="698"/>
      <c r="K510" s="136"/>
      <c r="L510" s="136"/>
      <c r="M510" s="698"/>
      <c r="N510" s="94" t="s">
        <v>389</v>
      </c>
      <c r="O510" s="94" t="s">
        <v>1183</v>
      </c>
      <c r="P510" s="76" t="s">
        <v>27</v>
      </c>
      <c r="Q510" s="95"/>
      <c r="R510" s="95"/>
      <c r="S510" s="94"/>
      <c r="T510" s="136"/>
      <c r="U510" s="94"/>
      <c r="V510" s="630"/>
      <c r="W510" s="630"/>
      <c r="X510" s="633"/>
      <c r="Y510" s="633"/>
      <c r="Z510" s="94" t="s">
        <v>1038</v>
      </c>
      <c r="AA510" s="98"/>
    </row>
    <row r="511" spans="1:27" ht="24" hidden="1" customHeight="1">
      <c r="A511" s="475"/>
      <c r="B511" s="651"/>
      <c r="C511" s="654"/>
      <c r="D511" s="713"/>
      <c r="E511" s="716"/>
      <c r="F511" s="654"/>
      <c r="G511" s="698"/>
      <c r="H511" s="698"/>
      <c r="I511" s="654"/>
      <c r="J511" s="698"/>
      <c r="K511" s="136"/>
      <c r="L511" s="136"/>
      <c r="M511" s="698"/>
      <c r="N511" s="94" t="s">
        <v>1184</v>
      </c>
      <c r="O511" s="94" t="s">
        <v>1185</v>
      </c>
      <c r="P511" s="76" t="s">
        <v>27</v>
      </c>
      <c r="Q511" s="95">
        <v>7.2011479999999999</v>
      </c>
      <c r="R511" s="95">
        <v>7.2011479999999999</v>
      </c>
      <c r="S511" s="94"/>
      <c r="T511" s="136"/>
      <c r="U511" s="94"/>
      <c r="V511" s="630"/>
      <c r="W511" s="630"/>
      <c r="X511" s="633"/>
      <c r="Y511" s="633"/>
      <c r="Z511" s="94" t="s">
        <v>1038</v>
      </c>
      <c r="AA511" s="98"/>
    </row>
    <row r="512" spans="1:27" ht="24" hidden="1" customHeight="1">
      <c r="A512" s="475"/>
      <c r="B512" s="652"/>
      <c r="C512" s="655"/>
      <c r="D512" s="714"/>
      <c r="E512" s="717"/>
      <c r="F512" s="655"/>
      <c r="G512" s="699"/>
      <c r="H512" s="699"/>
      <c r="I512" s="655"/>
      <c r="J512" s="699"/>
      <c r="K512" s="136"/>
      <c r="L512" s="136"/>
      <c r="M512" s="699"/>
      <c r="N512" s="94" t="s">
        <v>1186</v>
      </c>
      <c r="O512" s="94" t="s">
        <v>1994</v>
      </c>
      <c r="P512" s="76" t="s">
        <v>27</v>
      </c>
      <c r="Q512" s="95">
        <v>0.84616800000000003</v>
      </c>
      <c r="R512" s="95">
        <v>0.84616800000000003</v>
      </c>
      <c r="S512" s="94"/>
      <c r="T512" s="136"/>
      <c r="U512" s="94"/>
      <c r="V512" s="631"/>
      <c r="W512" s="631"/>
      <c r="X512" s="634"/>
      <c r="Y512" s="634"/>
      <c r="Z512" s="94" t="s">
        <v>1038</v>
      </c>
      <c r="AA512" s="98"/>
    </row>
    <row r="513" spans="1:27" ht="36" hidden="1" customHeight="1">
      <c r="A513" s="475"/>
      <c r="B513" s="211">
        <v>24</v>
      </c>
      <c r="C513" s="93" t="s">
        <v>1187</v>
      </c>
      <c r="D513" s="398">
        <v>47694.06</v>
      </c>
      <c r="E513" s="394" t="s">
        <v>2201</v>
      </c>
      <c r="F513" s="94" t="s">
        <v>543</v>
      </c>
      <c r="G513" s="136">
        <v>154.36000000000001</v>
      </c>
      <c r="H513" s="136" t="s">
        <v>1108</v>
      </c>
      <c r="I513" s="94" t="s">
        <v>250</v>
      </c>
      <c r="J513" s="136">
        <v>59.62</v>
      </c>
      <c r="K513" s="136" t="s">
        <v>1108</v>
      </c>
      <c r="L513" s="136" t="s">
        <v>1108</v>
      </c>
      <c r="M513" s="136">
        <f t="shared" ref="M513:M518" si="48">SUM(G513,H513,J513,L513)</f>
        <v>213.98000000000002</v>
      </c>
      <c r="N513" s="94" t="s">
        <v>1108</v>
      </c>
      <c r="O513" s="94" t="s">
        <v>1108</v>
      </c>
      <c r="P513" s="94" t="s">
        <v>1108</v>
      </c>
      <c r="Q513" s="95" t="s">
        <v>1108</v>
      </c>
      <c r="R513" s="95" t="s">
        <v>1108</v>
      </c>
      <c r="S513" s="94" t="s">
        <v>1108</v>
      </c>
      <c r="T513" s="136" t="s">
        <v>1108</v>
      </c>
      <c r="U513" s="215" t="s">
        <v>1108</v>
      </c>
      <c r="V513" s="212"/>
      <c r="W513" s="212"/>
      <c r="X513" s="212"/>
      <c r="Y513" s="212"/>
      <c r="Z513" s="94" t="s">
        <v>1045</v>
      </c>
      <c r="AA513" s="98"/>
    </row>
    <row r="514" spans="1:27" ht="24">
      <c r="A514" s="475"/>
      <c r="B514" s="650">
        <v>25</v>
      </c>
      <c r="C514" s="685" t="s">
        <v>1188</v>
      </c>
      <c r="D514" s="641">
        <v>65604.899999999994</v>
      </c>
      <c r="E514" s="707" t="s">
        <v>2202</v>
      </c>
      <c r="F514" s="653" t="s">
        <v>39</v>
      </c>
      <c r="G514" s="697">
        <f>730998.07/10000</f>
        <v>73.099806999999998</v>
      </c>
      <c r="H514" s="697">
        <f>6000/10000</f>
        <v>0.6</v>
      </c>
      <c r="I514" s="94"/>
      <c r="J514" s="136"/>
      <c r="K514" s="136"/>
      <c r="L514" s="136"/>
      <c r="M514" s="697">
        <f t="shared" si="48"/>
        <v>73.699806999999993</v>
      </c>
      <c r="N514" s="94" t="s">
        <v>1189</v>
      </c>
      <c r="O514" s="94" t="s">
        <v>1190</v>
      </c>
      <c r="P514" s="76" t="s">
        <v>36</v>
      </c>
      <c r="Q514" s="95">
        <v>5.63</v>
      </c>
      <c r="R514" s="95">
        <v>5.63</v>
      </c>
      <c r="S514" s="94" t="s">
        <v>1191</v>
      </c>
      <c r="T514" s="136">
        <v>5.09</v>
      </c>
      <c r="U514" s="215">
        <f>T514/Q514</f>
        <v>0.9040852575488455</v>
      </c>
      <c r="V514" s="629">
        <f>SUM(Q514:Q517)</f>
        <v>125.92999999999999</v>
      </c>
      <c r="W514" s="629">
        <f>SUM(T514:T517)</f>
        <v>92.37</v>
      </c>
      <c r="X514" s="710">
        <f>W514/V514</f>
        <v>0.73350273961724777</v>
      </c>
      <c r="Y514" s="710">
        <f>W514/M514</f>
        <v>1.2533275697723336</v>
      </c>
      <c r="Z514" s="94" t="s">
        <v>548</v>
      </c>
      <c r="AA514" s="98"/>
    </row>
    <row r="515" spans="1:27" ht="24">
      <c r="A515" s="475"/>
      <c r="B515" s="651"/>
      <c r="C515" s="700"/>
      <c r="D515" s="642"/>
      <c r="E515" s="708"/>
      <c r="F515" s="654"/>
      <c r="G515" s="698"/>
      <c r="H515" s="698"/>
      <c r="I515" s="94"/>
      <c r="J515" s="136"/>
      <c r="K515" s="136"/>
      <c r="L515" s="136"/>
      <c r="M515" s="698"/>
      <c r="N515" s="94" t="s">
        <v>1192</v>
      </c>
      <c r="O515" s="94" t="s">
        <v>1190</v>
      </c>
      <c r="P515" s="76" t="s">
        <v>36</v>
      </c>
      <c r="Q515" s="95">
        <v>40</v>
      </c>
      <c r="R515" s="95">
        <v>40</v>
      </c>
      <c r="S515" s="94" t="s">
        <v>1191</v>
      </c>
      <c r="T515" s="136">
        <v>12.11</v>
      </c>
      <c r="U515" s="215">
        <f>T515/Q515</f>
        <v>0.30274999999999996</v>
      </c>
      <c r="V515" s="630"/>
      <c r="W515" s="630"/>
      <c r="X515" s="722"/>
      <c r="Y515" s="722"/>
      <c r="Z515" s="94" t="s">
        <v>548</v>
      </c>
      <c r="AA515" s="98"/>
    </row>
    <row r="516" spans="1:27" ht="24">
      <c r="A516" s="475"/>
      <c r="B516" s="651"/>
      <c r="C516" s="700"/>
      <c r="D516" s="642"/>
      <c r="E516" s="708"/>
      <c r="F516" s="654"/>
      <c r="G516" s="698"/>
      <c r="H516" s="698"/>
      <c r="I516" s="94"/>
      <c r="J516" s="136"/>
      <c r="K516" s="136"/>
      <c r="L516" s="136"/>
      <c r="M516" s="698"/>
      <c r="N516" s="94" t="s">
        <v>1193</v>
      </c>
      <c r="O516" s="94" t="s">
        <v>1190</v>
      </c>
      <c r="P516" s="76" t="s">
        <v>36</v>
      </c>
      <c r="Q516" s="95">
        <v>44.94</v>
      </c>
      <c r="R516" s="95">
        <v>43.22</v>
      </c>
      <c r="S516" s="94" t="s">
        <v>1191</v>
      </c>
      <c r="T516" s="136">
        <v>40.520000000000003</v>
      </c>
      <c r="U516" s="215">
        <f>T516/Q516</f>
        <v>0.90164663996439709</v>
      </c>
      <c r="V516" s="630"/>
      <c r="W516" s="630"/>
      <c r="X516" s="722"/>
      <c r="Y516" s="722"/>
      <c r="Z516" s="94" t="s">
        <v>548</v>
      </c>
      <c r="AA516" s="98"/>
    </row>
    <row r="517" spans="1:27" ht="24">
      <c r="A517" s="475"/>
      <c r="B517" s="652"/>
      <c r="C517" s="686"/>
      <c r="D517" s="643"/>
      <c r="E517" s="709"/>
      <c r="F517" s="655"/>
      <c r="G517" s="699"/>
      <c r="H517" s="699"/>
      <c r="I517" s="94"/>
      <c r="J517" s="136"/>
      <c r="K517" s="136"/>
      <c r="L517" s="136"/>
      <c r="M517" s="699"/>
      <c r="N517" s="94" t="s">
        <v>539</v>
      </c>
      <c r="O517" s="94" t="s">
        <v>1190</v>
      </c>
      <c r="P517" s="76" t="s">
        <v>36</v>
      </c>
      <c r="Q517" s="95">
        <v>35.36</v>
      </c>
      <c r="R517" s="95">
        <v>45.36</v>
      </c>
      <c r="S517" s="94" t="s">
        <v>1194</v>
      </c>
      <c r="T517" s="136">
        <v>34.65</v>
      </c>
      <c r="U517" s="215">
        <f>T517/Q517</f>
        <v>0.97992081447963797</v>
      </c>
      <c r="V517" s="631"/>
      <c r="W517" s="631"/>
      <c r="X517" s="711"/>
      <c r="Y517" s="711"/>
      <c r="Z517" s="94" t="s">
        <v>548</v>
      </c>
      <c r="AA517" s="98"/>
    </row>
    <row r="518" spans="1:27" ht="15" hidden="1" customHeight="1">
      <c r="A518" s="475"/>
      <c r="B518" s="213">
        <v>26</v>
      </c>
      <c r="C518" s="214" t="s">
        <v>1995</v>
      </c>
      <c r="D518" s="399">
        <v>27474.080099999999</v>
      </c>
      <c r="E518" s="394" t="s">
        <v>2203</v>
      </c>
      <c r="F518" s="94" t="s">
        <v>542</v>
      </c>
      <c r="G518" s="136"/>
      <c r="H518" s="136"/>
      <c r="I518" s="94"/>
      <c r="J518" s="136"/>
      <c r="K518" s="136"/>
      <c r="L518" s="136"/>
      <c r="M518" s="136">
        <f t="shared" si="48"/>
        <v>0</v>
      </c>
      <c r="N518" s="94"/>
      <c r="O518" s="94"/>
      <c r="P518" s="94"/>
      <c r="Q518" s="95"/>
      <c r="R518" s="95"/>
      <c r="S518" s="94"/>
      <c r="T518" s="136"/>
      <c r="U518" s="215"/>
      <c r="V518" s="212"/>
      <c r="W518" s="212"/>
      <c r="X518" s="212"/>
      <c r="Y518" s="212"/>
      <c r="Z518" s="94" t="s">
        <v>1152</v>
      </c>
      <c r="AA518" s="98"/>
    </row>
    <row r="519" spans="1:27" ht="108">
      <c r="A519" s="475"/>
      <c r="B519" s="213">
        <v>27</v>
      </c>
      <c r="C519" s="214" t="s">
        <v>1996</v>
      </c>
      <c r="D519" s="393">
        <v>25181.189600000002</v>
      </c>
      <c r="E519" s="400" t="s">
        <v>2204</v>
      </c>
      <c r="F519" s="94" t="s">
        <v>1195</v>
      </c>
      <c r="G519" s="136">
        <v>61.002499999999998</v>
      </c>
      <c r="H519" s="136">
        <v>1.25</v>
      </c>
      <c r="I519" s="94" t="s">
        <v>1196</v>
      </c>
      <c r="J519" s="136">
        <v>13.733549999999999</v>
      </c>
      <c r="K519" s="136"/>
      <c r="L519" s="136"/>
      <c r="M519" s="136">
        <f>L519+J519+H519+G519</f>
        <v>75.986049999999992</v>
      </c>
      <c r="N519" s="94" t="s">
        <v>1197</v>
      </c>
      <c r="O519" s="94" t="s">
        <v>1997</v>
      </c>
      <c r="P519" s="76" t="s">
        <v>36</v>
      </c>
      <c r="Q519" s="95">
        <f>42.6748+15</f>
        <v>57.674799999999998</v>
      </c>
      <c r="R519" s="95">
        <v>90.087699999999998</v>
      </c>
      <c r="S519" s="95" t="s">
        <v>137</v>
      </c>
      <c r="T519" s="136">
        <v>74.965900000000005</v>
      </c>
      <c r="U519" s="215">
        <f t="shared" ref="U519:U525" si="49">T519/Q519</f>
        <v>1.2998033803324851</v>
      </c>
      <c r="V519" s="95">
        <f>Q519</f>
        <v>57.674799999999998</v>
      </c>
      <c r="W519" s="95">
        <f>T519</f>
        <v>74.965900000000005</v>
      </c>
      <c r="X519" s="233">
        <f>W519/V519</f>
        <v>1.2998033803324851</v>
      </c>
      <c r="Y519" s="233">
        <f>W519/M519</f>
        <v>0.98657450940008085</v>
      </c>
      <c r="Z519" s="94" t="s">
        <v>1152</v>
      </c>
      <c r="AA519" s="98"/>
    </row>
    <row r="520" spans="1:27" ht="24">
      <c r="A520" s="475"/>
      <c r="B520" s="650">
        <v>28</v>
      </c>
      <c r="C520" s="653" t="s">
        <v>1198</v>
      </c>
      <c r="D520" s="723">
        <v>79812.36</v>
      </c>
      <c r="E520" s="726" t="s">
        <v>2205</v>
      </c>
      <c r="F520" s="647" t="s">
        <v>1199</v>
      </c>
      <c r="G520" s="626">
        <v>226.2</v>
      </c>
      <c r="H520" s="234"/>
      <c r="I520" s="647" t="s">
        <v>1199</v>
      </c>
      <c r="J520" s="626">
        <v>104.5</v>
      </c>
      <c r="K520" s="136"/>
      <c r="L520" s="136"/>
      <c r="M520" s="136">
        <f t="shared" ref="M520:M526" si="50">SUM(G520,H520,J520,L520)</f>
        <v>330.7</v>
      </c>
      <c r="N520" s="94">
        <v>2014.7</v>
      </c>
      <c r="O520" s="94" t="s">
        <v>1200</v>
      </c>
      <c r="P520" s="76" t="s">
        <v>36</v>
      </c>
      <c r="Q520" s="95">
        <f>50000/10000</f>
        <v>5</v>
      </c>
      <c r="R520" s="95">
        <v>20</v>
      </c>
      <c r="S520" s="94" t="s">
        <v>1201</v>
      </c>
      <c r="T520" s="136">
        <v>4.6962000000000002</v>
      </c>
      <c r="U520" s="215">
        <f t="shared" si="49"/>
        <v>0.93924000000000007</v>
      </c>
      <c r="V520" s="629">
        <f>SUM(Q520:Q525)</f>
        <v>103.866975</v>
      </c>
      <c r="W520" s="629">
        <f>SUM(T520:T525)</f>
        <v>4.6962000000000002</v>
      </c>
      <c r="X520" s="632">
        <f>W520/V520</f>
        <v>4.5213601339598078E-2</v>
      </c>
      <c r="Y520" s="632">
        <f>W520/M520</f>
        <v>1.4200786211067434E-2</v>
      </c>
      <c r="Z520" s="94" t="s">
        <v>814</v>
      </c>
      <c r="AA520" s="98"/>
    </row>
    <row r="521" spans="1:27" ht="15" hidden="1" customHeight="1">
      <c r="A521" s="475"/>
      <c r="B521" s="651"/>
      <c r="C521" s="654"/>
      <c r="D521" s="724"/>
      <c r="E521" s="727"/>
      <c r="F521" s="648"/>
      <c r="G521" s="627"/>
      <c r="H521" s="136"/>
      <c r="I521" s="648"/>
      <c r="J521" s="627"/>
      <c r="K521" s="136"/>
      <c r="L521" s="136"/>
      <c r="M521" s="136">
        <f t="shared" si="50"/>
        <v>0</v>
      </c>
      <c r="N521" s="89" t="s">
        <v>1167</v>
      </c>
      <c r="O521" s="89" t="s">
        <v>1202</v>
      </c>
      <c r="P521" s="76" t="s">
        <v>27</v>
      </c>
      <c r="Q521" s="230">
        <v>1.9949749999999999</v>
      </c>
      <c r="R521" s="230">
        <v>1.9949749999999999</v>
      </c>
      <c r="S521" s="94"/>
      <c r="T521" s="136"/>
      <c r="U521" s="215">
        <f t="shared" si="49"/>
        <v>0</v>
      </c>
      <c r="V521" s="630"/>
      <c r="W521" s="630"/>
      <c r="X521" s="633"/>
      <c r="Y521" s="633"/>
      <c r="Z521" s="94" t="s">
        <v>814</v>
      </c>
      <c r="AA521" s="98"/>
    </row>
    <row r="522" spans="1:27" ht="15" hidden="1" customHeight="1">
      <c r="A522" s="475"/>
      <c r="B522" s="651"/>
      <c r="C522" s="654"/>
      <c r="D522" s="724"/>
      <c r="E522" s="727"/>
      <c r="F522" s="648"/>
      <c r="G522" s="627"/>
      <c r="H522" s="136"/>
      <c r="I522" s="648"/>
      <c r="J522" s="627"/>
      <c r="K522" s="136"/>
      <c r="L522" s="136"/>
      <c r="M522" s="136">
        <f t="shared" si="50"/>
        <v>0</v>
      </c>
      <c r="N522" s="89" t="s">
        <v>1002</v>
      </c>
      <c r="O522" s="89" t="s">
        <v>1203</v>
      </c>
      <c r="P522" s="76" t="s">
        <v>27</v>
      </c>
      <c r="Q522" s="230">
        <v>2.1248640000000001</v>
      </c>
      <c r="R522" s="230">
        <v>2.1248640000000001</v>
      </c>
      <c r="S522" s="94"/>
      <c r="T522" s="136"/>
      <c r="U522" s="215">
        <f t="shared" si="49"/>
        <v>0</v>
      </c>
      <c r="V522" s="630"/>
      <c r="W522" s="630"/>
      <c r="X522" s="633"/>
      <c r="Y522" s="633"/>
      <c r="Z522" s="94" t="s">
        <v>814</v>
      </c>
      <c r="AA522" s="98"/>
    </row>
    <row r="523" spans="1:27" ht="15" hidden="1" customHeight="1">
      <c r="A523" s="475"/>
      <c r="B523" s="651"/>
      <c r="C523" s="654"/>
      <c r="D523" s="724"/>
      <c r="E523" s="727"/>
      <c r="F523" s="648"/>
      <c r="G523" s="627"/>
      <c r="H523" s="136"/>
      <c r="I523" s="648"/>
      <c r="J523" s="627"/>
      <c r="K523" s="136"/>
      <c r="L523" s="136"/>
      <c r="M523" s="136">
        <f t="shared" si="50"/>
        <v>0</v>
      </c>
      <c r="N523" s="89" t="s">
        <v>1204</v>
      </c>
      <c r="O523" s="89" t="s">
        <v>1205</v>
      </c>
      <c r="P523" s="76" t="s">
        <v>27</v>
      </c>
      <c r="Q523" s="230">
        <v>0.65801299999999996</v>
      </c>
      <c r="R523" s="230">
        <v>0.65801299999999996</v>
      </c>
      <c r="S523" s="94"/>
      <c r="T523" s="136"/>
      <c r="U523" s="215">
        <f t="shared" si="49"/>
        <v>0</v>
      </c>
      <c r="V523" s="630"/>
      <c r="W523" s="630"/>
      <c r="X523" s="633"/>
      <c r="Y523" s="633"/>
      <c r="Z523" s="94" t="s">
        <v>814</v>
      </c>
      <c r="AA523" s="98"/>
    </row>
    <row r="524" spans="1:27" ht="15" hidden="1" customHeight="1">
      <c r="A524" s="475"/>
      <c r="B524" s="651"/>
      <c r="C524" s="654"/>
      <c r="D524" s="724"/>
      <c r="E524" s="727"/>
      <c r="F524" s="648"/>
      <c r="G524" s="627"/>
      <c r="H524" s="136"/>
      <c r="I524" s="648"/>
      <c r="J524" s="627"/>
      <c r="K524" s="136"/>
      <c r="L524" s="136"/>
      <c r="M524" s="136">
        <f t="shared" si="50"/>
        <v>0</v>
      </c>
      <c r="N524" s="235" t="s">
        <v>1206</v>
      </c>
      <c r="O524" s="89" t="s">
        <v>1998</v>
      </c>
      <c r="P524" s="76" t="s">
        <v>27</v>
      </c>
      <c r="Q524" s="230">
        <v>78.389122999999998</v>
      </c>
      <c r="R524" s="95">
        <v>54.989100000000001</v>
      </c>
      <c r="S524" s="94"/>
      <c r="T524" s="136"/>
      <c r="U524" s="215">
        <f t="shared" si="49"/>
        <v>0</v>
      </c>
      <c r="V524" s="630"/>
      <c r="W524" s="630"/>
      <c r="X524" s="633"/>
      <c r="Y524" s="633"/>
      <c r="Z524" s="94" t="s">
        <v>814</v>
      </c>
      <c r="AA524" s="98"/>
    </row>
    <row r="525" spans="1:27" ht="15" hidden="1" customHeight="1">
      <c r="A525" s="475"/>
      <c r="B525" s="652"/>
      <c r="C525" s="655"/>
      <c r="D525" s="725"/>
      <c r="E525" s="728"/>
      <c r="F525" s="649"/>
      <c r="G525" s="628"/>
      <c r="H525" s="136"/>
      <c r="I525" s="649"/>
      <c r="J525" s="628"/>
      <c r="K525" s="136"/>
      <c r="L525" s="136"/>
      <c r="M525" s="136">
        <f t="shared" si="50"/>
        <v>0</v>
      </c>
      <c r="N525" s="89" t="s">
        <v>1207</v>
      </c>
      <c r="O525" s="89" t="s">
        <v>1208</v>
      </c>
      <c r="P525" s="76" t="s">
        <v>27</v>
      </c>
      <c r="Q525" s="230">
        <v>15.7</v>
      </c>
      <c r="R525" s="95">
        <v>5</v>
      </c>
      <c r="S525" s="94"/>
      <c r="T525" s="136"/>
      <c r="U525" s="215">
        <f t="shared" si="49"/>
        <v>0</v>
      </c>
      <c r="V525" s="631"/>
      <c r="W525" s="631"/>
      <c r="X525" s="634"/>
      <c r="Y525" s="634"/>
      <c r="Z525" s="94" t="s">
        <v>814</v>
      </c>
      <c r="AA525" s="98"/>
    </row>
    <row r="526" spans="1:27" ht="24" hidden="1" customHeight="1">
      <c r="A526" s="475"/>
      <c r="B526" s="213">
        <v>29</v>
      </c>
      <c r="C526" s="94" t="s">
        <v>1999</v>
      </c>
      <c r="D526" s="401">
        <v>22605.444800000001</v>
      </c>
      <c r="E526" s="394" t="s">
        <v>2206</v>
      </c>
      <c r="F526" s="94" t="s">
        <v>1108</v>
      </c>
      <c r="G526" s="136" t="s">
        <v>1108</v>
      </c>
      <c r="H526" s="136" t="s">
        <v>1108</v>
      </c>
      <c r="I526" s="94" t="s">
        <v>1145</v>
      </c>
      <c r="J526" s="136">
        <v>60</v>
      </c>
      <c r="K526" s="136" t="s">
        <v>1108</v>
      </c>
      <c r="L526" s="136" t="s">
        <v>1108</v>
      </c>
      <c r="M526" s="136">
        <f t="shared" si="50"/>
        <v>60</v>
      </c>
      <c r="N526" s="94" t="s">
        <v>542</v>
      </c>
      <c r="O526" s="94" t="s">
        <v>542</v>
      </c>
      <c r="P526" s="94" t="s">
        <v>542</v>
      </c>
      <c r="Q526" s="95">
        <v>0</v>
      </c>
      <c r="R526" s="95" t="s">
        <v>542</v>
      </c>
      <c r="S526" s="94" t="s">
        <v>542</v>
      </c>
      <c r="T526" s="136" t="s">
        <v>542</v>
      </c>
      <c r="U526" s="215"/>
      <c r="V526" s="212"/>
      <c r="W526" s="212"/>
      <c r="X526" s="212"/>
      <c r="Y526" s="212"/>
      <c r="Z526" s="94" t="s">
        <v>1038</v>
      </c>
      <c r="AA526" s="98"/>
    </row>
    <row r="527" spans="1:27" ht="15" hidden="1" customHeight="1">
      <c r="A527" s="475"/>
      <c r="B527" s="650">
        <v>30</v>
      </c>
      <c r="C527" s="647" t="s">
        <v>2000</v>
      </c>
      <c r="D527" s="641">
        <v>41682.110099999998</v>
      </c>
      <c r="E527" s="720" t="s">
        <v>2207</v>
      </c>
      <c r="F527" s="94" t="s">
        <v>31</v>
      </c>
      <c r="G527" s="136">
        <v>23.735696000000001</v>
      </c>
      <c r="H527" s="136"/>
      <c r="I527" s="647" t="s">
        <v>31</v>
      </c>
      <c r="J527" s="136"/>
      <c r="K527" s="136"/>
      <c r="L527" s="136"/>
      <c r="M527" s="626">
        <f>SUM(G527,H527,J527,L527)</f>
        <v>23.735696000000001</v>
      </c>
      <c r="N527" s="94" t="s">
        <v>1209</v>
      </c>
      <c r="O527" s="94" t="s">
        <v>1210</v>
      </c>
      <c r="P527" s="76" t="s">
        <v>27</v>
      </c>
      <c r="Q527" s="95">
        <v>2.75</v>
      </c>
      <c r="R527" s="95">
        <v>4.1500000000000004</v>
      </c>
      <c r="S527" s="94" t="s">
        <v>1211</v>
      </c>
      <c r="T527" s="136">
        <v>1.852859</v>
      </c>
      <c r="U527" s="215">
        <f>T527/Q527</f>
        <v>0.67376690909090908</v>
      </c>
      <c r="V527" s="629">
        <f>SUM(Q527:Q528)</f>
        <v>3.7347000000000001</v>
      </c>
      <c r="W527" s="629">
        <f>SUM(T527:T528)</f>
        <v>2.353726</v>
      </c>
      <c r="X527" s="632">
        <f>W527/V527</f>
        <v>0.63023161164216668</v>
      </c>
      <c r="Y527" s="632">
        <f>W527/M527</f>
        <v>9.9163976485037553E-2</v>
      </c>
      <c r="Z527" s="94" t="s">
        <v>1038</v>
      </c>
      <c r="AA527" s="98"/>
    </row>
    <row r="528" spans="1:27" ht="15" hidden="1" customHeight="1">
      <c r="A528" s="475"/>
      <c r="B528" s="652"/>
      <c r="C528" s="649"/>
      <c r="D528" s="643"/>
      <c r="E528" s="721"/>
      <c r="F528" s="94"/>
      <c r="G528" s="136"/>
      <c r="H528" s="136"/>
      <c r="I528" s="649"/>
      <c r="J528" s="136"/>
      <c r="K528" s="136"/>
      <c r="L528" s="136"/>
      <c r="M528" s="628"/>
      <c r="N528" s="94" t="s">
        <v>1212</v>
      </c>
      <c r="O528" s="94" t="s">
        <v>1213</v>
      </c>
      <c r="P528" s="76" t="s">
        <v>27</v>
      </c>
      <c r="Q528" s="95">
        <v>0.98470000000000002</v>
      </c>
      <c r="R528" s="95">
        <v>5.15</v>
      </c>
      <c r="S528" s="94" t="s">
        <v>1214</v>
      </c>
      <c r="T528" s="136">
        <v>0.50086699999999995</v>
      </c>
      <c r="U528" s="215">
        <f>T528/Q528</f>
        <v>0.50864933482278862</v>
      </c>
      <c r="V528" s="631"/>
      <c r="W528" s="631"/>
      <c r="X528" s="634"/>
      <c r="Y528" s="634"/>
      <c r="Z528" s="94" t="s">
        <v>1038</v>
      </c>
      <c r="AA528" s="98"/>
    </row>
    <row r="529" spans="1:27" ht="48" hidden="1" customHeight="1">
      <c r="A529" s="475"/>
      <c r="B529" s="650">
        <v>31</v>
      </c>
      <c r="C529" s="732" t="s">
        <v>2001</v>
      </c>
      <c r="D529" s="734">
        <v>52659.690999999999</v>
      </c>
      <c r="E529" s="736" t="s">
        <v>2208</v>
      </c>
      <c r="F529" s="629" t="s">
        <v>1035</v>
      </c>
      <c r="G529" s="665">
        <v>216.37653399999999</v>
      </c>
      <c r="H529" s="136"/>
      <c r="I529" s="94" t="s">
        <v>1036</v>
      </c>
      <c r="J529" s="136">
        <v>43.754568999999996</v>
      </c>
      <c r="K529" s="136"/>
      <c r="L529" s="136"/>
      <c r="M529" s="626">
        <f>SUM(G529,J529:J530)</f>
        <v>297.15009499999996</v>
      </c>
      <c r="N529" s="94" t="s">
        <v>1215</v>
      </c>
      <c r="O529" s="94" t="s">
        <v>1216</v>
      </c>
      <c r="P529" s="76" t="s">
        <v>27</v>
      </c>
      <c r="Q529" s="95">
        <v>0.24</v>
      </c>
      <c r="R529" s="95">
        <v>0.24</v>
      </c>
      <c r="S529" s="94" t="s">
        <v>1217</v>
      </c>
      <c r="T529" s="136">
        <v>0.18</v>
      </c>
      <c r="U529" s="224">
        <f>T529/Q529</f>
        <v>0.75</v>
      </c>
      <c r="V529" s="629">
        <f>SUM(Q529:Q530)</f>
        <v>0.24</v>
      </c>
      <c r="W529" s="629">
        <f>SUM(T529:T530)</f>
        <v>0.18</v>
      </c>
      <c r="X529" s="632">
        <f>W529/V529</f>
        <v>0.75</v>
      </c>
      <c r="Y529" s="632">
        <f>W529/M529</f>
        <v>6.0575447569686971E-4</v>
      </c>
      <c r="Z529" s="94" t="s">
        <v>1038</v>
      </c>
      <c r="AA529" s="98"/>
    </row>
    <row r="530" spans="1:27" ht="36" hidden="1" customHeight="1">
      <c r="A530" s="475"/>
      <c r="B530" s="652"/>
      <c r="C530" s="733"/>
      <c r="D530" s="735"/>
      <c r="E530" s="737"/>
      <c r="F530" s="678"/>
      <c r="G530" s="666"/>
      <c r="H530" s="136"/>
      <c r="I530" s="94" t="s">
        <v>1218</v>
      </c>
      <c r="J530" s="136">
        <v>37.018991999999997</v>
      </c>
      <c r="K530" s="136"/>
      <c r="L530" s="136"/>
      <c r="M530" s="628"/>
      <c r="N530" s="94"/>
      <c r="O530" s="94"/>
      <c r="P530" s="94"/>
      <c r="Q530" s="95"/>
      <c r="R530" s="95"/>
      <c r="S530" s="94"/>
      <c r="T530" s="136"/>
      <c r="U530" s="94"/>
      <c r="V530" s="631"/>
      <c r="W530" s="631"/>
      <c r="X530" s="634"/>
      <c r="Y530" s="634"/>
      <c r="Z530" s="94" t="s">
        <v>1038</v>
      </c>
      <c r="AA530" s="98"/>
    </row>
    <row r="531" spans="1:27" ht="15" hidden="1" customHeight="1">
      <c r="A531" s="475"/>
      <c r="B531" s="213">
        <v>32</v>
      </c>
      <c r="C531" s="214" t="s">
        <v>2002</v>
      </c>
      <c r="D531" s="397">
        <v>46676.177100000001</v>
      </c>
      <c r="E531" s="384" t="s">
        <v>2209</v>
      </c>
      <c r="F531" s="94"/>
      <c r="G531" s="136"/>
      <c r="H531" s="136"/>
      <c r="I531" s="94" t="s">
        <v>68</v>
      </c>
      <c r="J531" s="136">
        <v>32.67</v>
      </c>
      <c r="K531" s="136"/>
      <c r="L531" s="136"/>
      <c r="M531" s="136">
        <f t="shared" ref="M531:M537" si="51">SUM(G531,H531,J531,L531)</f>
        <v>32.67</v>
      </c>
      <c r="N531" s="94"/>
      <c r="O531" s="94"/>
      <c r="P531" s="94"/>
      <c r="Q531" s="95"/>
      <c r="R531" s="95"/>
      <c r="S531" s="94"/>
      <c r="T531" s="136"/>
      <c r="U531" s="215"/>
      <c r="V531" s="212"/>
      <c r="W531" s="212"/>
      <c r="X531" s="212"/>
      <c r="Y531" s="212"/>
      <c r="Z531" s="94" t="s">
        <v>1038</v>
      </c>
      <c r="AA531" s="98"/>
    </row>
    <row r="532" spans="1:27" ht="24" hidden="1" customHeight="1">
      <c r="A532" s="475"/>
      <c r="B532" s="213">
        <v>33</v>
      </c>
      <c r="C532" s="236" t="s">
        <v>2003</v>
      </c>
      <c r="D532" s="393">
        <v>44950.126900000003</v>
      </c>
      <c r="E532" s="401" t="s">
        <v>2210</v>
      </c>
      <c r="F532" s="94"/>
      <c r="G532" s="136"/>
      <c r="H532" s="136"/>
      <c r="I532" s="94" t="s">
        <v>243</v>
      </c>
      <c r="J532" s="136">
        <v>49.036499999999997</v>
      </c>
      <c r="K532" s="136"/>
      <c r="L532" s="136"/>
      <c r="M532" s="136">
        <f t="shared" si="51"/>
        <v>49.036499999999997</v>
      </c>
      <c r="N532" s="94"/>
      <c r="O532" s="94"/>
      <c r="P532" s="94"/>
      <c r="Q532" s="95"/>
      <c r="R532" s="95"/>
      <c r="S532" s="94"/>
      <c r="T532" s="136"/>
      <c r="U532" s="215"/>
      <c r="V532" s="212"/>
      <c r="W532" s="212"/>
      <c r="X532" s="212"/>
      <c r="Y532" s="212"/>
      <c r="Z532" s="94" t="s">
        <v>1038</v>
      </c>
      <c r="AA532" s="98"/>
    </row>
    <row r="533" spans="1:27" ht="48" hidden="1" customHeight="1">
      <c r="A533" s="475"/>
      <c r="B533" s="213">
        <v>34</v>
      </c>
      <c r="C533" s="214" t="s">
        <v>2004</v>
      </c>
      <c r="D533" s="399">
        <v>45386.744480000001</v>
      </c>
      <c r="E533" s="394" t="s">
        <v>2211</v>
      </c>
      <c r="F533" s="94" t="s">
        <v>1219</v>
      </c>
      <c r="G533" s="136">
        <v>74.817896000000005</v>
      </c>
      <c r="H533" s="136"/>
      <c r="I533" s="94" t="s">
        <v>772</v>
      </c>
      <c r="J533" s="136">
        <v>67.721402999999995</v>
      </c>
      <c r="K533" s="136"/>
      <c r="L533" s="136"/>
      <c r="M533" s="136">
        <f t="shared" si="51"/>
        <v>142.539299</v>
      </c>
      <c r="N533" s="94"/>
      <c r="O533" s="94"/>
      <c r="P533" s="94"/>
      <c r="Q533" s="95"/>
      <c r="R533" s="95"/>
      <c r="S533" s="94"/>
      <c r="T533" s="136"/>
      <c r="U533" s="215"/>
      <c r="V533" s="212"/>
      <c r="W533" s="212"/>
      <c r="X533" s="212"/>
      <c r="Y533" s="212"/>
      <c r="Z533" s="94" t="s">
        <v>1038</v>
      </c>
      <c r="AA533" s="98"/>
    </row>
    <row r="534" spans="1:27" ht="36" hidden="1" customHeight="1">
      <c r="A534" s="475"/>
      <c r="B534" s="213">
        <v>35</v>
      </c>
      <c r="C534" s="236" t="s">
        <v>2005</v>
      </c>
      <c r="D534" s="402">
        <v>57787.185100000002</v>
      </c>
      <c r="E534" s="388" t="s">
        <v>2212</v>
      </c>
      <c r="F534" s="94"/>
      <c r="G534" s="136"/>
      <c r="H534" s="136"/>
      <c r="I534" s="94" t="s">
        <v>248</v>
      </c>
      <c r="J534" s="136">
        <v>52.533805000000001</v>
      </c>
      <c r="K534" s="136"/>
      <c r="L534" s="136"/>
      <c r="M534" s="136">
        <f t="shared" si="51"/>
        <v>52.533805000000001</v>
      </c>
      <c r="N534" s="94"/>
      <c r="O534" s="94"/>
      <c r="P534" s="94"/>
      <c r="Q534" s="95"/>
      <c r="R534" s="95"/>
      <c r="S534" s="94"/>
      <c r="T534" s="136"/>
      <c r="U534" s="215"/>
      <c r="V534" s="212"/>
      <c r="W534" s="212"/>
      <c r="X534" s="212"/>
      <c r="Y534" s="212"/>
      <c r="Z534" s="94" t="s">
        <v>1038</v>
      </c>
      <c r="AA534" s="98"/>
    </row>
    <row r="535" spans="1:27" ht="15" hidden="1" customHeight="1">
      <c r="A535" s="475"/>
      <c r="B535" s="213">
        <v>36</v>
      </c>
      <c r="C535" s="214" t="s">
        <v>2006</v>
      </c>
      <c r="D535" s="385">
        <v>4105.6562000000004</v>
      </c>
      <c r="E535" s="403" t="s">
        <v>2213</v>
      </c>
      <c r="F535" s="94" t="s">
        <v>542</v>
      </c>
      <c r="G535" s="136"/>
      <c r="H535" s="136"/>
      <c r="I535" s="94"/>
      <c r="J535" s="136"/>
      <c r="K535" s="136"/>
      <c r="L535" s="136"/>
      <c r="M535" s="136">
        <f t="shared" si="51"/>
        <v>0</v>
      </c>
      <c r="N535" s="94"/>
      <c r="O535" s="94"/>
      <c r="P535" s="94"/>
      <c r="Q535" s="95"/>
      <c r="R535" s="95"/>
      <c r="S535" s="94"/>
      <c r="T535" s="136"/>
      <c r="U535" s="215"/>
      <c r="V535" s="212"/>
      <c r="W535" s="212"/>
      <c r="X535" s="212"/>
      <c r="Y535" s="212"/>
      <c r="Z535" s="94" t="s">
        <v>1038</v>
      </c>
      <c r="AA535" s="98"/>
    </row>
    <row r="536" spans="1:27" ht="15" hidden="1" customHeight="1">
      <c r="A536" s="475"/>
      <c r="B536" s="213">
        <v>37</v>
      </c>
      <c r="C536" s="236" t="s">
        <v>2007</v>
      </c>
      <c r="D536" s="404">
        <v>21937.724999999999</v>
      </c>
      <c r="E536" s="404" t="s">
        <v>2214</v>
      </c>
      <c r="F536" s="94" t="s">
        <v>542</v>
      </c>
      <c r="G536" s="136"/>
      <c r="H536" s="136"/>
      <c r="I536" s="94"/>
      <c r="J536" s="136"/>
      <c r="K536" s="136"/>
      <c r="L536" s="136"/>
      <c r="M536" s="136">
        <f t="shared" si="51"/>
        <v>0</v>
      </c>
      <c r="N536" s="94"/>
      <c r="O536" s="94"/>
      <c r="P536" s="94"/>
      <c r="Q536" s="95"/>
      <c r="R536" s="95"/>
      <c r="S536" s="94"/>
      <c r="T536" s="136"/>
      <c r="U536" s="215"/>
      <c r="V536" s="212"/>
      <c r="W536" s="212"/>
      <c r="X536" s="212"/>
      <c r="Y536" s="212"/>
      <c r="Z536" s="94" t="s">
        <v>1038</v>
      </c>
      <c r="AA536" s="98"/>
    </row>
    <row r="537" spans="1:27" ht="36" hidden="1" customHeight="1">
      <c r="A537" s="475"/>
      <c r="B537" s="659">
        <v>38</v>
      </c>
      <c r="C537" s="638" t="s">
        <v>2008</v>
      </c>
      <c r="D537" s="729">
        <v>81038.23</v>
      </c>
      <c r="E537" s="674" t="s">
        <v>2215</v>
      </c>
      <c r="F537" s="647" t="s">
        <v>31</v>
      </c>
      <c r="G537" s="626">
        <v>192.5</v>
      </c>
      <c r="H537" s="626">
        <v>2.5</v>
      </c>
      <c r="I537" s="647" t="s">
        <v>31</v>
      </c>
      <c r="J537" s="626">
        <v>45.8</v>
      </c>
      <c r="K537" s="136"/>
      <c r="L537" s="136"/>
      <c r="M537" s="626">
        <f t="shared" si="51"/>
        <v>240.8</v>
      </c>
      <c r="N537" s="94" t="s">
        <v>1220</v>
      </c>
      <c r="O537" s="94" t="s">
        <v>1221</v>
      </c>
      <c r="P537" s="76" t="s">
        <v>27</v>
      </c>
      <c r="Q537" s="95">
        <v>5</v>
      </c>
      <c r="R537" s="95">
        <v>3</v>
      </c>
      <c r="S537" s="94" t="s">
        <v>1104</v>
      </c>
      <c r="T537" s="136">
        <v>1</v>
      </c>
      <c r="U537" s="215">
        <f>T537/Q537</f>
        <v>0.2</v>
      </c>
      <c r="V537" s="629">
        <f>SUM(Q537:Q540)</f>
        <v>25.3</v>
      </c>
      <c r="W537" s="629">
        <f>SUM(T537:T540)</f>
        <v>2.1</v>
      </c>
      <c r="X537" s="632">
        <f>W537/V537</f>
        <v>8.3003952569169967E-2</v>
      </c>
      <c r="Y537" s="632">
        <f>W537/M537</f>
        <v>8.7209302325581394E-3</v>
      </c>
      <c r="Z537" s="94" t="s">
        <v>1152</v>
      </c>
      <c r="AA537" s="98"/>
    </row>
    <row r="538" spans="1:27" ht="36" hidden="1" customHeight="1">
      <c r="A538" s="475"/>
      <c r="B538" s="660"/>
      <c r="C538" s="639"/>
      <c r="D538" s="730"/>
      <c r="E538" s="675"/>
      <c r="F538" s="648"/>
      <c r="G538" s="627"/>
      <c r="H538" s="627"/>
      <c r="I538" s="648"/>
      <c r="J538" s="627"/>
      <c r="K538" s="136"/>
      <c r="L538" s="136"/>
      <c r="M538" s="627"/>
      <c r="N538" s="94" t="s">
        <v>1222</v>
      </c>
      <c r="O538" s="94" t="s">
        <v>1223</v>
      </c>
      <c r="P538" s="76" t="s">
        <v>27</v>
      </c>
      <c r="Q538" s="95">
        <v>3.5</v>
      </c>
      <c r="R538" s="95">
        <v>2</v>
      </c>
      <c r="S538" s="94" t="s">
        <v>79</v>
      </c>
      <c r="T538" s="136">
        <v>0.8</v>
      </c>
      <c r="U538" s="215">
        <f>T538/Q538</f>
        <v>0.22857142857142859</v>
      </c>
      <c r="V538" s="677"/>
      <c r="W538" s="677"/>
      <c r="X538" s="633"/>
      <c r="Y538" s="633"/>
      <c r="Z538" s="94" t="s">
        <v>1152</v>
      </c>
      <c r="AA538" s="98"/>
    </row>
    <row r="539" spans="1:27" ht="48" hidden="1" customHeight="1">
      <c r="A539" s="475"/>
      <c r="B539" s="660"/>
      <c r="C539" s="639"/>
      <c r="D539" s="730"/>
      <c r="E539" s="675"/>
      <c r="F539" s="648"/>
      <c r="G539" s="627"/>
      <c r="H539" s="627"/>
      <c r="I539" s="648"/>
      <c r="J539" s="627"/>
      <c r="K539" s="136"/>
      <c r="L539" s="136"/>
      <c r="M539" s="627"/>
      <c r="N539" s="94" t="s">
        <v>1224</v>
      </c>
      <c r="O539" s="94" t="s">
        <v>1225</v>
      </c>
      <c r="P539" s="76" t="s">
        <v>27</v>
      </c>
      <c r="Q539" s="95">
        <v>1.8</v>
      </c>
      <c r="R539" s="95">
        <v>1.2</v>
      </c>
      <c r="S539" s="94" t="s">
        <v>1104</v>
      </c>
      <c r="T539" s="136">
        <v>0.3</v>
      </c>
      <c r="U539" s="215">
        <f>T539/Q539</f>
        <v>0.16666666666666666</v>
      </c>
      <c r="V539" s="677"/>
      <c r="W539" s="677"/>
      <c r="X539" s="633"/>
      <c r="Y539" s="633"/>
      <c r="Z539" s="94" t="s">
        <v>1152</v>
      </c>
      <c r="AA539" s="98"/>
    </row>
    <row r="540" spans="1:27" ht="24">
      <c r="A540" s="475"/>
      <c r="B540" s="661"/>
      <c r="C540" s="640"/>
      <c r="D540" s="731"/>
      <c r="E540" s="676"/>
      <c r="F540" s="649"/>
      <c r="G540" s="628"/>
      <c r="H540" s="628"/>
      <c r="I540" s="649"/>
      <c r="J540" s="628"/>
      <c r="K540" s="136"/>
      <c r="L540" s="136"/>
      <c r="M540" s="628"/>
      <c r="N540" s="94" t="s">
        <v>1226</v>
      </c>
      <c r="O540" s="94" t="s">
        <v>1227</v>
      </c>
      <c r="P540" s="76" t="s">
        <v>36</v>
      </c>
      <c r="Q540" s="95">
        <v>15</v>
      </c>
      <c r="R540" s="95">
        <v>80</v>
      </c>
      <c r="S540" s="94"/>
      <c r="T540" s="136"/>
      <c r="U540" s="94"/>
      <c r="V540" s="678"/>
      <c r="W540" s="678"/>
      <c r="X540" s="634"/>
      <c r="Y540" s="634"/>
      <c r="Z540" s="94" t="s">
        <v>1152</v>
      </c>
      <c r="AA540" s="98"/>
    </row>
    <row r="541" spans="1:27" ht="48" hidden="1" customHeight="1">
      <c r="A541" s="475"/>
      <c r="B541" s="650">
        <v>39</v>
      </c>
      <c r="C541" s="237" t="s">
        <v>2009</v>
      </c>
      <c r="D541" s="715">
        <v>54901.994100000004</v>
      </c>
      <c r="E541" s="674" t="s">
        <v>2216</v>
      </c>
      <c r="F541" s="237" t="s">
        <v>1228</v>
      </c>
      <c r="G541" s="238">
        <v>164.5558</v>
      </c>
      <c r="H541" s="238">
        <v>2.5</v>
      </c>
      <c r="I541" s="94" t="s">
        <v>243</v>
      </c>
      <c r="J541" s="136">
        <v>43.900672999999998</v>
      </c>
      <c r="K541" s="136"/>
      <c r="L541" s="136"/>
      <c r="M541" s="136">
        <f>SUM(G541,H541,J541,L541)</f>
        <v>210.95647300000002</v>
      </c>
      <c r="N541" s="94"/>
      <c r="O541" s="647" t="s">
        <v>2010</v>
      </c>
      <c r="P541" s="94"/>
      <c r="Q541" s="95"/>
      <c r="R541" s="95"/>
      <c r="S541" s="94" t="s">
        <v>1229</v>
      </c>
      <c r="T541" s="136">
        <v>10</v>
      </c>
      <c r="U541" s="215"/>
      <c r="V541" s="212"/>
      <c r="W541" s="212"/>
      <c r="X541" s="212"/>
      <c r="Y541" s="212"/>
      <c r="Z541" s="94" t="s">
        <v>1045</v>
      </c>
      <c r="AA541" s="98"/>
    </row>
    <row r="542" spans="1:27" ht="24" hidden="1" customHeight="1">
      <c r="A542" s="475"/>
      <c r="B542" s="651"/>
      <c r="C542" s="239"/>
      <c r="D542" s="716"/>
      <c r="E542" s="675"/>
      <c r="F542" s="239"/>
      <c r="G542" s="240"/>
      <c r="H542" s="240"/>
      <c r="I542" s="94" t="s">
        <v>244</v>
      </c>
      <c r="J542" s="136">
        <v>43.900672999999998</v>
      </c>
      <c r="K542" s="136"/>
      <c r="L542" s="136"/>
      <c r="M542" s="136">
        <f>SUM(G542,H542,J542,L542)</f>
        <v>43.900672999999998</v>
      </c>
      <c r="N542" s="94"/>
      <c r="O542" s="649"/>
      <c r="P542" s="94"/>
      <c r="Q542" s="95"/>
      <c r="R542" s="95"/>
      <c r="S542" s="94" t="s">
        <v>1230</v>
      </c>
      <c r="T542" s="136">
        <v>10</v>
      </c>
      <c r="U542" s="94"/>
      <c r="V542" s="212"/>
      <c r="W542" s="212"/>
      <c r="X542" s="212"/>
      <c r="Y542" s="212"/>
      <c r="Z542" s="94" t="s">
        <v>1045</v>
      </c>
      <c r="AA542" s="98"/>
    </row>
    <row r="543" spans="1:27" ht="24" hidden="1" customHeight="1">
      <c r="A543" s="475"/>
      <c r="B543" s="651"/>
      <c r="C543" s="239"/>
      <c r="D543" s="716"/>
      <c r="E543" s="675"/>
      <c r="F543" s="239"/>
      <c r="G543" s="240"/>
      <c r="H543" s="240"/>
      <c r="I543" s="94"/>
      <c r="J543" s="136"/>
      <c r="K543" s="136"/>
      <c r="L543" s="136"/>
      <c r="M543" s="136"/>
      <c r="N543" s="94"/>
      <c r="O543" s="94" t="s">
        <v>1231</v>
      </c>
      <c r="P543" s="94"/>
      <c r="Q543" s="95"/>
      <c r="R543" s="95"/>
      <c r="S543" s="94" t="s">
        <v>122</v>
      </c>
      <c r="T543" s="136">
        <v>7.9856199999999999</v>
      </c>
      <c r="U543" s="94"/>
      <c r="V543" s="212"/>
      <c r="W543" s="212"/>
      <c r="X543" s="212"/>
      <c r="Y543" s="212"/>
      <c r="Z543" s="94" t="s">
        <v>1045</v>
      </c>
      <c r="AA543" s="98"/>
    </row>
    <row r="544" spans="1:27" ht="15" hidden="1" customHeight="1">
      <c r="A544" s="475"/>
      <c r="B544" s="651"/>
      <c r="C544" s="239"/>
      <c r="D544" s="716"/>
      <c r="E544" s="675"/>
      <c r="F544" s="239"/>
      <c r="G544" s="240"/>
      <c r="H544" s="240"/>
      <c r="I544" s="94"/>
      <c r="J544" s="136"/>
      <c r="K544" s="136"/>
      <c r="L544" s="136"/>
      <c r="M544" s="136"/>
      <c r="N544" s="94"/>
      <c r="O544" s="94" t="s">
        <v>1232</v>
      </c>
      <c r="P544" s="94"/>
      <c r="Q544" s="95"/>
      <c r="R544" s="95"/>
      <c r="S544" s="94" t="s">
        <v>1233</v>
      </c>
      <c r="T544" s="136">
        <v>0.05</v>
      </c>
      <c r="U544" s="94"/>
      <c r="V544" s="212"/>
      <c r="W544" s="212"/>
      <c r="X544" s="212"/>
      <c r="Y544" s="212"/>
      <c r="Z544" s="94" t="s">
        <v>1045</v>
      </c>
      <c r="AA544" s="98"/>
    </row>
    <row r="545" spans="1:27" ht="36" hidden="1" customHeight="1">
      <c r="A545" s="475"/>
      <c r="B545" s="651"/>
      <c r="C545" s="239"/>
      <c r="D545" s="716"/>
      <c r="E545" s="675"/>
      <c r="F545" s="239"/>
      <c r="G545" s="240"/>
      <c r="H545" s="240"/>
      <c r="I545" s="94"/>
      <c r="J545" s="136"/>
      <c r="K545" s="136"/>
      <c r="L545" s="136"/>
      <c r="M545" s="136"/>
      <c r="N545" s="94"/>
      <c r="O545" s="94" t="s">
        <v>1234</v>
      </c>
      <c r="P545" s="94"/>
      <c r="Q545" s="95"/>
      <c r="R545" s="95"/>
      <c r="S545" s="94" t="s">
        <v>1235</v>
      </c>
      <c r="T545" s="136">
        <v>2.4</v>
      </c>
      <c r="U545" s="94"/>
      <c r="V545" s="212"/>
      <c r="W545" s="212"/>
      <c r="X545" s="212"/>
      <c r="Y545" s="212"/>
      <c r="Z545" s="94" t="s">
        <v>1045</v>
      </c>
      <c r="AA545" s="98"/>
    </row>
    <row r="546" spans="1:27" ht="48" hidden="1" customHeight="1">
      <c r="A546" s="475"/>
      <c r="B546" s="651"/>
      <c r="C546" s="239"/>
      <c r="D546" s="716"/>
      <c r="E546" s="675"/>
      <c r="F546" s="239"/>
      <c r="G546" s="240"/>
      <c r="H546" s="240"/>
      <c r="I546" s="94"/>
      <c r="J546" s="136"/>
      <c r="K546" s="136"/>
      <c r="L546" s="136"/>
      <c r="M546" s="136"/>
      <c r="N546" s="94"/>
      <c r="O546" s="94" t="s">
        <v>1236</v>
      </c>
      <c r="P546" s="94"/>
      <c r="Q546" s="95"/>
      <c r="R546" s="95"/>
      <c r="S546" s="94" t="s">
        <v>1132</v>
      </c>
      <c r="T546" s="136">
        <v>1.6065590000000001</v>
      </c>
      <c r="U546" s="94"/>
      <c r="V546" s="212"/>
      <c r="W546" s="212"/>
      <c r="X546" s="212"/>
      <c r="Y546" s="212"/>
      <c r="Z546" s="94" t="s">
        <v>1045</v>
      </c>
      <c r="AA546" s="98"/>
    </row>
    <row r="547" spans="1:27" ht="36" hidden="1" customHeight="1">
      <c r="A547" s="475"/>
      <c r="B547" s="652"/>
      <c r="C547" s="241"/>
      <c r="D547" s="717"/>
      <c r="E547" s="676"/>
      <c r="F547" s="241"/>
      <c r="G547" s="242"/>
      <c r="H547" s="242"/>
      <c r="I547" s="94"/>
      <c r="J547" s="136"/>
      <c r="K547" s="136"/>
      <c r="L547" s="136"/>
      <c r="M547" s="136"/>
      <c r="N547" s="94"/>
      <c r="O547" s="94" t="s">
        <v>1237</v>
      </c>
      <c r="P547" s="94"/>
      <c r="Q547" s="95"/>
      <c r="R547" s="95"/>
      <c r="S547" s="94" t="s">
        <v>1238</v>
      </c>
      <c r="T547" s="136">
        <v>0.74069399999999996</v>
      </c>
      <c r="U547" s="94"/>
      <c r="V547" s="212"/>
      <c r="W547" s="212"/>
      <c r="X547" s="212"/>
      <c r="Y547" s="212"/>
      <c r="Z547" s="94" t="s">
        <v>1045</v>
      </c>
      <c r="AA547" s="98"/>
    </row>
    <row r="548" spans="1:27" ht="15" hidden="1" customHeight="1">
      <c r="A548" s="475"/>
      <c r="B548" s="213">
        <v>40</v>
      </c>
      <c r="C548" s="214" t="s">
        <v>2011</v>
      </c>
      <c r="D548" s="405">
        <v>8972.2900000000009</v>
      </c>
      <c r="E548" s="405" t="s">
        <v>2217</v>
      </c>
      <c r="F548" s="94" t="s">
        <v>1156</v>
      </c>
      <c r="G548" s="136">
        <v>28.458400000000001</v>
      </c>
      <c r="H548" s="136">
        <v>0.3</v>
      </c>
      <c r="I548" s="94"/>
      <c r="J548" s="136"/>
      <c r="K548" s="136"/>
      <c r="L548" s="136"/>
      <c r="M548" s="136">
        <f>SUM(G548,H548,J548,L548)</f>
        <v>28.758400000000002</v>
      </c>
      <c r="N548" s="94"/>
      <c r="O548" s="94"/>
      <c r="P548" s="94"/>
      <c r="Q548" s="95"/>
      <c r="R548" s="95"/>
      <c r="S548" s="94"/>
      <c r="T548" s="136"/>
      <c r="U548" s="94"/>
      <c r="V548" s="212"/>
      <c r="W548" s="212"/>
      <c r="X548" s="212"/>
      <c r="Y548" s="212"/>
      <c r="Z548" s="94" t="s">
        <v>305</v>
      </c>
      <c r="AA548" s="98"/>
    </row>
    <row r="549" spans="1:27" ht="15" hidden="1" customHeight="1">
      <c r="A549" s="475"/>
      <c r="B549" s="213">
        <v>41</v>
      </c>
      <c r="C549" s="214" t="s">
        <v>2012</v>
      </c>
      <c r="D549" s="405">
        <v>6906.99</v>
      </c>
      <c r="E549" s="405" t="s">
        <v>2218</v>
      </c>
      <c r="F549" s="94" t="s">
        <v>1156</v>
      </c>
      <c r="G549" s="136">
        <v>21.909700000000001</v>
      </c>
      <c r="H549" s="136">
        <v>0.3</v>
      </c>
      <c r="I549" s="94"/>
      <c r="J549" s="136"/>
      <c r="K549" s="136"/>
      <c r="L549" s="136"/>
      <c r="M549" s="136">
        <f>SUM(G549,H549,J549,L549)</f>
        <v>22.209700000000002</v>
      </c>
      <c r="N549" s="94"/>
      <c r="O549" s="94"/>
      <c r="P549" s="94"/>
      <c r="Q549" s="95"/>
      <c r="R549" s="95"/>
      <c r="S549" s="94"/>
      <c r="T549" s="136"/>
      <c r="U549" s="215"/>
      <c r="V549" s="212"/>
      <c r="W549" s="212"/>
      <c r="X549" s="212"/>
      <c r="Y549" s="212"/>
      <c r="Z549" s="94" t="s">
        <v>305</v>
      </c>
      <c r="AA549" s="98"/>
    </row>
    <row r="550" spans="1:27" ht="48" hidden="1" customHeight="1">
      <c r="A550" s="475"/>
      <c r="B550" s="213">
        <v>42</v>
      </c>
      <c r="C550" s="214" t="s">
        <v>1239</v>
      </c>
      <c r="D550" s="398">
        <f>2127121996/10000</f>
        <v>212712.19959999999</v>
      </c>
      <c r="E550" s="394" t="s">
        <v>2219</v>
      </c>
      <c r="F550" s="94"/>
      <c r="G550" s="136"/>
      <c r="H550" s="136"/>
      <c r="I550" s="94" t="s">
        <v>543</v>
      </c>
      <c r="J550" s="136">
        <v>32</v>
      </c>
      <c r="K550" s="136"/>
      <c r="L550" s="136"/>
      <c r="M550" s="136">
        <f>SUM(G550,H550,J550,L550)</f>
        <v>32</v>
      </c>
      <c r="N550" s="94" t="s">
        <v>1240</v>
      </c>
      <c r="O550" s="94" t="s">
        <v>2013</v>
      </c>
      <c r="P550" s="76" t="s">
        <v>27</v>
      </c>
      <c r="Q550" s="95">
        <f>6084.5/10000</f>
        <v>0.60845000000000005</v>
      </c>
      <c r="R550" s="95">
        <f>6084.5/10000</f>
        <v>0.60845000000000005</v>
      </c>
      <c r="S550" s="94" t="s">
        <v>1241</v>
      </c>
      <c r="T550" s="136" t="s">
        <v>1241</v>
      </c>
      <c r="U550" s="94" t="s">
        <v>1241</v>
      </c>
      <c r="V550" s="95">
        <f>Q550</f>
        <v>0.60845000000000005</v>
      </c>
      <c r="W550" s="95"/>
      <c r="X550" s="95"/>
      <c r="Y550" s="95"/>
      <c r="Z550" s="94" t="s">
        <v>1161</v>
      </c>
      <c r="AA550" s="98"/>
    </row>
    <row r="551" spans="1:27" ht="15" hidden="1" customHeight="1">
      <c r="A551" s="475"/>
      <c r="B551" s="213">
        <v>43</v>
      </c>
      <c r="C551" s="214" t="s">
        <v>2014</v>
      </c>
      <c r="D551" s="398">
        <v>19302.740600000001</v>
      </c>
      <c r="E551" s="394" t="s">
        <v>2220</v>
      </c>
      <c r="F551" s="94"/>
      <c r="G551" s="136"/>
      <c r="H551" s="136"/>
      <c r="I551" s="94" t="s">
        <v>39</v>
      </c>
      <c r="J551" s="136">
        <v>23</v>
      </c>
      <c r="K551" s="136"/>
      <c r="L551" s="136"/>
      <c r="M551" s="136">
        <f>J551</f>
        <v>23</v>
      </c>
      <c r="N551" s="94" t="s">
        <v>542</v>
      </c>
      <c r="O551" s="94"/>
      <c r="P551" s="94"/>
      <c r="Q551" s="95"/>
      <c r="R551" s="95"/>
      <c r="S551" s="94"/>
      <c r="T551" s="136"/>
      <c r="U551" s="215"/>
      <c r="V551" s="212"/>
      <c r="W551" s="212"/>
      <c r="X551" s="212"/>
      <c r="Y551" s="212"/>
      <c r="Z551" s="94" t="s">
        <v>1038</v>
      </c>
      <c r="AA551" s="98"/>
    </row>
    <row r="552" spans="1:27" ht="15" hidden="1" customHeight="1">
      <c r="A552" s="475"/>
      <c r="B552" s="213">
        <v>44</v>
      </c>
      <c r="C552" s="214" t="s">
        <v>1242</v>
      </c>
      <c r="D552" s="398">
        <v>5922.5170010000002</v>
      </c>
      <c r="E552" s="394" t="s">
        <v>2221</v>
      </c>
      <c r="F552" s="94" t="s">
        <v>542</v>
      </c>
      <c r="G552" s="136"/>
      <c r="H552" s="136"/>
      <c r="I552" s="94"/>
      <c r="J552" s="136"/>
      <c r="K552" s="136"/>
      <c r="L552" s="136"/>
      <c r="M552" s="136">
        <f>SUM(G552,H552,J552,L552)</f>
        <v>0</v>
      </c>
      <c r="N552" s="94"/>
      <c r="O552" s="94"/>
      <c r="P552" s="94"/>
      <c r="Q552" s="95"/>
      <c r="R552" s="95"/>
      <c r="S552" s="94"/>
      <c r="T552" s="136"/>
      <c r="U552" s="215"/>
      <c r="V552" s="212"/>
      <c r="W552" s="212"/>
      <c r="X552" s="212"/>
      <c r="Y552" s="212"/>
      <c r="Z552" s="94" t="s">
        <v>1038</v>
      </c>
      <c r="AA552" s="98"/>
    </row>
    <row r="553" spans="1:27" ht="15" hidden="1" customHeight="1">
      <c r="A553" s="475"/>
      <c r="B553" s="213">
        <v>45</v>
      </c>
      <c r="C553" s="214" t="s">
        <v>1243</v>
      </c>
      <c r="D553" s="406">
        <v>26804.39</v>
      </c>
      <c r="E553" s="407" t="s">
        <v>2222</v>
      </c>
      <c r="F553" s="94"/>
      <c r="G553" s="136"/>
      <c r="H553" s="136"/>
      <c r="I553" s="94" t="s">
        <v>39</v>
      </c>
      <c r="J553" s="136">
        <v>25</v>
      </c>
      <c r="K553" s="136"/>
      <c r="L553" s="136"/>
      <c r="M553" s="136"/>
      <c r="N553" s="94" t="s">
        <v>542</v>
      </c>
      <c r="O553" s="94"/>
      <c r="P553" s="94"/>
      <c r="Q553" s="95"/>
      <c r="R553" s="95"/>
      <c r="S553" s="94"/>
      <c r="T553" s="136"/>
      <c r="U553" s="215"/>
      <c r="V553" s="212"/>
      <c r="W553" s="212"/>
      <c r="X553" s="212"/>
      <c r="Y553" s="212"/>
      <c r="Z553" s="94" t="s">
        <v>1038</v>
      </c>
      <c r="AA553" s="98"/>
    </row>
    <row r="554" spans="1:27" ht="24" hidden="1" customHeight="1">
      <c r="A554" s="475"/>
      <c r="B554" s="213">
        <v>46</v>
      </c>
      <c r="C554" s="243" t="s">
        <v>1244</v>
      </c>
      <c r="D554" s="407">
        <v>22336.5</v>
      </c>
      <c r="E554" s="408" t="s">
        <v>2223</v>
      </c>
      <c r="F554" s="94" t="s">
        <v>68</v>
      </c>
      <c r="G554" s="136">
        <v>38</v>
      </c>
      <c r="H554" s="136"/>
      <c r="I554" s="94" t="s">
        <v>250</v>
      </c>
      <c r="J554" s="136">
        <v>20</v>
      </c>
      <c r="K554" s="136"/>
      <c r="L554" s="136"/>
      <c r="M554" s="136">
        <v>58</v>
      </c>
      <c r="N554" s="94" t="s">
        <v>542</v>
      </c>
      <c r="O554" s="94"/>
      <c r="P554" s="94"/>
      <c r="Q554" s="95"/>
      <c r="R554" s="95"/>
      <c r="S554" s="94"/>
      <c r="T554" s="136"/>
      <c r="U554" s="215"/>
      <c r="V554" s="212"/>
      <c r="W554" s="212"/>
      <c r="X554" s="212"/>
      <c r="Y554" s="212"/>
      <c r="Z554" s="94" t="s">
        <v>1038</v>
      </c>
      <c r="AA554" s="98"/>
    </row>
    <row r="555" spans="1:27" ht="24" hidden="1" customHeight="1">
      <c r="A555" s="475"/>
      <c r="B555" s="213">
        <v>47</v>
      </c>
      <c r="C555" s="244" t="s">
        <v>2015</v>
      </c>
      <c r="D555" s="404">
        <v>13664.29</v>
      </c>
      <c r="E555" s="409" t="s">
        <v>2224</v>
      </c>
      <c r="F555" s="94"/>
      <c r="G555" s="136"/>
      <c r="H555" s="136"/>
      <c r="I555" s="94" t="s">
        <v>31</v>
      </c>
      <c r="J555" s="136">
        <v>16</v>
      </c>
      <c r="K555" s="136"/>
      <c r="L555" s="136"/>
      <c r="M555" s="136">
        <f>J555</f>
        <v>16</v>
      </c>
      <c r="N555" s="94" t="s">
        <v>542</v>
      </c>
      <c r="O555" s="94"/>
      <c r="P555" s="94"/>
      <c r="Q555" s="95"/>
      <c r="R555" s="95"/>
      <c r="S555" s="94"/>
      <c r="T555" s="136"/>
      <c r="U555" s="94"/>
      <c r="V555" s="212"/>
      <c r="W555" s="212"/>
      <c r="X555" s="212"/>
      <c r="Y555" s="212"/>
      <c r="Z555" s="94" t="s">
        <v>1038</v>
      </c>
      <c r="AA555" s="98"/>
    </row>
    <row r="556" spans="1:27" ht="24" hidden="1" customHeight="1">
      <c r="A556" s="475"/>
      <c r="B556" s="213">
        <v>48</v>
      </c>
      <c r="C556" s="214" t="s">
        <v>1245</v>
      </c>
      <c r="D556" s="398">
        <v>28000</v>
      </c>
      <c r="E556" s="394" t="s">
        <v>2225</v>
      </c>
      <c r="F556" s="94"/>
      <c r="G556" s="136"/>
      <c r="H556" s="136"/>
      <c r="I556" s="94" t="s">
        <v>1246</v>
      </c>
      <c r="J556" s="136">
        <f>28.9+25.39</f>
        <v>54.29</v>
      </c>
      <c r="K556" s="136" t="s">
        <v>1247</v>
      </c>
      <c r="L556" s="136">
        <f>767860869*1.5%/10/10000</f>
        <v>115.17913034999999</v>
      </c>
      <c r="M556" s="136">
        <f>J556+L556</f>
        <v>169.46913035</v>
      </c>
      <c r="N556" s="94"/>
      <c r="O556" s="94"/>
      <c r="P556" s="94"/>
      <c r="Q556" s="95"/>
      <c r="R556" s="95"/>
      <c r="S556" s="94"/>
      <c r="T556" s="136"/>
      <c r="U556" s="215"/>
      <c r="V556" s="212"/>
      <c r="W556" s="212"/>
      <c r="X556" s="212"/>
      <c r="Y556" s="212"/>
      <c r="Z556" s="94" t="s">
        <v>1038</v>
      </c>
      <c r="AA556" s="98"/>
    </row>
    <row r="557" spans="1:27" ht="24" hidden="1" customHeight="1">
      <c r="A557" s="475"/>
      <c r="B557" s="213">
        <v>49</v>
      </c>
      <c r="C557" s="214" t="s">
        <v>1248</v>
      </c>
      <c r="D557" s="398">
        <v>25493.81</v>
      </c>
      <c r="E557" s="394" t="s">
        <v>2226</v>
      </c>
      <c r="F557" s="84"/>
      <c r="G557" s="156"/>
      <c r="H557" s="156"/>
      <c r="I557" s="84" t="s">
        <v>1246</v>
      </c>
      <c r="J557" s="156">
        <v>25.66</v>
      </c>
      <c r="K557" s="156" t="s">
        <v>1247</v>
      </c>
      <c r="L557" s="156">
        <f>254938029*1.5%/10/10000</f>
        <v>38.240704350000001</v>
      </c>
      <c r="M557" s="156">
        <f>J557+L557</f>
        <v>63.900704349999998</v>
      </c>
      <c r="N557" s="94"/>
      <c r="O557" s="94"/>
      <c r="P557" s="94"/>
      <c r="Q557" s="95"/>
      <c r="R557" s="95"/>
      <c r="S557" s="94"/>
      <c r="T557" s="136"/>
      <c r="U557" s="215"/>
      <c r="V557" s="212"/>
      <c r="W557" s="212"/>
      <c r="X557" s="212"/>
      <c r="Y557" s="212"/>
      <c r="Z557" s="94" t="s">
        <v>1038</v>
      </c>
      <c r="AA557" s="98"/>
    </row>
    <row r="558" spans="1:27" ht="24" hidden="1" customHeight="1">
      <c r="A558" s="475"/>
      <c r="B558" s="213">
        <v>50</v>
      </c>
      <c r="C558" s="214" t="s">
        <v>1249</v>
      </c>
      <c r="D558" s="410">
        <v>14390.28</v>
      </c>
      <c r="E558" s="410" t="s">
        <v>2059</v>
      </c>
      <c r="F558" s="94" t="s">
        <v>39</v>
      </c>
      <c r="G558" s="136">
        <v>33.6</v>
      </c>
      <c r="H558" s="136">
        <v>0</v>
      </c>
      <c r="I558" s="94" t="s">
        <v>39</v>
      </c>
      <c r="J558" s="136">
        <v>10.23</v>
      </c>
      <c r="K558" s="136"/>
      <c r="L558" s="136"/>
      <c r="M558" s="136">
        <f t="shared" ref="M558:M565" si="52">SUM(G558,H558,J558,L558)</f>
        <v>43.83</v>
      </c>
      <c r="N558" s="94"/>
      <c r="O558" s="94"/>
      <c r="P558" s="94"/>
      <c r="Q558" s="95"/>
      <c r="R558" s="95"/>
      <c r="S558" s="94"/>
      <c r="T558" s="136"/>
      <c r="U558" s="215"/>
      <c r="V558" s="212"/>
      <c r="W558" s="212"/>
      <c r="X558" s="212"/>
      <c r="Y558" s="212"/>
      <c r="Z558" s="94" t="s">
        <v>1038</v>
      </c>
      <c r="AA558" s="98"/>
    </row>
    <row r="559" spans="1:27" ht="15" hidden="1" customHeight="1">
      <c r="A559" s="475"/>
      <c r="B559" s="213">
        <v>51</v>
      </c>
      <c r="C559" s="214" t="s">
        <v>2016</v>
      </c>
      <c r="D559" s="411">
        <v>120007.28</v>
      </c>
      <c r="E559" s="394" t="s">
        <v>2227</v>
      </c>
      <c r="F559" s="94" t="s">
        <v>1250</v>
      </c>
      <c r="G559" s="136">
        <v>588</v>
      </c>
      <c r="H559" s="136"/>
      <c r="I559" s="94" t="s">
        <v>1250</v>
      </c>
      <c r="J559" s="136">
        <v>108</v>
      </c>
      <c r="K559" s="136"/>
      <c r="L559" s="136"/>
      <c r="M559" s="136">
        <f t="shared" si="52"/>
        <v>696</v>
      </c>
      <c r="N559" s="94"/>
      <c r="O559" s="94"/>
      <c r="P559" s="94"/>
      <c r="Q559" s="95"/>
      <c r="R559" s="95"/>
      <c r="S559" s="94"/>
      <c r="T559" s="136"/>
      <c r="U559" s="215"/>
      <c r="V559" s="212"/>
      <c r="W559" s="212"/>
      <c r="X559" s="212"/>
      <c r="Y559" s="212"/>
      <c r="Z559" s="94" t="s">
        <v>1038</v>
      </c>
      <c r="AA559" s="98"/>
    </row>
    <row r="560" spans="1:27" ht="15" hidden="1" customHeight="1">
      <c r="A560" s="475"/>
      <c r="B560" s="213">
        <v>52</v>
      </c>
      <c r="C560" s="236" t="s">
        <v>2017</v>
      </c>
      <c r="D560" s="412">
        <v>13911.74</v>
      </c>
      <c r="E560" s="404" t="s">
        <v>2228</v>
      </c>
      <c r="F560" s="94" t="s">
        <v>542</v>
      </c>
      <c r="G560" s="136"/>
      <c r="H560" s="136"/>
      <c r="I560" s="94"/>
      <c r="J560" s="136"/>
      <c r="K560" s="136"/>
      <c r="L560" s="136"/>
      <c r="M560" s="136">
        <f t="shared" si="52"/>
        <v>0</v>
      </c>
      <c r="N560" s="94"/>
      <c r="O560" s="94"/>
      <c r="P560" s="94"/>
      <c r="Q560" s="95"/>
      <c r="R560" s="95"/>
      <c r="S560" s="94"/>
      <c r="T560" s="136"/>
      <c r="U560" s="215"/>
      <c r="V560" s="212"/>
      <c r="W560" s="212"/>
      <c r="X560" s="212"/>
      <c r="Y560" s="212"/>
      <c r="Z560" s="94" t="s">
        <v>1038</v>
      </c>
      <c r="AA560" s="98"/>
    </row>
    <row r="561" spans="1:27" ht="15" hidden="1" customHeight="1">
      <c r="A561" s="475"/>
      <c r="B561" s="213">
        <v>53</v>
      </c>
      <c r="C561" s="236" t="s">
        <v>2018</v>
      </c>
      <c r="D561" s="404">
        <v>7906.0373</v>
      </c>
      <c r="E561" s="404" t="s">
        <v>2229</v>
      </c>
      <c r="F561" s="94" t="s">
        <v>542</v>
      </c>
      <c r="G561" s="136"/>
      <c r="H561" s="136"/>
      <c r="I561" s="94"/>
      <c r="J561" s="136"/>
      <c r="K561" s="136"/>
      <c r="L561" s="136"/>
      <c r="M561" s="136">
        <f t="shared" si="52"/>
        <v>0</v>
      </c>
      <c r="N561" s="94"/>
      <c r="O561" s="94"/>
      <c r="P561" s="94"/>
      <c r="Q561" s="95"/>
      <c r="R561" s="95"/>
      <c r="S561" s="94"/>
      <c r="T561" s="136"/>
      <c r="U561" s="215"/>
      <c r="V561" s="212"/>
      <c r="W561" s="212"/>
      <c r="X561" s="212"/>
      <c r="Y561" s="212"/>
      <c r="Z561" s="94" t="s">
        <v>1038</v>
      </c>
      <c r="AA561" s="98"/>
    </row>
    <row r="562" spans="1:27" ht="15" hidden="1" customHeight="1">
      <c r="A562" s="475"/>
      <c r="B562" s="213">
        <v>54</v>
      </c>
      <c r="C562" s="214" t="s">
        <v>1251</v>
      </c>
      <c r="D562" s="413">
        <v>1083.96</v>
      </c>
      <c r="E562" s="414" t="s">
        <v>2230</v>
      </c>
      <c r="F562" s="94" t="s">
        <v>542</v>
      </c>
      <c r="G562" s="136"/>
      <c r="H562" s="136"/>
      <c r="I562" s="94"/>
      <c r="J562" s="136"/>
      <c r="K562" s="136"/>
      <c r="L562" s="136"/>
      <c r="M562" s="136">
        <f t="shared" si="52"/>
        <v>0</v>
      </c>
      <c r="N562" s="94"/>
      <c r="O562" s="94"/>
      <c r="P562" s="94"/>
      <c r="Q562" s="95"/>
      <c r="R562" s="95"/>
      <c r="S562" s="94"/>
      <c r="T562" s="136"/>
      <c r="U562" s="215"/>
      <c r="V562" s="212"/>
      <c r="W562" s="212"/>
      <c r="X562" s="212"/>
      <c r="Y562" s="212"/>
      <c r="Z562" s="94" t="s">
        <v>1038</v>
      </c>
      <c r="AA562" s="98"/>
    </row>
    <row r="563" spans="1:27" ht="15" hidden="1" customHeight="1">
      <c r="A563" s="475"/>
      <c r="B563" s="213">
        <v>55</v>
      </c>
      <c r="C563" s="216" t="s">
        <v>1252</v>
      </c>
      <c r="D563" s="394">
        <v>2814.8020999999999</v>
      </c>
      <c r="E563" s="394" t="s">
        <v>2231</v>
      </c>
      <c r="F563" s="94" t="s">
        <v>542</v>
      </c>
      <c r="G563" s="136"/>
      <c r="H563" s="136"/>
      <c r="I563" s="94"/>
      <c r="J563" s="136"/>
      <c r="K563" s="136"/>
      <c r="L563" s="136"/>
      <c r="M563" s="136">
        <f t="shared" si="52"/>
        <v>0</v>
      </c>
      <c r="N563" s="94"/>
      <c r="O563" s="94"/>
      <c r="P563" s="94"/>
      <c r="Q563" s="95"/>
      <c r="R563" s="95"/>
      <c r="S563" s="94"/>
      <c r="T563" s="136"/>
      <c r="U563" s="215"/>
      <c r="V563" s="212"/>
      <c r="W563" s="212"/>
      <c r="X563" s="212"/>
      <c r="Y563" s="212"/>
      <c r="Z563" s="94" t="s">
        <v>1038</v>
      </c>
      <c r="AA563" s="98"/>
    </row>
    <row r="564" spans="1:27" ht="15" hidden="1" customHeight="1">
      <c r="A564" s="475"/>
      <c r="B564" s="213">
        <v>56</v>
      </c>
      <c r="C564" s="236" t="s">
        <v>2019</v>
      </c>
      <c r="D564" s="404">
        <v>7596</v>
      </c>
      <c r="E564" s="404" t="s">
        <v>2232</v>
      </c>
      <c r="F564" s="94" t="s">
        <v>542</v>
      </c>
      <c r="G564" s="136"/>
      <c r="H564" s="136"/>
      <c r="I564" s="94"/>
      <c r="J564" s="136"/>
      <c r="K564" s="136"/>
      <c r="L564" s="136"/>
      <c r="M564" s="136">
        <f t="shared" si="52"/>
        <v>0</v>
      </c>
      <c r="N564" s="94"/>
      <c r="O564" s="94"/>
      <c r="P564" s="94"/>
      <c r="Q564" s="95"/>
      <c r="R564" s="95"/>
      <c r="S564" s="94"/>
      <c r="T564" s="136"/>
      <c r="U564" s="215"/>
      <c r="V564" s="212"/>
      <c r="W564" s="212"/>
      <c r="X564" s="212"/>
      <c r="Y564" s="212"/>
      <c r="Z564" s="94" t="s">
        <v>1038</v>
      </c>
      <c r="AA564" s="98"/>
    </row>
    <row r="565" spans="1:27" ht="15" hidden="1" customHeight="1">
      <c r="A565" s="475"/>
      <c r="B565" s="213">
        <v>57</v>
      </c>
      <c r="C565" s="214" t="s">
        <v>1253</v>
      </c>
      <c r="D565" s="385">
        <v>23000</v>
      </c>
      <c r="E565" s="386" t="s">
        <v>2233</v>
      </c>
      <c r="F565" s="94" t="s">
        <v>542</v>
      </c>
      <c r="G565" s="136"/>
      <c r="H565" s="136"/>
      <c r="I565" s="94"/>
      <c r="J565" s="136"/>
      <c r="K565" s="136"/>
      <c r="L565" s="136"/>
      <c r="M565" s="136">
        <f t="shared" si="52"/>
        <v>0</v>
      </c>
      <c r="N565" s="94"/>
      <c r="O565" s="94"/>
      <c r="P565" s="94"/>
      <c r="Q565" s="95"/>
      <c r="R565" s="95"/>
      <c r="S565" s="94"/>
      <c r="T565" s="136"/>
      <c r="U565" s="215"/>
      <c r="V565" s="212"/>
      <c r="W565" s="212"/>
      <c r="X565" s="212"/>
      <c r="Y565" s="212"/>
      <c r="Z565" s="94" t="s">
        <v>1038</v>
      </c>
      <c r="AA565" s="98"/>
    </row>
    <row r="566" spans="1:27" ht="24" hidden="1" customHeight="1">
      <c r="A566" s="475"/>
      <c r="B566" s="213">
        <v>58</v>
      </c>
      <c r="C566" s="245" t="s">
        <v>1254</v>
      </c>
      <c r="D566" s="394">
        <v>2200.5995899999998</v>
      </c>
      <c r="E566" s="394" t="s">
        <v>2234</v>
      </c>
      <c r="F566" s="94"/>
      <c r="G566" s="136"/>
      <c r="H566" s="136"/>
      <c r="I566" s="94" t="s">
        <v>39</v>
      </c>
      <c r="J566" s="136">
        <v>23</v>
      </c>
      <c r="K566" s="136"/>
      <c r="L566" s="136"/>
      <c r="M566" s="136"/>
      <c r="N566" s="94" t="s">
        <v>542</v>
      </c>
      <c r="O566" s="94"/>
      <c r="P566" s="94"/>
      <c r="Q566" s="95"/>
      <c r="R566" s="95"/>
      <c r="S566" s="94"/>
      <c r="T566" s="136"/>
      <c r="U566" s="215"/>
      <c r="V566" s="212"/>
      <c r="W566" s="212"/>
      <c r="X566" s="212"/>
      <c r="Y566" s="212"/>
      <c r="Z566" s="94" t="s">
        <v>1038</v>
      </c>
      <c r="AA566" s="98"/>
    </row>
    <row r="567" spans="1:27" ht="15" hidden="1" customHeight="1">
      <c r="A567" s="475"/>
      <c r="B567" s="213">
        <v>59</v>
      </c>
      <c r="C567" s="214" t="s">
        <v>2020</v>
      </c>
      <c r="D567" s="410">
        <v>11512.05</v>
      </c>
      <c r="E567" s="410" t="s">
        <v>2235</v>
      </c>
      <c r="F567" s="94" t="s">
        <v>39</v>
      </c>
      <c r="G567" s="136">
        <v>0</v>
      </c>
      <c r="H567" s="136">
        <v>0</v>
      </c>
      <c r="I567" s="94" t="s">
        <v>39</v>
      </c>
      <c r="J567" s="136">
        <v>0</v>
      </c>
      <c r="K567" s="136"/>
      <c r="L567" s="136"/>
      <c r="M567" s="136">
        <f>SUM(G567,H567,J567,L567)</f>
        <v>0</v>
      </c>
      <c r="N567" s="94"/>
      <c r="O567" s="94"/>
      <c r="P567" s="94"/>
      <c r="Q567" s="95"/>
      <c r="R567" s="95"/>
      <c r="S567" s="94"/>
      <c r="T567" s="136"/>
      <c r="U567" s="215"/>
      <c r="V567" s="212"/>
      <c r="W567" s="212"/>
      <c r="X567" s="212"/>
      <c r="Y567" s="212"/>
      <c r="Z567" s="94" t="s">
        <v>1038</v>
      </c>
      <c r="AA567" s="98"/>
    </row>
    <row r="568" spans="1:27" ht="15" hidden="1" customHeight="1">
      <c r="A568" s="475"/>
      <c r="B568" s="213">
        <v>60</v>
      </c>
      <c r="C568" s="93" t="s">
        <v>1255</v>
      </c>
      <c r="D568" s="415">
        <v>126335.56</v>
      </c>
      <c r="E568" s="416" t="s">
        <v>2236</v>
      </c>
      <c r="F568" s="94" t="s">
        <v>39</v>
      </c>
      <c r="G568" s="136">
        <v>393.75299999999999</v>
      </c>
      <c r="H568" s="136"/>
      <c r="I568" s="94" t="s">
        <v>1256</v>
      </c>
      <c r="J568" s="136">
        <v>554.2432</v>
      </c>
      <c r="K568" s="136"/>
      <c r="L568" s="136"/>
      <c r="M568" s="136">
        <f>SUM(G568,H568,J568,L568)</f>
        <v>947.99620000000004</v>
      </c>
      <c r="N568" s="94" t="s">
        <v>542</v>
      </c>
      <c r="O568" s="94"/>
      <c r="P568" s="94"/>
      <c r="Q568" s="95"/>
      <c r="R568" s="95"/>
      <c r="S568" s="94"/>
      <c r="T568" s="136"/>
      <c r="U568" s="94"/>
      <c r="V568" s="212"/>
      <c r="W568" s="212"/>
      <c r="X568" s="212"/>
      <c r="Y568" s="212"/>
      <c r="Z568" s="94" t="s">
        <v>548</v>
      </c>
      <c r="AA568" s="98"/>
    </row>
    <row r="569" spans="1:27" ht="24">
      <c r="A569" s="475" t="s">
        <v>1334</v>
      </c>
      <c r="B569" s="738">
        <v>1</v>
      </c>
      <c r="C569" s="740" t="s">
        <v>1258</v>
      </c>
      <c r="D569" s="742">
        <v>30421.3364</v>
      </c>
      <c r="E569" s="743" t="s">
        <v>2237</v>
      </c>
      <c r="F569" s="740" t="s">
        <v>245</v>
      </c>
      <c r="G569" s="748">
        <v>64.910600000000002</v>
      </c>
      <c r="H569" s="748">
        <v>0.3</v>
      </c>
      <c r="I569" s="740" t="s">
        <v>1259</v>
      </c>
      <c r="J569" s="748">
        <v>47.098199999999999</v>
      </c>
      <c r="K569" s="748" t="s">
        <v>163</v>
      </c>
      <c r="L569" s="748">
        <v>0</v>
      </c>
      <c r="M569" s="748">
        <f>SUM(G569,H569,J569,L569)</f>
        <v>112.30879999999999</v>
      </c>
      <c r="N569" s="336" t="s">
        <v>1260</v>
      </c>
      <c r="O569" s="336" t="s">
        <v>1261</v>
      </c>
      <c r="P569" s="76" t="s">
        <v>36</v>
      </c>
      <c r="Q569" s="159">
        <v>60</v>
      </c>
      <c r="R569" s="159">
        <v>180</v>
      </c>
      <c r="S569" s="336"/>
      <c r="T569" s="177"/>
      <c r="U569" s="246">
        <f>T569/Q569</f>
        <v>0</v>
      </c>
      <c r="V569" s="751">
        <f>SUM(Q569:Q570)</f>
        <v>125</v>
      </c>
      <c r="W569" s="751">
        <f>SUM(T569:T570)</f>
        <v>0</v>
      </c>
      <c r="X569" s="751"/>
      <c r="Y569" s="751"/>
      <c r="Z569" s="247" t="s">
        <v>498</v>
      </c>
      <c r="AA569" s="98"/>
    </row>
    <row r="570" spans="1:27" ht="24">
      <c r="A570" s="475"/>
      <c r="B570" s="739"/>
      <c r="C570" s="741"/>
      <c r="D570" s="742"/>
      <c r="E570" s="743"/>
      <c r="F570" s="741"/>
      <c r="G570" s="750"/>
      <c r="H570" s="750"/>
      <c r="I570" s="741"/>
      <c r="J570" s="750"/>
      <c r="K570" s="750"/>
      <c r="L570" s="750"/>
      <c r="M570" s="750"/>
      <c r="N570" s="336" t="s">
        <v>1262</v>
      </c>
      <c r="O570" s="336" t="s">
        <v>1261</v>
      </c>
      <c r="P570" s="76" t="s">
        <v>36</v>
      </c>
      <c r="Q570" s="159">
        <v>65</v>
      </c>
      <c r="R570" s="159">
        <v>220</v>
      </c>
      <c r="S570" s="336"/>
      <c r="T570" s="177"/>
      <c r="U570" s="246">
        <f>T570/Q570</f>
        <v>0</v>
      </c>
      <c r="V570" s="753"/>
      <c r="W570" s="753"/>
      <c r="X570" s="753"/>
      <c r="Y570" s="753"/>
      <c r="Z570" s="247" t="s">
        <v>498</v>
      </c>
      <c r="AA570" s="98"/>
    </row>
    <row r="571" spans="1:27" ht="15" hidden="1" customHeight="1">
      <c r="A571" s="475"/>
      <c r="B571" s="352">
        <v>2</v>
      </c>
      <c r="C571" s="336" t="s">
        <v>1263</v>
      </c>
      <c r="D571" s="417">
        <v>17713.832399999999</v>
      </c>
      <c r="E571" s="418" t="s">
        <v>2238</v>
      </c>
      <c r="F571" s="336"/>
      <c r="G571" s="177"/>
      <c r="H571" s="177"/>
      <c r="I571" s="336" t="s">
        <v>241</v>
      </c>
      <c r="J571" s="177">
        <v>12.5</v>
      </c>
      <c r="K571" s="177" t="s">
        <v>542</v>
      </c>
      <c r="L571" s="177">
        <v>0</v>
      </c>
      <c r="M571" s="177"/>
      <c r="N571" s="336" t="s">
        <v>417</v>
      </c>
      <c r="O571" s="336" t="s">
        <v>2034</v>
      </c>
      <c r="P571" s="76" t="s">
        <v>27</v>
      </c>
      <c r="Q571" s="159">
        <v>173</v>
      </c>
      <c r="R571" s="159">
        <v>60</v>
      </c>
      <c r="S571" s="336"/>
      <c r="T571" s="177"/>
      <c r="U571" s="336"/>
      <c r="V571" s="248"/>
      <c r="W571" s="248"/>
      <c r="X571" s="248"/>
      <c r="Y571" s="248"/>
      <c r="Z571" s="247" t="s">
        <v>1264</v>
      </c>
      <c r="AA571" s="98"/>
    </row>
    <row r="572" spans="1:27" ht="108">
      <c r="A572" s="475"/>
      <c r="B572" s="352">
        <v>3</v>
      </c>
      <c r="C572" s="336" t="s">
        <v>2021</v>
      </c>
      <c r="D572" s="417">
        <v>20227.449700000001</v>
      </c>
      <c r="E572" s="418" t="s">
        <v>2239</v>
      </c>
      <c r="F572" s="336" t="s">
        <v>1265</v>
      </c>
      <c r="G572" s="177">
        <v>43.3</v>
      </c>
      <c r="H572" s="177">
        <v>0.25</v>
      </c>
      <c r="I572" s="336" t="s">
        <v>250</v>
      </c>
      <c r="J572" s="177">
        <v>18.2</v>
      </c>
      <c r="K572" s="177" t="s">
        <v>163</v>
      </c>
      <c r="L572" s="177">
        <v>0</v>
      </c>
      <c r="M572" s="177">
        <f>G572+H572+J572</f>
        <v>61.75</v>
      </c>
      <c r="N572" s="336" t="s">
        <v>751</v>
      </c>
      <c r="O572" s="336" t="s">
        <v>1266</v>
      </c>
      <c r="P572" s="76" t="s">
        <v>36</v>
      </c>
      <c r="Q572" s="159">
        <v>15</v>
      </c>
      <c r="R572" s="159"/>
      <c r="S572" s="336"/>
      <c r="T572" s="177"/>
      <c r="U572" s="336"/>
      <c r="V572" s="248">
        <f>Q572</f>
        <v>15</v>
      </c>
      <c r="W572" s="248">
        <f>T572</f>
        <v>0</v>
      </c>
      <c r="X572" s="248"/>
      <c r="Y572" s="248"/>
      <c r="Z572" s="247" t="s">
        <v>540</v>
      </c>
      <c r="AA572" s="98"/>
    </row>
    <row r="573" spans="1:27">
      <c r="A573" s="475"/>
      <c r="B573" s="738">
        <v>4</v>
      </c>
      <c r="C573" s="740" t="s">
        <v>1267</v>
      </c>
      <c r="D573" s="742">
        <v>20675</v>
      </c>
      <c r="E573" s="743" t="s">
        <v>2240</v>
      </c>
      <c r="F573" s="740" t="s">
        <v>1268</v>
      </c>
      <c r="G573" s="748">
        <v>45.64</v>
      </c>
      <c r="H573" s="748">
        <v>0.25</v>
      </c>
      <c r="I573" s="740" t="s">
        <v>1269</v>
      </c>
      <c r="J573" s="748">
        <v>11.5</v>
      </c>
      <c r="K573" s="748" t="s">
        <v>163</v>
      </c>
      <c r="L573" s="748">
        <v>0</v>
      </c>
      <c r="M573" s="748">
        <f>SUM(G573,H573,J573,L573)</f>
        <v>57.39</v>
      </c>
      <c r="N573" s="336" t="s">
        <v>76</v>
      </c>
      <c r="O573" s="336" t="s">
        <v>1270</v>
      </c>
      <c r="P573" s="76" t="s">
        <v>36</v>
      </c>
      <c r="Q573" s="159">
        <v>0</v>
      </c>
      <c r="R573" s="159">
        <v>50.3</v>
      </c>
      <c r="S573" s="336" t="s">
        <v>1271</v>
      </c>
      <c r="T573" s="177"/>
      <c r="U573" s="336"/>
      <c r="V573" s="751">
        <f>SUM(Q573:Q575)</f>
        <v>4.34</v>
      </c>
      <c r="W573" s="751">
        <f>SUM(T573:T575)</f>
        <v>0</v>
      </c>
      <c r="X573" s="751"/>
      <c r="Y573" s="751"/>
      <c r="Z573" s="247" t="s">
        <v>540</v>
      </c>
      <c r="AA573" s="98"/>
    </row>
    <row r="574" spans="1:27" ht="15" hidden="1" customHeight="1">
      <c r="A574" s="475"/>
      <c r="B574" s="746"/>
      <c r="C574" s="747"/>
      <c r="D574" s="742"/>
      <c r="E574" s="743"/>
      <c r="F574" s="747"/>
      <c r="G574" s="749"/>
      <c r="H574" s="749"/>
      <c r="I574" s="747"/>
      <c r="J574" s="749"/>
      <c r="K574" s="749"/>
      <c r="L574" s="749"/>
      <c r="M574" s="749"/>
      <c r="N574" s="336" t="s">
        <v>1272</v>
      </c>
      <c r="O574" s="336" t="s">
        <v>1273</v>
      </c>
      <c r="P574" s="76" t="s">
        <v>27</v>
      </c>
      <c r="Q574" s="159">
        <v>0.94</v>
      </c>
      <c r="R574" s="159">
        <v>0.94</v>
      </c>
      <c r="S574" s="336" t="s">
        <v>1271</v>
      </c>
      <c r="T574" s="177"/>
      <c r="U574" s="336"/>
      <c r="V574" s="752"/>
      <c r="W574" s="752"/>
      <c r="X574" s="752"/>
      <c r="Y574" s="752"/>
      <c r="Z574" s="247" t="s">
        <v>540</v>
      </c>
      <c r="AA574" s="98"/>
    </row>
    <row r="575" spans="1:27" ht="15" hidden="1" customHeight="1">
      <c r="A575" s="475"/>
      <c r="B575" s="739"/>
      <c r="C575" s="741"/>
      <c r="D575" s="742"/>
      <c r="E575" s="743"/>
      <c r="F575" s="741"/>
      <c r="G575" s="750"/>
      <c r="H575" s="750"/>
      <c r="I575" s="741"/>
      <c r="J575" s="750"/>
      <c r="K575" s="750"/>
      <c r="L575" s="750"/>
      <c r="M575" s="750"/>
      <c r="N575" s="336" t="s">
        <v>836</v>
      </c>
      <c r="O575" s="336" t="s">
        <v>1274</v>
      </c>
      <c r="P575" s="76" t="s">
        <v>27</v>
      </c>
      <c r="Q575" s="159">
        <v>3.4</v>
      </c>
      <c r="R575" s="159">
        <v>3.4</v>
      </c>
      <c r="S575" s="336" t="s">
        <v>1271</v>
      </c>
      <c r="T575" s="177"/>
      <c r="U575" s="336"/>
      <c r="V575" s="753"/>
      <c r="W575" s="753"/>
      <c r="X575" s="753"/>
      <c r="Y575" s="753"/>
      <c r="Z575" s="247" t="s">
        <v>540</v>
      </c>
      <c r="AA575" s="98"/>
    </row>
    <row r="576" spans="1:27" ht="24">
      <c r="A576" s="475"/>
      <c r="B576" s="352">
        <v>5</v>
      </c>
      <c r="C576" s="336" t="s">
        <v>1275</v>
      </c>
      <c r="D576" s="419">
        <v>28668.606500000002</v>
      </c>
      <c r="E576" s="420" t="s">
        <v>2241</v>
      </c>
      <c r="F576" s="336" t="s">
        <v>466</v>
      </c>
      <c r="G576" s="177">
        <v>76.769300000000001</v>
      </c>
      <c r="H576" s="177">
        <v>0.3</v>
      </c>
      <c r="I576" s="336"/>
      <c r="J576" s="177"/>
      <c r="K576" s="177" t="s">
        <v>163</v>
      </c>
      <c r="L576" s="177">
        <v>0</v>
      </c>
      <c r="M576" s="177">
        <f>SUM(L576,G576:H576,J576)</f>
        <v>77.069299999999998</v>
      </c>
      <c r="N576" s="336" t="s">
        <v>1276</v>
      </c>
      <c r="O576" s="336" t="s">
        <v>1277</v>
      </c>
      <c r="P576" s="76" t="s">
        <v>36</v>
      </c>
      <c r="Q576" s="159">
        <v>15</v>
      </c>
      <c r="R576" s="159">
        <v>50</v>
      </c>
      <c r="S576" s="336" t="s">
        <v>1278</v>
      </c>
      <c r="T576" s="177">
        <v>10</v>
      </c>
      <c r="U576" s="246">
        <f t="shared" ref="U576:U585" si="53">T576/Q576</f>
        <v>0.66666666666666663</v>
      </c>
      <c r="V576" s="248">
        <f>Q576</f>
        <v>15</v>
      </c>
      <c r="W576" s="248">
        <f>T576</f>
        <v>10</v>
      </c>
      <c r="X576" s="249">
        <f>W576/V576</f>
        <v>0.66666666666666663</v>
      </c>
      <c r="Y576" s="249">
        <f>W576/M576</f>
        <v>0.12975335185346176</v>
      </c>
      <c r="Z576" s="247" t="s">
        <v>506</v>
      </c>
      <c r="AA576" s="98"/>
    </row>
    <row r="577" spans="1:27" ht="36">
      <c r="A577" s="475"/>
      <c r="B577" s="352">
        <v>6</v>
      </c>
      <c r="C577" s="336" t="s">
        <v>2035</v>
      </c>
      <c r="D577" s="419">
        <v>18106.020199999999</v>
      </c>
      <c r="E577" s="418" t="s">
        <v>2242</v>
      </c>
      <c r="F577" s="336" t="s">
        <v>1279</v>
      </c>
      <c r="G577" s="177">
        <v>32.950899999999997</v>
      </c>
      <c r="H577" s="177"/>
      <c r="I577" s="336" t="s">
        <v>241</v>
      </c>
      <c r="J577" s="177">
        <f>4+10.8636</f>
        <v>14.8636</v>
      </c>
      <c r="K577" s="177" t="s">
        <v>163</v>
      </c>
      <c r="L577" s="177">
        <v>0</v>
      </c>
      <c r="M577" s="177">
        <f>SUM(G577,H577,J577,L577)</f>
        <v>47.814499999999995</v>
      </c>
      <c r="N577" s="336" t="s">
        <v>1280</v>
      </c>
      <c r="O577" s="336" t="s">
        <v>2036</v>
      </c>
      <c r="P577" s="76" t="s">
        <v>36</v>
      </c>
      <c r="Q577" s="159">
        <v>120</v>
      </c>
      <c r="R577" s="159">
        <v>180</v>
      </c>
      <c r="S577" s="336"/>
      <c r="T577" s="177"/>
      <c r="U577" s="246">
        <f t="shared" si="53"/>
        <v>0</v>
      </c>
      <c r="V577" s="248">
        <f>Q577</f>
        <v>120</v>
      </c>
      <c r="W577" s="248">
        <f>T577</f>
        <v>0</v>
      </c>
      <c r="X577" s="248"/>
      <c r="Y577" s="248"/>
      <c r="Z577" s="247" t="s">
        <v>526</v>
      </c>
      <c r="AA577" s="98"/>
    </row>
    <row r="578" spans="1:27" ht="48">
      <c r="A578" s="475"/>
      <c r="B578" s="738">
        <v>7</v>
      </c>
      <c r="C578" s="740" t="s">
        <v>1281</v>
      </c>
      <c r="D578" s="742">
        <v>33288.284500000002</v>
      </c>
      <c r="E578" s="743" t="s">
        <v>2243</v>
      </c>
      <c r="F578" s="740" t="s">
        <v>245</v>
      </c>
      <c r="G578" s="748">
        <v>87.870900000000006</v>
      </c>
      <c r="H578" s="748"/>
      <c r="I578" s="740" t="s">
        <v>1282</v>
      </c>
      <c r="J578" s="748">
        <v>13.4398</v>
      </c>
      <c r="K578" s="748" t="s">
        <v>163</v>
      </c>
      <c r="L578" s="748">
        <v>0</v>
      </c>
      <c r="M578" s="748">
        <f>SUM(G578,H578,J578,L578)</f>
        <v>101.31070000000001</v>
      </c>
      <c r="N578" s="250" t="s">
        <v>1283</v>
      </c>
      <c r="O578" s="251" t="s">
        <v>1284</v>
      </c>
      <c r="P578" s="76" t="s">
        <v>36</v>
      </c>
      <c r="Q578" s="159">
        <v>150</v>
      </c>
      <c r="R578" s="159">
        <v>330</v>
      </c>
      <c r="S578" s="336" t="s">
        <v>1285</v>
      </c>
      <c r="T578" s="177">
        <v>122.05549999999999</v>
      </c>
      <c r="U578" s="246">
        <f t="shared" si="53"/>
        <v>0.81370333333333333</v>
      </c>
      <c r="V578" s="751">
        <f>SUM(Q578:Q581)</f>
        <v>155.69999999999999</v>
      </c>
      <c r="W578" s="751">
        <f>SUM(T578:T581)</f>
        <v>123.18549999999999</v>
      </c>
      <c r="X578" s="754">
        <f>W578/V578</f>
        <v>0.79117212588310859</v>
      </c>
      <c r="Y578" s="754">
        <f>W578/M578</f>
        <v>1.2159179632556085</v>
      </c>
      <c r="Z578" s="247" t="s">
        <v>488</v>
      </c>
      <c r="AA578" s="98"/>
    </row>
    <row r="579" spans="1:27" ht="48" hidden="1" customHeight="1">
      <c r="A579" s="475"/>
      <c r="B579" s="746"/>
      <c r="C579" s="747"/>
      <c r="D579" s="742"/>
      <c r="E579" s="743"/>
      <c r="F579" s="747"/>
      <c r="G579" s="749"/>
      <c r="H579" s="749"/>
      <c r="I579" s="747"/>
      <c r="J579" s="749"/>
      <c r="K579" s="749"/>
      <c r="L579" s="749"/>
      <c r="M579" s="749"/>
      <c r="N579" s="252" t="s">
        <v>1286</v>
      </c>
      <c r="O579" s="253" t="s">
        <v>1287</v>
      </c>
      <c r="P579" s="76" t="s">
        <v>27</v>
      </c>
      <c r="Q579" s="254">
        <v>1.5</v>
      </c>
      <c r="R579" s="255">
        <v>3</v>
      </c>
      <c r="S579" s="252" t="s">
        <v>1288</v>
      </c>
      <c r="T579" s="298">
        <v>7.0000000000000007E-2</v>
      </c>
      <c r="U579" s="256">
        <f t="shared" si="53"/>
        <v>4.6666666666666669E-2</v>
      </c>
      <c r="V579" s="752"/>
      <c r="W579" s="752"/>
      <c r="X579" s="755"/>
      <c r="Y579" s="755"/>
      <c r="Z579" s="257" t="s">
        <v>488</v>
      </c>
      <c r="AA579" s="98"/>
    </row>
    <row r="580" spans="1:27" ht="36" hidden="1" customHeight="1">
      <c r="A580" s="475"/>
      <c r="B580" s="746"/>
      <c r="C580" s="747"/>
      <c r="D580" s="742"/>
      <c r="E580" s="743"/>
      <c r="F580" s="747"/>
      <c r="G580" s="749"/>
      <c r="H580" s="749"/>
      <c r="I580" s="747"/>
      <c r="J580" s="749"/>
      <c r="K580" s="749"/>
      <c r="L580" s="749"/>
      <c r="M580" s="749"/>
      <c r="N580" s="252" t="s">
        <v>1289</v>
      </c>
      <c r="O580" s="253" t="s">
        <v>1290</v>
      </c>
      <c r="P580" s="76" t="s">
        <v>27</v>
      </c>
      <c r="Q580" s="254">
        <v>3</v>
      </c>
      <c r="R580" s="255">
        <v>3</v>
      </c>
      <c r="S580" s="252" t="s">
        <v>1291</v>
      </c>
      <c r="T580" s="298">
        <v>1</v>
      </c>
      <c r="U580" s="256">
        <f t="shared" si="53"/>
        <v>0.33333333333333331</v>
      </c>
      <c r="V580" s="752"/>
      <c r="W580" s="752"/>
      <c r="X580" s="755"/>
      <c r="Y580" s="755"/>
      <c r="Z580" s="257" t="s">
        <v>488</v>
      </c>
      <c r="AA580" s="98"/>
    </row>
    <row r="581" spans="1:27" ht="24" hidden="1" customHeight="1">
      <c r="A581" s="475"/>
      <c r="B581" s="739"/>
      <c r="C581" s="741"/>
      <c r="D581" s="742"/>
      <c r="E581" s="743"/>
      <c r="F581" s="741"/>
      <c r="G581" s="750"/>
      <c r="H581" s="750"/>
      <c r="I581" s="741"/>
      <c r="J581" s="750"/>
      <c r="K581" s="750"/>
      <c r="L581" s="750"/>
      <c r="M581" s="750"/>
      <c r="N581" s="252" t="s">
        <v>1292</v>
      </c>
      <c r="O581" s="253" t="s">
        <v>1293</v>
      </c>
      <c r="P581" s="76" t="s">
        <v>27</v>
      </c>
      <c r="Q581" s="254">
        <v>1.2</v>
      </c>
      <c r="R581" s="255">
        <v>3</v>
      </c>
      <c r="S581" s="252" t="s">
        <v>1294</v>
      </c>
      <c r="T581" s="298">
        <v>0.06</v>
      </c>
      <c r="U581" s="256">
        <f t="shared" si="53"/>
        <v>0.05</v>
      </c>
      <c r="V581" s="753"/>
      <c r="W581" s="753"/>
      <c r="X581" s="756"/>
      <c r="Y581" s="756"/>
      <c r="Z581" s="257" t="s">
        <v>488</v>
      </c>
      <c r="AA581" s="98"/>
    </row>
    <row r="582" spans="1:27" ht="24">
      <c r="A582" s="475"/>
      <c r="B582" s="352">
        <v>8</v>
      </c>
      <c r="C582" s="336" t="s">
        <v>1295</v>
      </c>
      <c r="D582" s="419">
        <v>30999.46</v>
      </c>
      <c r="E582" s="421" t="s">
        <v>2244</v>
      </c>
      <c r="F582" s="336" t="s">
        <v>24</v>
      </c>
      <c r="G582" s="177">
        <v>81.284800000000004</v>
      </c>
      <c r="H582" s="177">
        <v>0.55200000000000005</v>
      </c>
      <c r="I582" s="336" t="s">
        <v>24</v>
      </c>
      <c r="J582" s="177">
        <v>38.286299999999997</v>
      </c>
      <c r="K582" s="177" t="s">
        <v>163</v>
      </c>
      <c r="L582" s="177">
        <v>0</v>
      </c>
      <c r="M582" s="177">
        <f>SUM(G582,H582,J582,L582)</f>
        <v>120.12310000000001</v>
      </c>
      <c r="N582" s="336" t="s">
        <v>335</v>
      </c>
      <c r="O582" s="336" t="s">
        <v>1296</v>
      </c>
      <c r="P582" s="76" t="s">
        <v>36</v>
      </c>
      <c r="Q582" s="159">
        <v>10.199999999999999</v>
      </c>
      <c r="R582" s="159">
        <v>36.799999999999997</v>
      </c>
      <c r="S582" s="336" t="s">
        <v>1297</v>
      </c>
      <c r="T582" s="177">
        <v>9.8000000000000007</v>
      </c>
      <c r="U582" s="246">
        <f t="shared" si="53"/>
        <v>0.96078431372549034</v>
      </c>
      <c r="V582" s="751">
        <f>SUM(Q582:Q584)</f>
        <v>22.8245</v>
      </c>
      <c r="W582" s="751">
        <f>SUM(T582:T584)</f>
        <v>200.3229</v>
      </c>
      <c r="X582" s="754">
        <f>W582/V582</f>
        <v>8.7766610440535384</v>
      </c>
      <c r="Y582" s="754">
        <f>W582/M582</f>
        <v>1.6676467723526949</v>
      </c>
      <c r="Z582" s="247" t="s">
        <v>511</v>
      </c>
      <c r="AA582" s="98"/>
    </row>
    <row r="583" spans="1:27" ht="48">
      <c r="A583" s="475"/>
      <c r="B583" s="352">
        <v>9</v>
      </c>
      <c r="C583" s="336" t="s">
        <v>1298</v>
      </c>
      <c r="D583" s="744">
        <v>58576.5</v>
      </c>
      <c r="E583" s="745" t="s">
        <v>2245</v>
      </c>
      <c r="F583" s="336" t="s">
        <v>1299</v>
      </c>
      <c r="G583" s="177" t="s">
        <v>1300</v>
      </c>
      <c r="H583" s="177"/>
      <c r="I583" s="336"/>
      <c r="J583" s="311"/>
      <c r="K583" s="177" t="s">
        <v>163</v>
      </c>
      <c r="L583" s="177">
        <v>0</v>
      </c>
      <c r="M583" s="177"/>
      <c r="N583" s="336" t="s">
        <v>1301</v>
      </c>
      <c r="O583" s="336" t="s">
        <v>1302</v>
      </c>
      <c r="P583" s="76" t="s">
        <v>36</v>
      </c>
      <c r="Q583" s="159">
        <v>2.0842999999999998</v>
      </c>
      <c r="R583" s="159">
        <v>15.774900000000001</v>
      </c>
      <c r="S583" s="336" t="s">
        <v>1201</v>
      </c>
      <c r="T583" s="299">
        <v>3.7</v>
      </c>
      <c r="U583" s="246">
        <f t="shared" si="53"/>
        <v>1.7751763181883609</v>
      </c>
      <c r="V583" s="752"/>
      <c r="W583" s="752"/>
      <c r="X583" s="755"/>
      <c r="Y583" s="755"/>
      <c r="Z583" s="247" t="s">
        <v>814</v>
      </c>
      <c r="AA583" s="98"/>
    </row>
    <row r="584" spans="1:27" ht="48">
      <c r="A584" s="475"/>
      <c r="B584" s="352">
        <v>10</v>
      </c>
      <c r="C584" s="336" t="s">
        <v>1298</v>
      </c>
      <c r="D584" s="744"/>
      <c r="E584" s="745"/>
      <c r="F584" s="336" t="s">
        <v>1299</v>
      </c>
      <c r="G584" s="177" t="s">
        <v>1303</v>
      </c>
      <c r="H584" s="177"/>
      <c r="I584" s="336"/>
      <c r="J584" s="177"/>
      <c r="K584" s="177" t="s">
        <v>163</v>
      </c>
      <c r="L584" s="177">
        <v>0</v>
      </c>
      <c r="M584" s="177"/>
      <c r="N584" s="336" t="s">
        <v>1099</v>
      </c>
      <c r="O584" s="336" t="s">
        <v>1304</v>
      </c>
      <c r="P584" s="76" t="s">
        <v>36</v>
      </c>
      <c r="Q584" s="159">
        <v>10.5402</v>
      </c>
      <c r="R584" s="159">
        <v>385.16680000000002</v>
      </c>
      <c r="S584" s="336" t="s">
        <v>1139</v>
      </c>
      <c r="T584" s="299">
        <v>186.8229</v>
      </c>
      <c r="U584" s="246">
        <f t="shared" si="53"/>
        <v>17.72479649342517</v>
      </c>
      <c r="V584" s="753"/>
      <c r="W584" s="753"/>
      <c r="X584" s="756"/>
      <c r="Y584" s="756"/>
      <c r="Z584" s="247" t="s">
        <v>814</v>
      </c>
      <c r="AA584" s="98"/>
    </row>
    <row r="585" spans="1:27" ht="48" hidden="1" customHeight="1">
      <c r="A585" s="475"/>
      <c r="B585" s="352">
        <v>11</v>
      </c>
      <c r="C585" s="336" t="s">
        <v>1298</v>
      </c>
      <c r="D585" s="744"/>
      <c r="E585" s="745"/>
      <c r="F585" s="336" t="s">
        <v>1299</v>
      </c>
      <c r="G585" s="177">
        <v>169.87180000000001</v>
      </c>
      <c r="H585" s="177"/>
      <c r="I585" s="336" t="s">
        <v>39</v>
      </c>
      <c r="J585" s="311">
        <v>83.699399999999997</v>
      </c>
      <c r="K585" s="177" t="s">
        <v>163</v>
      </c>
      <c r="L585" s="177">
        <v>0</v>
      </c>
      <c r="M585" s="177">
        <f>SUM(L585,J585,G585:H585)</f>
        <v>253.5712</v>
      </c>
      <c r="N585" s="336" t="s">
        <v>1305</v>
      </c>
      <c r="O585" s="336" t="s">
        <v>1306</v>
      </c>
      <c r="P585" s="76" t="s">
        <v>27</v>
      </c>
      <c r="Q585" s="159">
        <v>4.5</v>
      </c>
      <c r="R585" s="159">
        <v>4.5</v>
      </c>
      <c r="S585" s="336" t="s">
        <v>1307</v>
      </c>
      <c r="T585" s="300">
        <v>2.0053879999999999</v>
      </c>
      <c r="U585" s="258">
        <f t="shared" si="53"/>
        <v>0.44564177777777775</v>
      </c>
      <c r="V585" s="259">
        <f>Q585</f>
        <v>4.5</v>
      </c>
      <c r="W585" s="260">
        <f>T585</f>
        <v>2.0053879999999999</v>
      </c>
      <c r="X585" s="249">
        <f>W585/V585</f>
        <v>0.44564177777777775</v>
      </c>
      <c r="Y585" s="249">
        <f>W585/M585</f>
        <v>7.908579523226612E-3</v>
      </c>
      <c r="Z585" s="247" t="s">
        <v>814</v>
      </c>
      <c r="AA585" s="98"/>
    </row>
    <row r="586" spans="1:27" ht="24" hidden="1" customHeight="1">
      <c r="A586" s="475"/>
      <c r="B586" s="738">
        <v>12</v>
      </c>
      <c r="C586" s="740" t="s">
        <v>1308</v>
      </c>
      <c r="D586" s="768">
        <v>56412.58</v>
      </c>
      <c r="E586" s="743" t="s">
        <v>2246</v>
      </c>
      <c r="F586" s="740" t="s">
        <v>1309</v>
      </c>
      <c r="G586" s="748">
        <f>55220.54985*0.003</f>
        <v>165.66164955000002</v>
      </c>
      <c r="H586" s="748">
        <v>60</v>
      </c>
      <c r="I586" s="740" t="s">
        <v>1310</v>
      </c>
      <c r="J586" s="748" t="s">
        <v>2022</v>
      </c>
      <c r="K586" s="748" t="s">
        <v>163</v>
      </c>
      <c r="L586" s="748">
        <v>0</v>
      </c>
      <c r="M586" s="748">
        <v>2346.8733459999999</v>
      </c>
      <c r="N586" s="261" t="s">
        <v>1311</v>
      </c>
      <c r="O586" s="336" t="s">
        <v>1312</v>
      </c>
      <c r="P586" s="76" t="s">
        <v>27</v>
      </c>
      <c r="Q586" s="159">
        <v>3.3</v>
      </c>
      <c r="R586" s="159">
        <v>3</v>
      </c>
      <c r="S586" s="336" t="s">
        <v>1313</v>
      </c>
      <c r="T586" s="177"/>
      <c r="U586" s="246"/>
      <c r="V586" s="751">
        <f>SUM(Q586:Q592)</f>
        <v>318.3</v>
      </c>
      <c r="W586" s="751">
        <f>SUM(T586:T592)</f>
        <v>0</v>
      </c>
      <c r="X586" s="751"/>
      <c r="Y586" s="751"/>
      <c r="Z586" s="765" t="s">
        <v>167</v>
      </c>
      <c r="AA586" s="98"/>
    </row>
    <row r="587" spans="1:27" ht="15" hidden="1" customHeight="1">
      <c r="A587" s="475"/>
      <c r="B587" s="746"/>
      <c r="C587" s="747"/>
      <c r="D587" s="768"/>
      <c r="E587" s="743"/>
      <c r="F587" s="747"/>
      <c r="G587" s="749"/>
      <c r="H587" s="749"/>
      <c r="I587" s="747"/>
      <c r="J587" s="749"/>
      <c r="K587" s="749"/>
      <c r="L587" s="749"/>
      <c r="M587" s="749"/>
      <c r="N587" s="261" t="s">
        <v>1314</v>
      </c>
      <c r="O587" s="336" t="s">
        <v>1315</v>
      </c>
      <c r="P587" s="76" t="s">
        <v>27</v>
      </c>
      <c r="Q587" s="159" t="s">
        <v>1316</v>
      </c>
      <c r="R587" s="159"/>
      <c r="S587" s="336"/>
      <c r="T587" s="177"/>
      <c r="U587" s="336"/>
      <c r="V587" s="752"/>
      <c r="W587" s="752"/>
      <c r="X587" s="752"/>
      <c r="Y587" s="752"/>
      <c r="Z587" s="766"/>
      <c r="AA587" s="98"/>
    </row>
    <row r="588" spans="1:27" ht="15" hidden="1" customHeight="1">
      <c r="A588" s="475"/>
      <c r="B588" s="746"/>
      <c r="C588" s="747"/>
      <c r="D588" s="768"/>
      <c r="E588" s="743"/>
      <c r="F588" s="747"/>
      <c r="G588" s="749"/>
      <c r="H588" s="749"/>
      <c r="I588" s="747"/>
      <c r="J588" s="749"/>
      <c r="K588" s="749"/>
      <c r="L588" s="749"/>
      <c r="M588" s="749"/>
      <c r="N588" s="336" t="s">
        <v>1317</v>
      </c>
      <c r="O588" s="336" t="s">
        <v>1318</v>
      </c>
      <c r="P588" s="76" t="s">
        <v>27</v>
      </c>
      <c r="Q588" s="159" t="s">
        <v>1316</v>
      </c>
      <c r="R588" s="159"/>
      <c r="S588" s="336"/>
      <c r="T588" s="177"/>
      <c r="U588" s="336"/>
      <c r="V588" s="752"/>
      <c r="W588" s="752"/>
      <c r="X588" s="752"/>
      <c r="Y588" s="752"/>
      <c r="Z588" s="766"/>
      <c r="AA588" s="98"/>
    </row>
    <row r="589" spans="1:27" ht="15" hidden="1" customHeight="1">
      <c r="A589" s="475"/>
      <c r="B589" s="746"/>
      <c r="C589" s="747"/>
      <c r="D589" s="768"/>
      <c r="E589" s="743"/>
      <c r="F589" s="747"/>
      <c r="G589" s="749"/>
      <c r="H589" s="749"/>
      <c r="I589" s="747"/>
      <c r="J589" s="749"/>
      <c r="K589" s="749"/>
      <c r="L589" s="749"/>
      <c r="M589" s="749"/>
      <c r="N589" s="261" t="s">
        <v>1319</v>
      </c>
      <c r="O589" s="336" t="s">
        <v>1320</v>
      </c>
      <c r="P589" s="76" t="s">
        <v>27</v>
      </c>
      <c r="Q589" s="159">
        <v>90</v>
      </c>
      <c r="R589" s="159">
        <v>50</v>
      </c>
      <c r="S589" s="336" t="s">
        <v>1313</v>
      </c>
      <c r="T589" s="177"/>
      <c r="U589" s="336"/>
      <c r="V589" s="752"/>
      <c r="W589" s="752"/>
      <c r="X589" s="752"/>
      <c r="Y589" s="752"/>
      <c r="Z589" s="766"/>
      <c r="AA589" s="98"/>
    </row>
    <row r="590" spans="1:27" ht="24">
      <c r="A590" s="475"/>
      <c r="B590" s="746"/>
      <c r="C590" s="747"/>
      <c r="D590" s="768"/>
      <c r="E590" s="743"/>
      <c r="F590" s="747"/>
      <c r="G590" s="749"/>
      <c r="H590" s="749"/>
      <c r="I590" s="747"/>
      <c r="J590" s="749"/>
      <c r="K590" s="749"/>
      <c r="L590" s="749"/>
      <c r="M590" s="749"/>
      <c r="N590" s="261" t="s">
        <v>1321</v>
      </c>
      <c r="O590" s="336" t="s">
        <v>1322</v>
      </c>
      <c r="P590" s="76" t="s">
        <v>36</v>
      </c>
      <c r="Q590" s="159">
        <v>210</v>
      </c>
      <c r="R590" s="159">
        <v>210</v>
      </c>
      <c r="S590" s="336" t="s">
        <v>1313</v>
      </c>
      <c r="T590" s="177"/>
      <c r="U590" s="336"/>
      <c r="V590" s="752"/>
      <c r="W590" s="752"/>
      <c r="X590" s="752"/>
      <c r="Y590" s="752"/>
      <c r="Z590" s="766"/>
      <c r="AA590" s="98"/>
    </row>
    <row r="591" spans="1:27">
      <c r="A591" s="475"/>
      <c r="B591" s="746"/>
      <c r="C591" s="747"/>
      <c r="D591" s="768"/>
      <c r="E591" s="743"/>
      <c r="F591" s="747"/>
      <c r="G591" s="749"/>
      <c r="H591" s="749"/>
      <c r="I591" s="747"/>
      <c r="J591" s="749"/>
      <c r="K591" s="749"/>
      <c r="L591" s="749"/>
      <c r="M591" s="749"/>
      <c r="N591" s="261" t="s">
        <v>1323</v>
      </c>
      <c r="O591" s="336" t="s">
        <v>1324</v>
      </c>
      <c r="P591" s="76" t="s">
        <v>36</v>
      </c>
      <c r="Q591" s="159">
        <v>15</v>
      </c>
      <c r="R591" s="159">
        <v>15</v>
      </c>
      <c r="S591" s="336" t="s">
        <v>1313</v>
      </c>
      <c r="T591" s="177"/>
      <c r="U591" s="336"/>
      <c r="V591" s="752"/>
      <c r="W591" s="752"/>
      <c r="X591" s="752"/>
      <c r="Y591" s="752"/>
      <c r="Z591" s="766"/>
      <c r="AA591" s="98"/>
    </row>
    <row r="592" spans="1:27">
      <c r="A592" s="475"/>
      <c r="B592" s="746"/>
      <c r="C592" s="747"/>
      <c r="D592" s="768"/>
      <c r="E592" s="743"/>
      <c r="F592" s="747"/>
      <c r="G592" s="749"/>
      <c r="H592" s="749"/>
      <c r="I592" s="747"/>
      <c r="J592" s="749"/>
      <c r="K592" s="750"/>
      <c r="L592" s="750"/>
      <c r="M592" s="750"/>
      <c r="N592" s="261" t="s">
        <v>1325</v>
      </c>
      <c r="O592" s="336" t="s">
        <v>1324</v>
      </c>
      <c r="P592" s="76" t="s">
        <v>36</v>
      </c>
      <c r="Q592" s="159" t="s">
        <v>1326</v>
      </c>
      <c r="R592" s="159"/>
      <c r="S592" s="336"/>
      <c r="T592" s="177"/>
      <c r="U592" s="336"/>
      <c r="V592" s="753"/>
      <c r="W592" s="753"/>
      <c r="X592" s="753"/>
      <c r="Y592" s="753"/>
      <c r="Z592" s="767"/>
      <c r="AA592" s="98"/>
    </row>
    <row r="593" spans="1:27" ht="36">
      <c r="A593" s="475"/>
      <c r="B593" s="738">
        <v>13</v>
      </c>
      <c r="C593" s="740" t="s">
        <v>1327</v>
      </c>
      <c r="D593" s="742">
        <v>16493.399990999998</v>
      </c>
      <c r="E593" s="743" t="s">
        <v>2247</v>
      </c>
      <c r="F593" s="740" t="s">
        <v>24</v>
      </c>
      <c r="G593" s="748">
        <f>38.6012-2.5</f>
        <v>36.101199999999999</v>
      </c>
      <c r="H593" s="748">
        <v>2.5</v>
      </c>
      <c r="I593" s="740" t="s">
        <v>17</v>
      </c>
      <c r="J593" s="748">
        <v>14.99339</v>
      </c>
      <c r="K593" s="748" t="s">
        <v>163</v>
      </c>
      <c r="L593" s="763">
        <v>0</v>
      </c>
      <c r="M593" s="748">
        <f>SUM(G593,H593,J593,L593)</f>
        <v>53.594589999999997</v>
      </c>
      <c r="N593" s="336" t="s">
        <v>1328</v>
      </c>
      <c r="O593" s="336" t="s">
        <v>1329</v>
      </c>
      <c r="P593" s="76" t="s">
        <v>36</v>
      </c>
      <c r="Q593" s="159">
        <v>14</v>
      </c>
      <c r="R593" s="159">
        <v>21.2637</v>
      </c>
      <c r="S593" s="336" t="s">
        <v>1330</v>
      </c>
      <c r="T593" s="177">
        <v>16.260000000000002</v>
      </c>
      <c r="U593" s="246">
        <f>T593/Q593</f>
        <v>1.1614285714285715</v>
      </c>
      <c r="V593" s="751">
        <f>SUM(Q593:Q594)</f>
        <v>14.82</v>
      </c>
      <c r="W593" s="751">
        <f>SUM(T593:T594)</f>
        <v>16.828100000000003</v>
      </c>
      <c r="X593" s="754">
        <f>W593/V593</f>
        <v>1.1354993252361676</v>
      </c>
      <c r="Y593" s="754">
        <f>W593/M593</f>
        <v>0.31398878133035452</v>
      </c>
      <c r="Z593" s="247" t="s">
        <v>1331</v>
      </c>
      <c r="AA593" s="98"/>
    </row>
    <row r="594" spans="1:27" ht="96" hidden="1" customHeight="1">
      <c r="A594" s="475"/>
      <c r="B594" s="746"/>
      <c r="C594" s="747"/>
      <c r="D594" s="742"/>
      <c r="E594" s="743"/>
      <c r="F594" s="747"/>
      <c r="G594" s="749"/>
      <c r="H594" s="749"/>
      <c r="I594" s="747"/>
      <c r="J594" s="749"/>
      <c r="K594" s="749"/>
      <c r="L594" s="764"/>
      <c r="M594" s="749"/>
      <c r="N594" s="349" t="s">
        <v>1332</v>
      </c>
      <c r="O594" s="349" t="s">
        <v>1333</v>
      </c>
      <c r="P594" s="76" t="s">
        <v>27</v>
      </c>
      <c r="Q594" s="262">
        <v>0.82</v>
      </c>
      <c r="R594" s="262">
        <v>0.82</v>
      </c>
      <c r="S594" s="349"/>
      <c r="T594" s="350">
        <v>0.56810000000000005</v>
      </c>
      <c r="U594" s="263">
        <f>T594/Q594</f>
        <v>0.69280487804878055</v>
      </c>
      <c r="V594" s="753"/>
      <c r="W594" s="753"/>
      <c r="X594" s="756"/>
      <c r="Y594" s="756"/>
      <c r="Z594" s="351" t="s">
        <v>1331</v>
      </c>
      <c r="AA594" s="98"/>
    </row>
    <row r="595" spans="1:27">
      <c r="A595" s="475" t="s">
        <v>1526</v>
      </c>
      <c r="B595" s="757">
        <v>1</v>
      </c>
      <c r="C595" s="758" t="s">
        <v>1335</v>
      </c>
      <c r="D595" s="759">
        <v>95967.8</v>
      </c>
      <c r="E595" s="759" t="s">
        <v>2248</v>
      </c>
      <c r="F595" s="758" t="s">
        <v>1336</v>
      </c>
      <c r="G595" s="762">
        <v>122.703592</v>
      </c>
      <c r="H595" s="762"/>
      <c r="I595" s="758" t="s">
        <v>1337</v>
      </c>
      <c r="J595" s="762">
        <v>134.92482799999999</v>
      </c>
      <c r="K595" s="782" t="s">
        <v>163</v>
      </c>
      <c r="L595" s="782" t="s">
        <v>163</v>
      </c>
      <c r="M595" s="762">
        <f>SUM(G595,H595,J595,L595)</f>
        <v>257.62842000000001</v>
      </c>
      <c r="N595" s="353">
        <v>2010.07</v>
      </c>
      <c r="O595" s="353" t="s">
        <v>1338</v>
      </c>
      <c r="P595" s="76" t="s">
        <v>36</v>
      </c>
      <c r="Q595" s="79">
        <v>37.119100000000003</v>
      </c>
      <c r="R595" s="79">
        <v>37.119100000000003</v>
      </c>
      <c r="S595" s="80"/>
      <c r="T595" s="301">
        <v>36.0867</v>
      </c>
      <c r="U595" s="82">
        <f>T595/Q595</f>
        <v>0.97218682565040637</v>
      </c>
      <c r="V595" s="769">
        <f>SUM(Q595:Q617)</f>
        <v>181.11660799999996</v>
      </c>
      <c r="W595" s="769">
        <f>SUM(T595:T617)</f>
        <v>145.042148</v>
      </c>
      <c r="X595" s="772">
        <f>W595/V595</f>
        <v>0.80082191026899108</v>
      </c>
      <c r="Y595" s="772">
        <f>W595/M595</f>
        <v>0.56298970431911199</v>
      </c>
      <c r="Z595" s="356" t="s">
        <v>894</v>
      </c>
      <c r="AA595" s="98"/>
    </row>
    <row r="596" spans="1:27" ht="24">
      <c r="A596" s="475"/>
      <c r="B596" s="757"/>
      <c r="C596" s="758"/>
      <c r="D596" s="760"/>
      <c r="E596" s="760"/>
      <c r="F596" s="758"/>
      <c r="G596" s="762"/>
      <c r="H596" s="762"/>
      <c r="I596" s="758"/>
      <c r="J596" s="762"/>
      <c r="K596" s="782"/>
      <c r="L596" s="782"/>
      <c r="M596" s="762"/>
      <c r="N596" s="353">
        <v>2011.06</v>
      </c>
      <c r="O596" s="353" t="s">
        <v>1339</v>
      </c>
      <c r="P596" s="76" t="s">
        <v>36</v>
      </c>
      <c r="Q596" s="79">
        <v>1.0768260000000001</v>
      </c>
      <c r="R596" s="79">
        <v>1.0768260000000001</v>
      </c>
      <c r="S596" s="80"/>
      <c r="T596" s="301">
        <v>1.0768260000000001</v>
      </c>
      <c r="U596" s="82">
        <f>T596/Q596</f>
        <v>1</v>
      </c>
      <c r="V596" s="770"/>
      <c r="W596" s="770"/>
      <c r="X596" s="773"/>
      <c r="Y596" s="773"/>
      <c r="Z596" s="356" t="s">
        <v>894</v>
      </c>
      <c r="AA596" s="98"/>
    </row>
    <row r="597" spans="1:27" ht="24">
      <c r="A597" s="475"/>
      <c r="B597" s="757"/>
      <c r="C597" s="758"/>
      <c r="D597" s="760"/>
      <c r="E597" s="760"/>
      <c r="F597" s="758"/>
      <c r="G597" s="762"/>
      <c r="H597" s="762"/>
      <c r="I597" s="758"/>
      <c r="J597" s="762"/>
      <c r="K597" s="782"/>
      <c r="L597" s="782"/>
      <c r="M597" s="762"/>
      <c r="N597" s="353">
        <v>2012.07</v>
      </c>
      <c r="O597" s="353" t="s">
        <v>1339</v>
      </c>
      <c r="P597" s="76" t="s">
        <v>36</v>
      </c>
      <c r="Q597" s="79">
        <v>17.184740000000001</v>
      </c>
      <c r="R597" s="79">
        <v>17.184740000000001</v>
      </c>
      <c r="S597" s="80"/>
      <c r="T597" s="301">
        <v>17.184740000000001</v>
      </c>
      <c r="U597" s="82">
        <f>T597/Q597</f>
        <v>1</v>
      </c>
      <c r="V597" s="770"/>
      <c r="W597" s="770"/>
      <c r="X597" s="773"/>
      <c r="Y597" s="773"/>
      <c r="Z597" s="356" t="s">
        <v>894</v>
      </c>
      <c r="AA597" s="98"/>
    </row>
    <row r="598" spans="1:27" ht="60" hidden="1" customHeight="1">
      <c r="A598" s="475"/>
      <c r="B598" s="757"/>
      <c r="C598" s="758"/>
      <c r="D598" s="760"/>
      <c r="E598" s="760"/>
      <c r="F598" s="758"/>
      <c r="G598" s="762"/>
      <c r="H598" s="762"/>
      <c r="I598" s="758"/>
      <c r="J598" s="762"/>
      <c r="K598" s="782"/>
      <c r="L598" s="782"/>
      <c r="M598" s="762"/>
      <c r="N598" s="83" t="s">
        <v>1340</v>
      </c>
      <c r="O598" s="353" t="s">
        <v>1341</v>
      </c>
      <c r="P598" s="76" t="s">
        <v>27</v>
      </c>
      <c r="Q598" s="79">
        <v>2</v>
      </c>
      <c r="R598" s="79">
        <v>2</v>
      </c>
      <c r="S598" s="80"/>
      <c r="T598" s="301">
        <v>1.4</v>
      </c>
      <c r="U598" s="82">
        <f t="shared" ref="U598:U619" si="54">T598/Q598</f>
        <v>0.7</v>
      </c>
      <c r="V598" s="770"/>
      <c r="W598" s="770"/>
      <c r="X598" s="773"/>
      <c r="Y598" s="773"/>
      <c r="Z598" s="356" t="s">
        <v>894</v>
      </c>
      <c r="AA598" s="98"/>
    </row>
    <row r="599" spans="1:27" ht="24" hidden="1" customHeight="1">
      <c r="A599" s="475"/>
      <c r="B599" s="757"/>
      <c r="C599" s="758"/>
      <c r="D599" s="760"/>
      <c r="E599" s="760"/>
      <c r="F599" s="758"/>
      <c r="G599" s="762"/>
      <c r="H599" s="762"/>
      <c r="I599" s="758"/>
      <c r="J599" s="762"/>
      <c r="K599" s="782"/>
      <c r="L599" s="782"/>
      <c r="M599" s="762"/>
      <c r="N599" s="83" t="s">
        <v>1342</v>
      </c>
      <c r="O599" s="353" t="s">
        <v>1343</v>
      </c>
      <c r="P599" s="76" t="s">
        <v>27</v>
      </c>
      <c r="Q599" s="79">
        <v>1.4294260000000001</v>
      </c>
      <c r="R599" s="79">
        <v>1.4294260000000001</v>
      </c>
      <c r="S599" s="80"/>
      <c r="T599" s="301">
        <v>0.85765499999999995</v>
      </c>
      <c r="U599" s="82">
        <f t="shared" si="54"/>
        <v>0.59999958025109368</v>
      </c>
      <c r="V599" s="770"/>
      <c r="W599" s="770"/>
      <c r="X599" s="773"/>
      <c r="Y599" s="773"/>
      <c r="Z599" s="356" t="s">
        <v>894</v>
      </c>
      <c r="AA599" s="98"/>
    </row>
    <row r="600" spans="1:27" ht="48" hidden="1" customHeight="1">
      <c r="A600" s="475"/>
      <c r="B600" s="757"/>
      <c r="C600" s="758"/>
      <c r="D600" s="760"/>
      <c r="E600" s="760"/>
      <c r="F600" s="758"/>
      <c r="G600" s="762"/>
      <c r="H600" s="762"/>
      <c r="I600" s="758"/>
      <c r="J600" s="762"/>
      <c r="K600" s="782"/>
      <c r="L600" s="782"/>
      <c r="M600" s="762"/>
      <c r="N600" s="83" t="s">
        <v>1342</v>
      </c>
      <c r="O600" s="353" t="s">
        <v>1344</v>
      </c>
      <c r="P600" s="76" t="s">
        <v>27</v>
      </c>
      <c r="Q600" s="79">
        <v>14</v>
      </c>
      <c r="R600" s="79">
        <v>14</v>
      </c>
      <c r="S600" s="80"/>
      <c r="T600" s="301">
        <v>8.4</v>
      </c>
      <c r="U600" s="82">
        <f t="shared" si="54"/>
        <v>0.6</v>
      </c>
      <c r="V600" s="770"/>
      <c r="W600" s="770"/>
      <c r="X600" s="773"/>
      <c r="Y600" s="773"/>
      <c r="Z600" s="356" t="s">
        <v>894</v>
      </c>
      <c r="AA600" s="98"/>
    </row>
    <row r="601" spans="1:27" ht="24" hidden="1" customHeight="1">
      <c r="A601" s="475"/>
      <c r="B601" s="757"/>
      <c r="C601" s="758"/>
      <c r="D601" s="760"/>
      <c r="E601" s="760"/>
      <c r="F601" s="758"/>
      <c r="G601" s="762"/>
      <c r="H601" s="762"/>
      <c r="I601" s="758"/>
      <c r="J601" s="762"/>
      <c r="K601" s="782"/>
      <c r="L601" s="782"/>
      <c r="M601" s="762"/>
      <c r="N601" s="83" t="s">
        <v>1345</v>
      </c>
      <c r="O601" s="353" t="s">
        <v>1346</v>
      </c>
      <c r="P601" s="76" t="s">
        <v>27</v>
      </c>
      <c r="Q601" s="79">
        <v>0.23675199999999999</v>
      </c>
      <c r="R601" s="79">
        <v>0.23675199999999999</v>
      </c>
      <c r="S601" s="80"/>
      <c r="T601" s="301">
        <v>0.21307600000000002</v>
      </c>
      <c r="U601" s="82">
        <f t="shared" si="54"/>
        <v>0.89999662093667643</v>
      </c>
      <c r="V601" s="770"/>
      <c r="W601" s="770"/>
      <c r="X601" s="773"/>
      <c r="Y601" s="773"/>
      <c r="Z601" s="356" t="s">
        <v>894</v>
      </c>
      <c r="AA601" s="98"/>
    </row>
    <row r="602" spans="1:27" ht="24" hidden="1" customHeight="1">
      <c r="A602" s="475"/>
      <c r="B602" s="757"/>
      <c r="C602" s="758"/>
      <c r="D602" s="760"/>
      <c r="E602" s="760"/>
      <c r="F602" s="758"/>
      <c r="G602" s="762"/>
      <c r="H602" s="762"/>
      <c r="I602" s="758"/>
      <c r="J602" s="762"/>
      <c r="K602" s="782"/>
      <c r="L602" s="782"/>
      <c r="M602" s="762"/>
      <c r="N602" s="83" t="s">
        <v>1347</v>
      </c>
      <c r="O602" s="353"/>
      <c r="P602" s="76" t="s">
        <v>27</v>
      </c>
      <c r="Q602" s="79">
        <v>0.54606399999999999</v>
      </c>
      <c r="R602" s="79">
        <v>0.54606399999999999</v>
      </c>
      <c r="S602" s="80"/>
      <c r="T602" s="301">
        <v>0.54606299999999997</v>
      </c>
      <c r="U602" s="82">
        <f t="shared" si="54"/>
        <v>0.99999816871282476</v>
      </c>
      <c r="V602" s="770"/>
      <c r="W602" s="770"/>
      <c r="X602" s="773"/>
      <c r="Y602" s="773"/>
      <c r="Z602" s="356" t="s">
        <v>894</v>
      </c>
      <c r="AA602" s="98"/>
    </row>
    <row r="603" spans="1:27" ht="36" hidden="1" customHeight="1">
      <c r="A603" s="475"/>
      <c r="B603" s="757"/>
      <c r="C603" s="758"/>
      <c r="D603" s="760"/>
      <c r="E603" s="760"/>
      <c r="F603" s="758"/>
      <c r="G603" s="762"/>
      <c r="H603" s="762"/>
      <c r="I603" s="758"/>
      <c r="J603" s="762"/>
      <c r="K603" s="782"/>
      <c r="L603" s="782"/>
      <c r="M603" s="762"/>
      <c r="N603" s="83" t="s">
        <v>1348</v>
      </c>
      <c r="O603" s="353" t="s">
        <v>1349</v>
      </c>
      <c r="P603" s="76" t="s">
        <v>27</v>
      </c>
      <c r="Q603" s="79">
        <v>0.145172</v>
      </c>
      <c r="R603" s="79">
        <v>0.145172</v>
      </c>
      <c r="S603" s="80"/>
      <c r="T603" s="301">
        <v>0.11613800000000001</v>
      </c>
      <c r="U603" s="82">
        <f t="shared" si="54"/>
        <v>0.80000275535227183</v>
      </c>
      <c r="V603" s="770"/>
      <c r="W603" s="770"/>
      <c r="X603" s="773"/>
      <c r="Y603" s="773"/>
      <c r="Z603" s="356" t="s">
        <v>894</v>
      </c>
      <c r="AA603" s="98"/>
    </row>
    <row r="604" spans="1:27" ht="24" hidden="1" customHeight="1">
      <c r="A604" s="475"/>
      <c r="B604" s="757"/>
      <c r="C604" s="758"/>
      <c r="D604" s="760"/>
      <c r="E604" s="760"/>
      <c r="F604" s="758"/>
      <c r="G604" s="762"/>
      <c r="H604" s="762"/>
      <c r="I604" s="758"/>
      <c r="J604" s="762"/>
      <c r="K604" s="782"/>
      <c r="L604" s="782"/>
      <c r="M604" s="762"/>
      <c r="N604" s="83" t="s">
        <v>1350</v>
      </c>
      <c r="O604" s="353" t="s">
        <v>1351</v>
      </c>
      <c r="P604" s="76" t="s">
        <v>27</v>
      </c>
      <c r="Q604" s="79">
        <v>1.3012620000000001</v>
      </c>
      <c r="R604" s="79">
        <v>1.3012620000000001</v>
      </c>
      <c r="S604" s="80"/>
      <c r="T604" s="301">
        <v>1.301261</v>
      </c>
      <c r="U604" s="82">
        <f t="shared" si="54"/>
        <v>0.99999923151525205</v>
      </c>
      <c r="V604" s="770"/>
      <c r="W604" s="770"/>
      <c r="X604" s="773"/>
      <c r="Y604" s="773"/>
      <c r="Z604" s="356" t="s">
        <v>894</v>
      </c>
      <c r="AA604" s="98"/>
    </row>
    <row r="605" spans="1:27" ht="36" hidden="1" customHeight="1">
      <c r="A605" s="475"/>
      <c r="B605" s="757"/>
      <c r="C605" s="758"/>
      <c r="D605" s="760"/>
      <c r="E605" s="760"/>
      <c r="F605" s="758"/>
      <c r="G605" s="762"/>
      <c r="H605" s="762"/>
      <c r="I605" s="758"/>
      <c r="J605" s="762"/>
      <c r="K605" s="782"/>
      <c r="L605" s="782"/>
      <c r="M605" s="762"/>
      <c r="N605" s="83" t="s">
        <v>1352</v>
      </c>
      <c r="O605" s="353" t="s">
        <v>1353</v>
      </c>
      <c r="P605" s="76" t="s">
        <v>27</v>
      </c>
      <c r="Q605" s="79">
        <v>0.20862399999999998</v>
      </c>
      <c r="R605" s="79">
        <v>0.20862399999999998</v>
      </c>
      <c r="S605" s="80"/>
      <c r="T605" s="301">
        <v>0.208623</v>
      </c>
      <c r="U605" s="82">
        <f t="shared" si="54"/>
        <v>0.99999520668762953</v>
      </c>
      <c r="V605" s="770"/>
      <c r="W605" s="770"/>
      <c r="X605" s="773"/>
      <c r="Y605" s="773"/>
      <c r="Z605" s="356" t="s">
        <v>894</v>
      </c>
      <c r="AA605" s="98"/>
    </row>
    <row r="606" spans="1:27" ht="24" hidden="1" customHeight="1">
      <c r="A606" s="475"/>
      <c r="B606" s="757"/>
      <c r="C606" s="758"/>
      <c r="D606" s="760"/>
      <c r="E606" s="760"/>
      <c r="F606" s="758"/>
      <c r="G606" s="762"/>
      <c r="H606" s="762"/>
      <c r="I606" s="758"/>
      <c r="J606" s="762"/>
      <c r="K606" s="782"/>
      <c r="L606" s="782"/>
      <c r="M606" s="762"/>
      <c r="N606" s="83" t="s">
        <v>1354</v>
      </c>
      <c r="O606" s="353" t="s">
        <v>1355</v>
      </c>
      <c r="P606" s="76" t="s">
        <v>27</v>
      </c>
      <c r="Q606" s="79">
        <v>0.95379199999999997</v>
      </c>
      <c r="R606" s="79">
        <v>0.95379199999999997</v>
      </c>
      <c r="S606" s="80"/>
      <c r="T606" s="301">
        <v>0.95379099999999994</v>
      </c>
      <c r="U606" s="82">
        <f t="shared" si="54"/>
        <v>0.99999895155337848</v>
      </c>
      <c r="V606" s="770"/>
      <c r="W606" s="770"/>
      <c r="X606" s="773"/>
      <c r="Y606" s="773"/>
      <c r="Z606" s="356" t="s">
        <v>894</v>
      </c>
      <c r="AA606" s="98"/>
    </row>
    <row r="607" spans="1:27" ht="36" hidden="1" customHeight="1">
      <c r="A607" s="475"/>
      <c r="B607" s="757"/>
      <c r="C607" s="758"/>
      <c r="D607" s="760"/>
      <c r="E607" s="760"/>
      <c r="F607" s="758"/>
      <c r="G607" s="762"/>
      <c r="H607" s="762"/>
      <c r="I607" s="758"/>
      <c r="J607" s="762"/>
      <c r="K607" s="782"/>
      <c r="L607" s="782"/>
      <c r="M607" s="762"/>
      <c r="N607" s="83" t="s">
        <v>1356</v>
      </c>
      <c r="O607" s="353" t="s">
        <v>1357</v>
      </c>
      <c r="P607" s="76" t="s">
        <v>27</v>
      </c>
      <c r="Q607" s="79">
        <v>0.18653800000000001</v>
      </c>
      <c r="R607" s="79">
        <v>0.18653800000000001</v>
      </c>
      <c r="S607" s="80"/>
      <c r="T607" s="301">
        <v>0.18653699999999998</v>
      </c>
      <c r="U607" s="82">
        <f t="shared" si="54"/>
        <v>0.9999946391619936</v>
      </c>
      <c r="V607" s="770"/>
      <c r="W607" s="770"/>
      <c r="X607" s="773"/>
      <c r="Y607" s="773"/>
      <c r="Z607" s="356" t="s">
        <v>894</v>
      </c>
      <c r="AA607" s="98"/>
    </row>
    <row r="608" spans="1:27" ht="48" hidden="1" customHeight="1">
      <c r="A608" s="475"/>
      <c r="B608" s="757"/>
      <c r="C608" s="758"/>
      <c r="D608" s="760"/>
      <c r="E608" s="760"/>
      <c r="F608" s="758"/>
      <c r="G608" s="762"/>
      <c r="H608" s="762"/>
      <c r="I608" s="758"/>
      <c r="J608" s="762"/>
      <c r="K608" s="782"/>
      <c r="L608" s="782"/>
      <c r="M608" s="762"/>
      <c r="N608" s="83" t="s">
        <v>1358</v>
      </c>
      <c r="O608" s="353" t="s">
        <v>1359</v>
      </c>
      <c r="P608" s="76" t="s">
        <v>27</v>
      </c>
      <c r="Q608" s="79">
        <v>22</v>
      </c>
      <c r="R608" s="79">
        <v>22</v>
      </c>
      <c r="S608" s="80"/>
      <c r="T608" s="301">
        <v>22</v>
      </c>
      <c r="U608" s="82">
        <f t="shared" si="54"/>
        <v>1</v>
      </c>
      <c r="V608" s="770"/>
      <c r="W608" s="770"/>
      <c r="X608" s="773"/>
      <c r="Y608" s="773"/>
      <c r="Z608" s="356" t="s">
        <v>894</v>
      </c>
      <c r="AA608" s="98"/>
    </row>
    <row r="609" spans="1:27" ht="24" hidden="1" customHeight="1">
      <c r="A609" s="475"/>
      <c r="B609" s="757"/>
      <c r="C609" s="758"/>
      <c r="D609" s="760"/>
      <c r="E609" s="760"/>
      <c r="F609" s="758"/>
      <c r="G609" s="762"/>
      <c r="H609" s="762"/>
      <c r="I609" s="758"/>
      <c r="J609" s="762"/>
      <c r="K609" s="782"/>
      <c r="L609" s="782"/>
      <c r="M609" s="762"/>
      <c r="N609" s="83" t="s">
        <v>1360</v>
      </c>
      <c r="O609" s="353" t="s">
        <v>1361</v>
      </c>
      <c r="P609" s="76" t="s">
        <v>27</v>
      </c>
      <c r="Q609" s="79">
        <v>20</v>
      </c>
      <c r="R609" s="79">
        <v>20</v>
      </c>
      <c r="S609" s="80"/>
      <c r="T609" s="301">
        <v>18</v>
      </c>
      <c r="U609" s="82">
        <f t="shared" si="54"/>
        <v>0.9</v>
      </c>
      <c r="V609" s="770"/>
      <c r="W609" s="770"/>
      <c r="X609" s="773"/>
      <c r="Y609" s="773"/>
      <c r="Z609" s="356" t="s">
        <v>894</v>
      </c>
      <c r="AA609" s="98"/>
    </row>
    <row r="610" spans="1:27" ht="24" hidden="1" customHeight="1">
      <c r="A610" s="475"/>
      <c r="B610" s="757"/>
      <c r="C610" s="758"/>
      <c r="D610" s="760"/>
      <c r="E610" s="760"/>
      <c r="F610" s="758"/>
      <c r="G610" s="762"/>
      <c r="H610" s="762"/>
      <c r="I610" s="758"/>
      <c r="J610" s="762"/>
      <c r="K610" s="782"/>
      <c r="L610" s="782"/>
      <c r="M610" s="762"/>
      <c r="N610" s="83" t="s">
        <v>1362</v>
      </c>
      <c r="O610" s="353" t="s">
        <v>1363</v>
      </c>
      <c r="P610" s="76" t="s">
        <v>27</v>
      </c>
      <c r="Q610" s="79">
        <v>0.63533600000000001</v>
      </c>
      <c r="R610" s="79">
        <v>0.63533600000000001</v>
      </c>
      <c r="S610" s="80"/>
      <c r="T610" s="301">
        <v>0.63533600000000001</v>
      </c>
      <c r="U610" s="82">
        <f t="shared" si="54"/>
        <v>1</v>
      </c>
      <c r="V610" s="770"/>
      <c r="W610" s="770"/>
      <c r="X610" s="773"/>
      <c r="Y610" s="773"/>
      <c r="Z610" s="356" t="s">
        <v>894</v>
      </c>
      <c r="AA610" s="98"/>
    </row>
    <row r="611" spans="1:27" ht="24" hidden="1" customHeight="1">
      <c r="A611" s="475"/>
      <c r="B611" s="757"/>
      <c r="C611" s="758"/>
      <c r="D611" s="760"/>
      <c r="E611" s="760"/>
      <c r="F611" s="758"/>
      <c r="G611" s="762"/>
      <c r="H611" s="762"/>
      <c r="I611" s="758"/>
      <c r="J611" s="762"/>
      <c r="K611" s="782"/>
      <c r="L611" s="782"/>
      <c r="M611" s="762"/>
      <c r="N611" s="83" t="s">
        <v>1364</v>
      </c>
      <c r="O611" s="353" t="s">
        <v>1365</v>
      </c>
      <c r="P611" s="76" t="s">
        <v>27</v>
      </c>
      <c r="Q611" s="79">
        <v>0.8838959999999999</v>
      </c>
      <c r="R611" s="79">
        <v>0.8838959999999999</v>
      </c>
      <c r="S611" s="80"/>
      <c r="T611" s="301">
        <v>0.8838950000000001</v>
      </c>
      <c r="U611" s="82">
        <f t="shared" si="54"/>
        <v>0.99999886864518017</v>
      </c>
      <c r="V611" s="770"/>
      <c r="W611" s="770"/>
      <c r="X611" s="773"/>
      <c r="Y611" s="773"/>
      <c r="Z611" s="356" t="s">
        <v>894</v>
      </c>
      <c r="AA611" s="98"/>
    </row>
    <row r="612" spans="1:27" ht="24" hidden="1" customHeight="1">
      <c r="A612" s="475"/>
      <c r="B612" s="757"/>
      <c r="C612" s="758"/>
      <c r="D612" s="760"/>
      <c r="E612" s="760"/>
      <c r="F612" s="758"/>
      <c r="G612" s="762"/>
      <c r="H612" s="762"/>
      <c r="I612" s="758"/>
      <c r="J612" s="762"/>
      <c r="K612" s="782"/>
      <c r="L612" s="782"/>
      <c r="M612" s="762"/>
      <c r="N612" s="83" t="s">
        <v>1364</v>
      </c>
      <c r="O612" s="353" t="s">
        <v>1366</v>
      </c>
      <c r="P612" s="76" t="s">
        <v>27</v>
      </c>
      <c r="Q612" s="79">
        <v>0.159634</v>
      </c>
      <c r="R612" s="79">
        <v>0.159634</v>
      </c>
      <c r="S612" s="80"/>
      <c r="T612" s="301">
        <v>0.159634</v>
      </c>
      <c r="U612" s="82">
        <f t="shared" si="54"/>
        <v>1</v>
      </c>
      <c r="V612" s="770"/>
      <c r="W612" s="770"/>
      <c r="X612" s="773"/>
      <c r="Y612" s="773"/>
      <c r="Z612" s="356" t="s">
        <v>894</v>
      </c>
      <c r="AA612" s="98"/>
    </row>
    <row r="613" spans="1:27" ht="24" hidden="1" customHeight="1">
      <c r="A613" s="475"/>
      <c r="B613" s="757"/>
      <c r="C613" s="758"/>
      <c r="D613" s="760"/>
      <c r="E613" s="760"/>
      <c r="F613" s="758"/>
      <c r="G613" s="762"/>
      <c r="H613" s="762"/>
      <c r="I613" s="758"/>
      <c r="J613" s="762"/>
      <c r="K613" s="782"/>
      <c r="L613" s="782"/>
      <c r="M613" s="762"/>
      <c r="N613" s="83"/>
      <c r="O613" s="353" t="s">
        <v>1367</v>
      </c>
      <c r="P613" s="76" t="s">
        <v>27</v>
      </c>
      <c r="Q613" s="79">
        <v>0.50551800000000002</v>
      </c>
      <c r="R613" s="79">
        <v>0.50551800000000002</v>
      </c>
      <c r="S613" s="80"/>
      <c r="T613" s="301">
        <v>0.50551699999999999</v>
      </c>
      <c r="U613" s="82">
        <f t="shared" si="54"/>
        <v>0.99999802183107223</v>
      </c>
      <c r="V613" s="770"/>
      <c r="W613" s="770"/>
      <c r="X613" s="773"/>
      <c r="Y613" s="773"/>
      <c r="Z613" s="356" t="s">
        <v>894</v>
      </c>
      <c r="AA613" s="98"/>
    </row>
    <row r="614" spans="1:27" ht="24" hidden="1" customHeight="1">
      <c r="A614" s="475"/>
      <c r="B614" s="757"/>
      <c r="C614" s="758"/>
      <c r="D614" s="760"/>
      <c r="E614" s="760"/>
      <c r="F614" s="758"/>
      <c r="G614" s="762"/>
      <c r="H614" s="762"/>
      <c r="I614" s="758"/>
      <c r="J614" s="762"/>
      <c r="K614" s="782"/>
      <c r="L614" s="782"/>
      <c r="M614" s="762"/>
      <c r="N614" s="83" t="s">
        <v>1368</v>
      </c>
      <c r="O614" s="353" t="s">
        <v>1369</v>
      </c>
      <c r="P614" s="76" t="s">
        <v>27</v>
      </c>
      <c r="Q614" s="79">
        <v>0.54392799999999997</v>
      </c>
      <c r="R614" s="79">
        <v>0.54392799999999997</v>
      </c>
      <c r="S614" s="80"/>
      <c r="T614" s="301">
        <v>0.32635599999999998</v>
      </c>
      <c r="U614" s="82">
        <f t="shared" si="54"/>
        <v>0.59999852921710228</v>
      </c>
      <c r="V614" s="770"/>
      <c r="W614" s="770"/>
      <c r="X614" s="773"/>
      <c r="Y614" s="773"/>
      <c r="Z614" s="356" t="s">
        <v>894</v>
      </c>
      <c r="AA614" s="98"/>
    </row>
    <row r="615" spans="1:27" ht="24" hidden="1" customHeight="1">
      <c r="A615" s="475"/>
      <c r="B615" s="757"/>
      <c r="C615" s="758"/>
      <c r="D615" s="760"/>
      <c r="E615" s="760"/>
      <c r="F615" s="758"/>
      <c r="G615" s="762"/>
      <c r="H615" s="762"/>
      <c r="I615" s="758"/>
      <c r="J615" s="762"/>
      <c r="K615" s="782"/>
      <c r="L615" s="782"/>
      <c r="M615" s="762"/>
      <c r="N615" s="83" t="s">
        <v>1370</v>
      </c>
      <c r="O615" s="353" t="s">
        <v>1371</v>
      </c>
      <c r="P615" s="76" t="s">
        <v>27</v>
      </c>
      <c r="Q615" s="79">
        <v>20</v>
      </c>
      <c r="R615" s="79">
        <v>20</v>
      </c>
      <c r="S615" s="80"/>
      <c r="T615" s="301">
        <v>12</v>
      </c>
      <c r="U615" s="82">
        <f t="shared" si="54"/>
        <v>0.6</v>
      </c>
      <c r="V615" s="770"/>
      <c r="W615" s="770"/>
      <c r="X615" s="773"/>
      <c r="Y615" s="773"/>
      <c r="Z615" s="356" t="s">
        <v>894</v>
      </c>
      <c r="AA615" s="98"/>
    </row>
    <row r="616" spans="1:27" ht="24" hidden="1" customHeight="1">
      <c r="A616" s="475"/>
      <c r="B616" s="757"/>
      <c r="C616" s="758"/>
      <c r="D616" s="760"/>
      <c r="E616" s="760"/>
      <c r="F616" s="758"/>
      <c r="G616" s="762"/>
      <c r="H616" s="762"/>
      <c r="I616" s="758"/>
      <c r="J616" s="762"/>
      <c r="K616" s="782"/>
      <c r="L616" s="782"/>
      <c r="M616" s="762"/>
      <c r="N616" s="83" t="s">
        <v>1372</v>
      </c>
      <c r="O616" s="353" t="s">
        <v>1373</v>
      </c>
      <c r="P616" s="76" t="s">
        <v>27</v>
      </c>
      <c r="Q616" s="79">
        <v>20</v>
      </c>
      <c r="R616" s="79">
        <v>20</v>
      </c>
      <c r="S616" s="80"/>
      <c r="T616" s="301">
        <v>10</v>
      </c>
      <c r="U616" s="82">
        <f t="shared" si="54"/>
        <v>0.5</v>
      </c>
      <c r="V616" s="770"/>
      <c r="W616" s="770"/>
      <c r="X616" s="773"/>
      <c r="Y616" s="773"/>
      <c r="Z616" s="356" t="s">
        <v>894</v>
      </c>
      <c r="AA616" s="98"/>
    </row>
    <row r="617" spans="1:27" ht="24" hidden="1" customHeight="1">
      <c r="A617" s="475"/>
      <c r="B617" s="757"/>
      <c r="C617" s="758"/>
      <c r="D617" s="761"/>
      <c r="E617" s="761"/>
      <c r="F617" s="758"/>
      <c r="G617" s="762"/>
      <c r="H617" s="762"/>
      <c r="I617" s="758"/>
      <c r="J617" s="762"/>
      <c r="K617" s="782"/>
      <c r="L617" s="782"/>
      <c r="M617" s="762"/>
      <c r="N617" s="83" t="s">
        <v>1372</v>
      </c>
      <c r="O617" s="353" t="s">
        <v>1373</v>
      </c>
      <c r="P617" s="76" t="s">
        <v>27</v>
      </c>
      <c r="Q617" s="79">
        <v>20</v>
      </c>
      <c r="R617" s="79">
        <v>20</v>
      </c>
      <c r="S617" s="80"/>
      <c r="T617" s="301">
        <v>12</v>
      </c>
      <c r="U617" s="82">
        <f t="shared" si="54"/>
        <v>0.6</v>
      </c>
      <c r="V617" s="771"/>
      <c r="W617" s="771"/>
      <c r="X617" s="774"/>
      <c r="Y617" s="774"/>
      <c r="Z617" s="356" t="s">
        <v>894</v>
      </c>
      <c r="AA617" s="98"/>
    </row>
    <row r="618" spans="1:27" ht="48">
      <c r="A618" s="475"/>
      <c r="B618" s="775">
        <v>2</v>
      </c>
      <c r="C618" s="776" t="s">
        <v>1374</v>
      </c>
      <c r="D618" s="777">
        <v>78310.210000000006</v>
      </c>
      <c r="E618" s="779" t="s">
        <v>2249</v>
      </c>
      <c r="F618" s="776" t="s">
        <v>1375</v>
      </c>
      <c r="G618" s="781">
        <v>270.29538710000003</v>
      </c>
      <c r="H618" s="781"/>
      <c r="I618" s="776" t="s">
        <v>1376</v>
      </c>
      <c r="J618" s="781">
        <v>37.965944</v>
      </c>
      <c r="K618" s="795" t="s">
        <v>163</v>
      </c>
      <c r="L618" s="795" t="s">
        <v>163</v>
      </c>
      <c r="M618" s="781">
        <f>SUM(G618,H618,J618,L618)</f>
        <v>308.26133110000001</v>
      </c>
      <c r="N618" s="83" t="s">
        <v>1377</v>
      </c>
      <c r="O618" s="353" t="s">
        <v>1378</v>
      </c>
      <c r="P618" s="76" t="s">
        <v>36</v>
      </c>
      <c r="Q618" s="79">
        <v>200.94749999999999</v>
      </c>
      <c r="R618" s="79">
        <v>200.94749999999999</v>
      </c>
      <c r="S618" s="80" t="s">
        <v>1379</v>
      </c>
      <c r="T618" s="301">
        <v>120.81887500000001</v>
      </c>
      <c r="U618" s="82">
        <f t="shared" si="54"/>
        <v>0.60124597220667098</v>
      </c>
      <c r="V618" s="769">
        <f>SUM(Q618:Q619)</f>
        <v>340.08472273999996</v>
      </c>
      <c r="W618" s="769">
        <f>SUM(T618:T619)</f>
        <v>173.43237500000001</v>
      </c>
      <c r="X618" s="772">
        <f>W618/V618</f>
        <v>0.50996814441615401</v>
      </c>
      <c r="Y618" s="772">
        <f>W618/M618</f>
        <v>0.56261476060303695</v>
      </c>
      <c r="Z618" s="356" t="s">
        <v>381</v>
      </c>
      <c r="AA618" s="98"/>
    </row>
    <row r="619" spans="1:27" ht="72">
      <c r="A619" s="475"/>
      <c r="B619" s="775"/>
      <c r="C619" s="776"/>
      <c r="D619" s="778"/>
      <c r="E619" s="780"/>
      <c r="F619" s="776"/>
      <c r="G619" s="781"/>
      <c r="H619" s="781"/>
      <c r="I619" s="776"/>
      <c r="J619" s="781"/>
      <c r="K619" s="795"/>
      <c r="L619" s="795"/>
      <c r="M619" s="781"/>
      <c r="N619" s="83" t="s">
        <v>1380</v>
      </c>
      <c r="O619" s="353" t="s">
        <v>1381</v>
      </c>
      <c r="P619" s="76" t="s">
        <v>36</v>
      </c>
      <c r="Q619" s="79">
        <v>139.13722274</v>
      </c>
      <c r="R619" s="79">
        <v>139.13722274</v>
      </c>
      <c r="S619" s="80" t="s">
        <v>163</v>
      </c>
      <c r="T619" s="301">
        <v>52.613500000000002</v>
      </c>
      <c r="U619" s="82">
        <f t="shared" si="54"/>
        <v>0.37814108233507493</v>
      </c>
      <c r="V619" s="796"/>
      <c r="W619" s="796"/>
      <c r="X619" s="774"/>
      <c r="Y619" s="774"/>
      <c r="Z619" s="356" t="s">
        <v>381</v>
      </c>
      <c r="AA619" s="98"/>
    </row>
    <row r="620" spans="1:27" ht="24" hidden="1" customHeight="1">
      <c r="A620" s="475"/>
      <c r="B620" s="790">
        <v>3</v>
      </c>
      <c r="C620" s="791" t="s">
        <v>1382</v>
      </c>
      <c r="D620" s="792">
        <v>61667.6</v>
      </c>
      <c r="E620" s="792" t="s">
        <v>2250</v>
      </c>
      <c r="F620" s="791" t="s">
        <v>1383</v>
      </c>
      <c r="G620" s="788">
        <f>420.544694/4</f>
        <v>105.1361735</v>
      </c>
      <c r="H620" s="788">
        <v>5</v>
      </c>
      <c r="I620" s="791" t="s">
        <v>1383</v>
      </c>
      <c r="J620" s="788">
        <f>279.950854/4</f>
        <v>69.987713499999998</v>
      </c>
      <c r="K620" s="789" t="s">
        <v>663</v>
      </c>
      <c r="L620" s="789" t="s">
        <v>663</v>
      </c>
      <c r="M620" s="788">
        <f>SUM(G620,H620,J620,L620)</f>
        <v>180.123887</v>
      </c>
      <c r="N620" s="83" t="s">
        <v>1384</v>
      </c>
      <c r="O620" s="83" t="s">
        <v>1385</v>
      </c>
      <c r="P620" s="76" t="s">
        <v>27</v>
      </c>
      <c r="Q620" s="79">
        <f>(56628.95+2226.77)/10000</f>
        <v>5.8855719999999998</v>
      </c>
      <c r="R620" s="79">
        <f>(56628.95+2226.77+40*50)/10000</f>
        <v>6.0855719999999991</v>
      </c>
      <c r="S620" s="353" t="s">
        <v>65</v>
      </c>
      <c r="T620" s="301">
        <v>4.6257999999999999</v>
      </c>
      <c r="U620" s="82">
        <f>T620/Q620</f>
        <v>0.78595589349684281</v>
      </c>
      <c r="V620" s="769">
        <f>SUM(Q620:Q638)</f>
        <v>56.739801240000006</v>
      </c>
      <c r="W620" s="769">
        <f>SUM(T620:T638)</f>
        <v>12.632864</v>
      </c>
      <c r="X620" s="772">
        <f>W620/M620</f>
        <v>7.0134307061672507E-2</v>
      </c>
      <c r="Y620" s="772">
        <f>W620/M620</f>
        <v>7.0134307061672507E-2</v>
      </c>
      <c r="Z620" s="84" t="s">
        <v>1386</v>
      </c>
      <c r="AA620" s="98"/>
    </row>
    <row r="621" spans="1:27" ht="36" hidden="1" customHeight="1">
      <c r="A621" s="475"/>
      <c r="B621" s="790"/>
      <c r="C621" s="791"/>
      <c r="D621" s="793"/>
      <c r="E621" s="793"/>
      <c r="F621" s="791"/>
      <c r="G621" s="788"/>
      <c r="H621" s="788"/>
      <c r="I621" s="791"/>
      <c r="J621" s="788"/>
      <c r="K621" s="789"/>
      <c r="L621" s="789"/>
      <c r="M621" s="788"/>
      <c r="N621" s="83" t="s">
        <v>630</v>
      </c>
      <c r="O621" s="83" t="s">
        <v>1387</v>
      </c>
      <c r="P621" s="76" t="s">
        <v>27</v>
      </c>
      <c r="Q621" s="79">
        <f>(260+6097.6)/10000</f>
        <v>0.63575999999999999</v>
      </c>
      <c r="R621" s="79">
        <f>(260+6097.6+30*50+60000)/10000</f>
        <v>6.7857600000000007</v>
      </c>
      <c r="S621" s="353" t="s">
        <v>1388</v>
      </c>
      <c r="T621" s="301">
        <v>0.52585400000000004</v>
      </c>
      <c r="U621" s="82">
        <f t="shared" ref="U621" si="55">T621/Q621</f>
        <v>0.82712658864980504</v>
      </c>
      <c r="V621" s="770"/>
      <c r="W621" s="770"/>
      <c r="X621" s="773"/>
      <c r="Y621" s="773"/>
      <c r="Z621" s="84" t="s">
        <v>1386</v>
      </c>
      <c r="AA621" s="98"/>
    </row>
    <row r="622" spans="1:27" ht="48" hidden="1" customHeight="1">
      <c r="A622" s="475"/>
      <c r="B622" s="790"/>
      <c r="C622" s="791"/>
      <c r="D622" s="793"/>
      <c r="E622" s="793"/>
      <c r="F622" s="791"/>
      <c r="G622" s="788"/>
      <c r="H622" s="788"/>
      <c r="I622" s="791"/>
      <c r="J622" s="788"/>
      <c r="K622" s="789"/>
      <c r="L622" s="789"/>
      <c r="M622" s="788"/>
      <c r="N622" s="83" t="s">
        <v>964</v>
      </c>
      <c r="O622" s="83" t="s">
        <v>1389</v>
      </c>
      <c r="P622" s="76" t="s">
        <v>27</v>
      </c>
      <c r="Q622" s="79">
        <f>4974.75/10000</f>
        <v>0.497475</v>
      </c>
      <c r="R622" s="79">
        <f>(4974.75+50*14)/10000</f>
        <v>0.56747499999999995</v>
      </c>
      <c r="S622" s="353" t="s">
        <v>1390</v>
      </c>
      <c r="T622" s="301">
        <v>0.453239</v>
      </c>
      <c r="U622" s="82">
        <f>T622/Q622</f>
        <v>0.91107894869088901</v>
      </c>
      <c r="V622" s="770"/>
      <c r="W622" s="770"/>
      <c r="X622" s="773"/>
      <c r="Y622" s="773"/>
      <c r="Z622" s="84" t="s">
        <v>1386</v>
      </c>
      <c r="AA622" s="98"/>
    </row>
    <row r="623" spans="1:27" ht="60" hidden="1" customHeight="1">
      <c r="A623" s="475"/>
      <c r="B623" s="790"/>
      <c r="C623" s="791"/>
      <c r="D623" s="793"/>
      <c r="E623" s="793"/>
      <c r="F623" s="791"/>
      <c r="G623" s="788"/>
      <c r="H623" s="788"/>
      <c r="I623" s="791"/>
      <c r="J623" s="788"/>
      <c r="K623" s="789"/>
      <c r="L623" s="789"/>
      <c r="M623" s="788"/>
      <c r="N623" s="83" t="s">
        <v>271</v>
      </c>
      <c r="O623" s="83" t="s">
        <v>1391</v>
      </c>
      <c r="P623" s="76" t="s">
        <v>27</v>
      </c>
      <c r="Q623" s="79">
        <f>2418.3/10000</f>
        <v>0.24183000000000002</v>
      </c>
      <c r="R623" s="79">
        <f>(2418.3+50*24)/10000</f>
        <v>0.36183000000000004</v>
      </c>
      <c r="S623" s="353" t="s">
        <v>1392</v>
      </c>
      <c r="T623" s="301">
        <v>0.29400799999999999</v>
      </c>
      <c r="U623" s="82">
        <f>T623/Q623</f>
        <v>1.2157631393954429</v>
      </c>
      <c r="V623" s="770"/>
      <c r="W623" s="770"/>
      <c r="X623" s="773"/>
      <c r="Y623" s="773"/>
      <c r="Z623" s="84" t="s">
        <v>1386</v>
      </c>
      <c r="AA623" s="98"/>
    </row>
    <row r="624" spans="1:27" ht="36" hidden="1" customHeight="1">
      <c r="A624" s="475"/>
      <c r="B624" s="790"/>
      <c r="C624" s="791"/>
      <c r="D624" s="793"/>
      <c r="E624" s="793"/>
      <c r="F624" s="791"/>
      <c r="G624" s="788"/>
      <c r="H624" s="788"/>
      <c r="I624" s="791"/>
      <c r="J624" s="788"/>
      <c r="K624" s="789"/>
      <c r="L624" s="789"/>
      <c r="M624" s="788"/>
      <c r="N624" s="83" t="s">
        <v>1393</v>
      </c>
      <c r="O624" s="83" t="s">
        <v>1394</v>
      </c>
      <c r="P624" s="76" t="s">
        <v>27</v>
      </c>
      <c r="Q624" s="79">
        <f>92769.16/10000</f>
        <v>9.2769159999999999</v>
      </c>
      <c r="R624" s="79">
        <f>(92769.16+59*50)/10000</f>
        <v>9.5719159999999999</v>
      </c>
      <c r="S624" s="353" t="s">
        <v>65</v>
      </c>
      <c r="T624" s="301">
        <v>6.7339630000000001</v>
      </c>
      <c r="U624" s="82">
        <f>T624/Q624</f>
        <v>0.72588379586491891</v>
      </c>
      <c r="V624" s="770"/>
      <c r="W624" s="770"/>
      <c r="X624" s="773"/>
      <c r="Y624" s="773"/>
      <c r="Z624" s="84" t="s">
        <v>1386</v>
      </c>
      <c r="AA624" s="98"/>
    </row>
    <row r="625" spans="1:27" ht="48" hidden="1" customHeight="1">
      <c r="A625" s="475"/>
      <c r="B625" s="790"/>
      <c r="C625" s="791"/>
      <c r="D625" s="793"/>
      <c r="E625" s="793"/>
      <c r="F625" s="791"/>
      <c r="G625" s="788"/>
      <c r="H625" s="788"/>
      <c r="I625" s="791"/>
      <c r="J625" s="788"/>
      <c r="K625" s="789"/>
      <c r="L625" s="789"/>
      <c r="M625" s="788"/>
      <c r="N625" s="83" t="s">
        <v>1395</v>
      </c>
      <c r="O625" s="83" t="s">
        <v>1396</v>
      </c>
      <c r="P625" s="76" t="s">
        <v>27</v>
      </c>
      <c r="Q625" s="79">
        <v>0.43738700000000003</v>
      </c>
      <c r="R625" s="79">
        <f>0.437387+0.005*13</f>
        <v>0.50238700000000003</v>
      </c>
      <c r="S625" s="81"/>
      <c r="T625" s="302" t="s">
        <v>1397</v>
      </c>
      <c r="U625" s="82"/>
      <c r="V625" s="770"/>
      <c r="W625" s="770"/>
      <c r="X625" s="773"/>
      <c r="Y625" s="773"/>
      <c r="Z625" s="84" t="s">
        <v>1386</v>
      </c>
      <c r="AA625" s="98"/>
    </row>
    <row r="626" spans="1:27" ht="36" hidden="1" customHeight="1">
      <c r="A626" s="475"/>
      <c r="B626" s="790"/>
      <c r="C626" s="791"/>
      <c r="D626" s="793"/>
      <c r="E626" s="793"/>
      <c r="F626" s="791"/>
      <c r="G626" s="788"/>
      <c r="H626" s="788"/>
      <c r="I626" s="791"/>
      <c r="J626" s="788"/>
      <c r="K626" s="789"/>
      <c r="L626" s="789"/>
      <c r="M626" s="788"/>
      <c r="N626" s="83" t="s">
        <v>300</v>
      </c>
      <c r="O626" s="83" t="s">
        <v>1398</v>
      </c>
      <c r="P626" s="76" t="s">
        <v>27</v>
      </c>
      <c r="Q626" s="79">
        <v>0.54474599999999995</v>
      </c>
      <c r="R626" s="79">
        <f>0.544746+0.005*17</f>
        <v>0.62974599999999992</v>
      </c>
      <c r="S626" s="81"/>
      <c r="T626" s="302" t="s">
        <v>1397</v>
      </c>
      <c r="U626" s="82"/>
      <c r="V626" s="770"/>
      <c r="W626" s="770"/>
      <c r="X626" s="773"/>
      <c r="Y626" s="773"/>
      <c r="Z626" s="84" t="s">
        <v>1386</v>
      </c>
      <c r="AA626" s="98"/>
    </row>
    <row r="627" spans="1:27" ht="36" hidden="1" customHeight="1">
      <c r="A627" s="475"/>
      <c r="B627" s="790"/>
      <c r="C627" s="791"/>
      <c r="D627" s="793"/>
      <c r="E627" s="793"/>
      <c r="F627" s="791"/>
      <c r="G627" s="788"/>
      <c r="H627" s="788"/>
      <c r="I627" s="791"/>
      <c r="J627" s="788"/>
      <c r="K627" s="789"/>
      <c r="L627" s="789"/>
      <c r="M627" s="788"/>
      <c r="N627" s="83" t="s">
        <v>1399</v>
      </c>
      <c r="O627" s="83" t="s">
        <v>1400</v>
      </c>
      <c r="P627" s="76" t="s">
        <v>27</v>
      </c>
      <c r="Q627" s="79">
        <f>0.29944+1.240781</f>
        <v>1.5402209999999998</v>
      </c>
      <c r="R627" s="79">
        <f>0.29944+1.240781+0.005*18</f>
        <v>1.6302209999999999</v>
      </c>
      <c r="S627" s="81"/>
      <c r="T627" s="302" t="s">
        <v>1397</v>
      </c>
      <c r="U627" s="82"/>
      <c r="V627" s="770"/>
      <c r="W627" s="770"/>
      <c r="X627" s="773"/>
      <c r="Y627" s="773"/>
      <c r="Z627" s="84" t="s">
        <v>1386</v>
      </c>
      <c r="AA627" s="98"/>
    </row>
    <row r="628" spans="1:27" ht="36" hidden="1" customHeight="1">
      <c r="A628" s="475"/>
      <c r="B628" s="790"/>
      <c r="C628" s="791"/>
      <c r="D628" s="793"/>
      <c r="E628" s="793"/>
      <c r="F628" s="791"/>
      <c r="G628" s="788"/>
      <c r="H628" s="788"/>
      <c r="I628" s="791"/>
      <c r="J628" s="788"/>
      <c r="K628" s="789"/>
      <c r="L628" s="789"/>
      <c r="M628" s="788"/>
      <c r="N628" s="83" t="s">
        <v>1401</v>
      </c>
      <c r="O628" s="83" t="s">
        <v>1402</v>
      </c>
      <c r="P628" s="76" t="s">
        <v>27</v>
      </c>
      <c r="Q628" s="79"/>
      <c r="R628" s="79"/>
      <c r="S628" s="81"/>
      <c r="T628" s="302" t="s">
        <v>1397</v>
      </c>
      <c r="U628" s="82"/>
      <c r="V628" s="770"/>
      <c r="W628" s="770"/>
      <c r="X628" s="773"/>
      <c r="Y628" s="773"/>
      <c r="Z628" s="84" t="s">
        <v>1386</v>
      </c>
      <c r="AA628" s="98"/>
    </row>
    <row r="629" spans="1:27" ht="48" hidden="1" customHeight="1">
      <c r="A629" s="475"/>
      <c r="B629" s="790"/>
      <c r="C629" s="791"/>
      <c r="D629" s="793"/>
      <c r="E629" s="793"/>
      <c r="F629" s="791"/>
      <c r="G629" s="788"/>
      <c r="H629" s="788"/>
      <c r="I629" s="791"/>
      <c r="J629" s="788"/>
      <c r="K629" s="789"/>
      <c r="L629" s="789"/>
      <c r="M629" s="788"/>
      <c r="N629" s="83" t="s">
        <v>1403</v>
      </c>
      <c r="O629" s="83" t="s">
        <v>1404</v>
      </c>
      <c r="P629" s="76" t="s">
        <v>27</v>
      </c>
      <c r="Q629" s="79">
        <v>4.7116439999999997</v>
      </c>
      <c r="R629" s="79">
        <f>4.711644+0.005*10</f>
        <v>4.7616439999999995</v>
      </c>
      <c r="S629" s="81"/>
      <c r="T629" s="302" t="s">
        <v>1397</v>
      </c>
      <c r="U629" s="82"/>
      <c r="V629" s="770"/>
      <c r="W629" s="770"/>
      <c r="X629" s="773"/>
      <c r="Y629" s="773"/>
      <c r="Z629" s="84" t="s">
        <v>1386</v>
      </c>
      <c r="AA629" s="98"/>
    </row>
    <row r="630" spans="1:27" ht="36" hidden="1" customHeight="1">
      <c r="A630" s="475"/>
      <c r="B630" s="790"/>
      <c r="C630" s="791"/>
      <c r="D630" s="793"/>
      <c r="E630" s="793"/>
      <c r="F630" s="791"/>
      <c r="G630" s="788"/>
      <c r="H630" s="788"/>
      <c r="I630" s="791"/>
      <c r="J630" s="788"/>
      <c r="K630" s="789"/>
      <c r="L630" s="789"/>
      <c r="M630" s="788"/>
      <c r="N630" s="83" t="s">
        <v>1405</v>
      </c>
      <c r="O630" s="83" t="s">
        <v>1406</v>
      </c>
      <c r="P630" s="76" t="s">
        <v>27</v>
      </c>
      <c r="Q630" s="79" t="s">
        <v>1407</v>
      </c>
      <c r="R630" s="79"/>
      <c r="S630" s="81"/>
      <c r="T630" s="302" t="s">
        <v>1397</v>
      </c>
      <c r="U630" s="82"/>
      <c r="V630" s="770"/>
      <c r="W630" s="770"/>
      <c r="X630" s="773"/>
      <c r="Y630" s="773"/>
      <c r="Z630" s="84" t="s">
        <v>1386</v>
      </c>
      <c r="AA630" s="98"/>
    </row>
    <row r="631" spans="1:27" ht="36">
      <c r="A631" s="475"/>
      <c r="B631" s="790"/>
      <c r="C631" s="791"/>
      <c r="D631" s="793"/>
      <c r="E631" s="793"/>
      <c r="F631" s="791"/>
      <c r="G631" s="788"/>
      <c r="H631" s="788"/>
      <c r="I631" s="791"/>
      <c r="J631" s="788"/>
      <c r="K631" s="789"/>
      <c r="L631" s="789"/>
      <c r="M631" s="788"/>
      <c r="N631" s="83" t="s">
        <v>1408</v>
      </c>
      <c r="O631" s="83" t="s">
        <v>1409</v>
      </c>
      <c r="P631" s="76" t="s">
        <v>36</v>
      </c>
      <c r="Q631" s="79">
        <v>20</v>
      </c>
      <c r="R631" s="79">
        <v>20</v>
      </c>
      <c r="S631" s="81"/>
      <c r="T631" s="302" t="s">
        <v>1397</v>
      </c>
      <c r="U631" s="82"/>
      <c r="V631" s="770"/>
      <c r="W631" s="770"/>
      <c r="X631" s="773"/>
      <c r="Y631" s="773"/>
      <c r="Z631" s="84" t="s">
        <v>1386</v>
      </c>
      <c r="AA631" s="98"/>
    </row>
    <row r="632" spans="1:27" ht="36" hidden="1" customHeight="1">
      <c r="A632" s="475"/>
      <c r="B632" s="790"/>
      <c r="C632" s="791"/>
      <c r="D632" s="793"/>
      <c r="E632" s="793"/>
      <c r="F632" s="791"/>
      <c r="G632" s="788"/>
      <c r="H632" s="788"/>
      <c r="I632" s="791"/>
      <c r="J632" s="788"/>
      <c r="K632" s="789"/>
      <c r="L632" s="789"/>
      <c r="M632" s="788"/>
      <c r="N632" s="83" t="s">
        <v>1410</v>
      </c>
      <c r="O632" s="83" t="s">
        <v>1411</v>
      </c>
      <c r="P632" s="76" t="s">
        <v>27</v>
      </c>
      <c r="Q632" s="79" t="s">
        <v>1407</v>
      </c>
      <c r="R632" s="79"/>
      <c r="S632" s="81"/>
      <c r="T632" s="302" t="s">
        <v>1397</v>
      </c>
      <c r="U632" s="82"/>
      <c r="V632" s="770"/>
      <c r="W632" s="770"/>
      <c r="X632" s="773"/>
      <c r="Y632" s="773"/>
      <c r="Z632" s="84" t="s">
        <v>1386</v>
      </c>
      <c r="AA632" s="98"/>
    </row>
    <row r="633" spans="1:27" ht="36" hidden="1" customHeight="1">
      <c r="A633" s="475"/>
      <c r="B633" s="790"/>
      <c r="C633" s="791"/>
      <c r="D633" s="793"/>
      <c r="E633" s="793"/>
      <c r="F633" s="791"/>
      <c r="G633" s="788"/>
      <c r="H633" s="788"/>
      <c r="I633" s="791"/>
      <c r="J633" s="788"/>
      <c r="K633" s="789"/>
      <c r="L633" s="789"/>
      <c r="M633" s="788"/>
      <c r="N633" s="83" t="s">
        <v>347</v>
      </c>
      <c r="O633" s="83" t="s">
        <v>1412</v>
      </c>
      <c r="P633" s="76" t="s">
        <v>27</v>
      </c>
      <c r="Q633" s="79" t="s">
        <v>1407</v>
      </c>
      <c r="R633" s="79"/>
      <c r="S633" s="81"/>
      <c r="T633" s="302" t="s">
        <v>1397</v>
      </c>
      <c r="U633" s="82"/>
      <c r="V633" s="770"/>
      <c r="W633" s="770"/>
      <c r="X633" s="773"/>
      <c r="Y633" s="773"/>
      <c r="Z633" s="84" t="s">
        <v>1386</v>
      </c>
      <c r="AA633" s="98"/>
    </row>
    <row r="634" spans="1:27" ht="36" hidden="1" customHeight="1">
      <c r="A634" s="475"/>
      <c r="B634" s="790"/>
      <c r="C634" s="791"/>
      <c r="D634" s="793"/>
      <c r="E634" s="793"/>
      <c r="F634" s="791"/>
      <c r="G634" s="788"/>
      <c r="H634" s="788"/>
      <c r="I634" s="791"/>
      <c r="J634" s="788"/>
      <c r="K634" s="789"/>
      <c r="L634" s="789"/>
      <c r="M634" s="788"/>
      <c r="N634" s="83" t="s">
        <v>1413</v>
      </c>
      <c r="O634" s="83" t="s">
        <v>1414</v>
      </c>
      <c r="P634" s="76" t="s">
        <v>27</v>
      </c>
      <c r="Q634" s="79" t="s">
        <v>1407</v>
      </c>
      <c r="R634" s="79"/>
      <c r="S634" s="81"/>
      <c r="T634" s="302" t="s">
        <v>1397</v>
      </c>
      <c r="U634" s="82"/>
      <c r="V634" s="770"/>
      <c r="W634" s="770"/>
      <c r="X634" s="773"/>
      <c r="Y634" s="773"/>
      <c r="Z634" s="84" t="s">
        <v>1386</v>
      </c>
      <c r="AA634" s="98"/>
    </row>
    <row r="635" spans="1:27" ht="36" hidden="1" customHeight="1">
      <c r="A635" s="475"/>
      <c r="B635" s="790"/>
      <c r="C635" s="791"/>
      <c r="D635" s="793"/>
      <c r="E635" s="793"/>
      <c r="F635" s="791"/>
      <c r="G635" s="788"/>
      <c r="H635" s="788"/>
      <c r="I635" s="791"/>
      <c r="J635" s="788"/>
      <c r="K635" s="789"/>
      <c r="L635" s="789"/>
      <c r="M635" s="788"/>
      <c r="N635" s="83" t="s">
        <v>1415</v>
      </c>
      <c r="O635" s="83" t="s">
        <v>1416</v>
      </c>
      <c r="P635" s="76" t="s">
        <v>27</v>
      </c>
      <c r="Q635" s="79" t="s">
        <v>1407</v>
      </c>
      <c r="R635" s="79"/>
      <c r="S635" s="81"/>
      <c r="T635" s="302" t="s">
        <v>1397</v>
      </c>
      <c r="U635" s="82"/>
      <c r="V635" s="770"/>
      <c r="W635" s="770"/>
      <c r="X635" s="773"/>
      <c r="Y635" s="773"/>
      <c r="Z635" s="84" t="s">
        <v>1386</v>
      </c>
      <c r="AA635" s="98"/>
    </row>
    <row r="636" spans="1:27" ht="36">
      <c r="A636" s="475"/>
      <c r="B636" s="790"/>
      <c r="C636" s="791"/>
      <c r="D636" s="793"/>
      <c r="E636" s="793"/>
      <c r="F636" s="791"/>
      <c r="G636" s="788"/>
      <c r="H636" s="788"/>
      <c r="I636" s="791"/>
      <c r="J636" s="788"/>
      <c r="K636" s="789"/>
      <c r="L636" s="789"/>
      <c r="M636" s="788"/>
      <c r="N636" s="83" t="s">
        <v>1417</v>
      </c>
      <c r="O636" s="83" t="s">
        <v>1418</v>
      </c>
      <c r="P636" s="76" t="s">
        <v>36</v>
      </c>
      <c r="Q636" s="79">
        <v>12.96825024</v>
      </c>
      <c r="R636" s="79">
        <v>12.96825024</v>
      </c>
      <c r="S636" s="81"/>
      <c r="T636" s="302" t="s">
        <v>1419</v>
      </c>
      <c r="U636" s="82"/>
      <c r="V636" s="770"/>
      <c r="W636" s="770"/>
      <c r="X636" s="773"/>
      <c r="Y636" s="773"/>
      <c r="Z636" s="84" t="s">
        <v>1386</v>
      </c>
      <c r="AA636" s="98"/>
    </row>
    <row r="637" spans="1:27" ht="36">
      <c r="A637" s="475"/>
      <c r="B637" s="790"/>
      <c r="C637" s="791"/>
      <c r="D637" s="793"/>
      <c r="E637" s="793"/>
      <c r="F637" s="791"/>
      <c r="G637" s="788"/>
      <c r="H637" s="788"/>
      <c r="I637" s="791"/>
      <c r="J637" s="788"/>
      <c r="K637" s="789"/>
      <c r="L637" s="789"/>
      <c r="M637" s="788"/>
      <c r="N637" s="83" t="s">
        <v>1420</v>
      </c>
      <c r="O637" s="83" t="s">
        <v>1421</v>
      </c>
      <c r="P637" s="76" t="s">
        <v>36</v>
      </c>
      <c r="Q637" s="79" t="s">
        <v>1407</v>
      </c>
      <c r="R637" s="79"/>
      <c r="S637" s="81"/>
      <c r="T637" s="302" t="s">
        <v>1397</v>
      </c>
      <c r="U637" s="82"/>
      <c r="V637" s="770"/>
      <c r="W637" s="770"/>
      <c r="X637" s="773"/>
      <c r="Y637" s="773"/>
      <c r="Z637" s="84" t="s">
        <v>1386</v>
      </c>
      <c r="AA637" s="98"/>
    </row>
    <row r="638" spans="1:27" ht="36">
      <c r="A638" s="475"/>
      <c r="B638" s="790"/>
      <c r="C638" s="791"/>
      <c r="D638" s="794"/>
      <c r="E638" s="794"/>
      <c r="F638" s="791"/>
      <c r="G638" s="788"/>
      <c r="H638" s="788"/>
      <c r="I638" s="791"/>
      <c r="J638" s="788"/>
      <c r="K638" s="789"/>
      <c r="L638" s="789"/>
      <c r="M638" s="788"/>
      <c r="N638" s="83" t="s">
        <v>1422</v>
      </c>
      <c r="O638" s="83" t="s">
        <v>1423</v>
      </c>
      <c r="P638" s="76" t="s">
        <v>36</v>
      </c>
      <c r="Q638" s="79" t="s">
        <v>1407</v>
      </c>
      <c r="R638" s="79"/>
      <c r="S638" s="81"/>
      <c r="T638" s="302" t="s">
        <v>1397</v>
      </c>
      <c r="U638" s="82"/>
      <c r="V638" s="771"/>
      <c r="W638" s="771"/>
      <c r="X638" s="774"/>
      <c r="Y638" s="774"/>
      <c r="Z638" s="84" t="s">
        <v>1386</v>
      </c>
      <c r="AA638" s="98"/>
    </row>
    <row r="639" spans="1:27" ht="24">
      <c r="A639" s="475"/>
      <c r="B639" s="775">
        <v>4</v>
      </c>
      <c r="C639" s="783" t="s">
        <v>1424</v>
      </c>
      <c r="D639" s="784">
        <v>59823.360000000001</v>
      </c>
      <c r="E639" s="784" t="s">
        <v>2251</v>
      </c>
      <c r="F639" s="783" t="s">
        <v>1425</v>
      </c>
      <c r="G639" s="787">
        <f>1601.395946/8</f>
        <v>200.17449325000001</v>
      </c>
      <c r="H639" s="787"/>
      <c r="I639" s="783" t="s">
        <v>1426</v>
      </c>
      <c r="J639" s="787">
        <f>7454774/10000/8</f>
        <v>93.184674999999999</v>
      </c>
      <c r="K639" s="798" t="s">
        <v>663</v>
      </c>
      <c r="L639" s="798" t="s">
        <v>663</v>
      </c>
      <c r="M639" s="787">
        <f>G639+J639</f>
        <v>293.35916825000004</v>
      </c>
      <c r="N639" s="83" t="s">
        <v>1427</v>
      </c>
      <c r="O639" s="353" t="s">
        <v>1428</v>
      </c>
      <c r="P639" s="76" t="s">
        <v>36</v>
      </c>
      <c r="Q639" s="79">
        <v>20</v>
      </c>
      <c r="R639" s="79">
        <v>20</v>
      </c>
      <c r="S639" s="354" t="s">
        <v>1429</v>
      </c>
      <c r="T639" s="302" t="s">
        <v>1429</v>
      </c>
      <c r="U639" s="82"/>
      <c r="V639" s="769">
        <f>SUM(Q639:Q649)</f>
        <v>202</v>
      </c>
      <c r="W639" s="769">
        <f>SUM(T639:T649)</f>
        <v>2.1170999999999998</v>
      </c>
      <c r="X639" s="772">
        <f>W639/V639</f>
        <v>1.0480693069306929E-2</v>
      </c>
      <c r="Y639" s="772">
        <f>W639/M639</f>
        <v>7.2167507585643676E-3</v>
      </c>
      <c r="Z639" s="336" t="s">
        <v>894</v>
      </c>
      <c r="AA639" s="98"/>
    </row>
    <row r="640" spans="1:27" ht="24">
      <c r="A640" s="475"/>
      <c r="B640" s="775"/>
      <c r="C640" s="783"/>
      <c r="D640" s="785"/>
      <c r="E640" s="785"/>
      <c r="F640" s="783"/>
      <c r="G640" s="787"/>
      <c r="H640" s="787"/>
      <c r="I640" s="783"/>
      <c r="J640" s="787"/>
      <c r="K640" s="798"/>
      <c r="L640" s="798"/>
      <c r="M640" s="787"/>
      <c r="N640" s="83" t="s">
        <v>1430</v>
      </c>
      <c r="O640" s="353" t="s">
        <v>1428</v>
      </c>
      <c r="P640" s="76" t="s">
        <v>36</v>
      </c>
      <c r="Q640" s="79">
        <v>20</v>
      </c>
      <c r="R640" s="79">
        <v>20</v>
      </c>
      <c r="S640" s="354" t="s">
        <v>1429</v>
      </c>
      <c r="T640" s="302" t="s">
        <v>1429</v>
      </c>
      <c r="U640" s="82"/>
      <c r="V640" s="770"/>
      <c r="W640" s="770"/>
      <c r="X640" s="773"/>
      <c r="Y640" s="773"/>
      <c r="Z640" s="336" t="s">
        <v>894</v>
      </c>
      <c r="AA640" s="98"/>
    </row>
    <row r="641" spans="1:27" ht="24">
      <c r="A641" s="475"/>
      <c r="B641" s="775"/>
      <c r="C641" s="783"/>
      <c r="D641" s="785"/>
      <c r="E641" s="785"/>
      <c r="F641" s="783"/>
      <c r="G641" s="787"/>
      <c r="H641" s="787"/>
      <c r="I641" s="783"/>
      <c r="J641" s="787"/>
      <c r="K641" s="798"/>
      <c r="L641" s="798"/>
      <c r="M641" s="787"/>
      <c r="N641" s="83" t="s">
        <v>1431</v>
      </c>
      <c r="O641" s="353" t="s">
        <v>1432</v>
      </c>
      <c r="P641" s="76" t="s">
        <v>36</v>
      </c>
      <c r="Q641" s="79">
        <v>20</v>
      </c>
      <c r="R641" s="79">
        <v>20</v>
      </c>
      <c r="S641" s="80" t="s">
        <v>1433</v>
      </c>
      <c r="T641" s="301">
        <v>1.744</v>
      </c>
      <c r="U641" s="82">
        <f>T641/Q641</f>
        <v>8.72E-2</v>
      </c>
      <c r="V641" s="770"/>
      <c r="W641" s="770"/>
      <c r="X641" s="773"/>
      <c r="Y641" s="773"/>
      <c r="Z641" s="336" t="s">
        <v>894</v>
      </c>
      <c r="AA641" s="98"/>
    </row>
    <row r="642" spans="1:27" ht="24">
      <c r="A642" s="475"/>
      <c r="B642" s="775"/>
      <c r="C642" s="783"/>
      <c r="D642" s="785"/>
      <c r="E642" s="785"/>
      <c r="F642" s="783"/>
      <c r="G642" s="787"/>
      <c r="H642" s="787"/>
      <c r="I642" s="783"/>
      <c r="J642" s="787"/>
      <c r="K642" s="798"/>
      <c r="L642" s="798"/>
      <c r="M642" s="787"/>
      <c r="N642" s="83" t="s">
        <v>1434</v>
      </c>
      <c r="O642" s="353" t="s">
        <v>1435</v>
      </c>
      <c r="P642" s="76" t="s">
        <v>36</v>
      </c>
      <c r="Q642" s="79">
        <v>2</v>
      </c>
      <c r="R642" s="79">
        <v>2</v>
      </c>
      <c r="S642" s="80" t="s">
        <v>1433</v>
      </c>
      <c r="T642" s="301">
        <v>0.37309999999999999</v>
      </c>
      <c r="U642" s="82">
        <f>T642/Q642</f>
        <v>0.18654999999999999</v>
      </c>
      <c r="V642" s="770"/>
      <c r="W642" s="770"/>
      <c r="X642" s="773"/>
      <c r="Y642" s="773"/>
      <c r="Z642" s="336" t="s">
        <v>894</v>
      </c>
      <c r="AA642" s="98"/>
    </row>
    <row r="643" spans="1:27" ht="24">
      <c r="A643" s="475"/>
      <c r="B643" s="775"/>
      <c r="C643" s="783"/>
      <c r="D643" s="785"/>
      <c r="E643" s="785"/>
      <c r="F643" s="783"/>
      <c r="G643" s="787"/>
      <c r="H643" s="787"/>
      <c r="I643" s="783"/>
      <c r="J643" s="787"/>
      <c r="K643" s="798"/>
      <c r="L643" s="798"/>
      <c r="M643" s="787"/>
      <c r="N643" s="83" t="s">
        <v>1436</v>
      </c>
      <c r="O643" s="353" t="s">
        <v>1437</v>
      </c>
      <c r="P643" s="76" t="s">
        <v>36</v>
      </c>
      <c r="Q643" s="79">
        <v>20</v>
      </c>
      <c r="R643" s="79">
        <v>20</v>
      </c>
      <c r="S643" s="354" t="s">
        <v>1429</v>
      </c>
      <c r="T643" s="302" t="s">
        <v>1438</v>
      </c>
      <c r="U643" s="82"/>
      <c r="V643" s="770"/>
      <c r="W643" s="770"/>
      <c r="X643" s="773"/>
      <c r="Y643" s="773"/>
      <c r="Z643" s="336" t="s">
        <v>894</v>
      </c>
      <c r="AA643" s="98"/>
    </row>
    <row r="644" spans="1:27" ht="36">
      <c r="A644" s="475"/>
      <c r="B644" s="775"/>
      <c r="C644" s="783"/>
      <c r="D644" s="785"/>
      <c r="E644" s="785"/>
      <c r="F644" s="783"/>
      <c r="G644" s="787"/>
      <c r="H644" s="787"/>
      <c r="I644" s="783"/>
      <c r="J644" s="787"/>
      <c r="K644" s="798"/>
      <c r="L644" s="798"/>
      <c r="M644" s="787"/>
      <c r="N644" s="83" t="s">
        <v>1439</v>
      </c>
      <c r="O644" s="353" t="s">
        <v>1440</v>
      </c>
      <c r="P644" s="76" t="s">
        <v>36</v>
      </c>
      <c r="Q644" s="79">
        <v>20</v>
      </c>
      <c r="R644" s="79">
        <v>20</v>
      </c>
      <c r="S644" s="354" t="s">
        <v>1429</v>
      </c>
      <c r="T644" s="302" t="s">
        <v>1429</v>
      </c>
      <c r="U644" s="82"/>
      <c r="V644" s="770"/>
      <c r="W644" s="770"/>
      <c r="X644" s="773"/>
      <c r="Y644" s="773"/>
      <c r="Z644" s="336" t="s">
        <v>894</v>
      </c>
      <c r="AA644" s="98"/>
    </row>
    <row r="645" spans="1:27" ht="24">
      <c r="A645" s="475"/>
      <c r="B645" s="775"/>
      <c r="C645" s="783"/>
      <c r="D645" s="785"/>
      <c r="E645" s="785"/>
      <c r="F645" s="783"/>
      <c r="G645" s="787"/>
      <c r="H645" s="787"/>
      <c r="I645" s="783"/>
      <c r="J645" s="787"/>
      <c r="K645" s="798"/>
      <c r="L645" s="798"/>
      <c r="M645" s="787"/>
      <c r="N645" s="83" t="s">
        <v>1441</v>
      </c>
      <c r="O645" s="353" t="s">
        <v>1442</v>
      </c>
      <c r="P645" s="76" t="s">
        <v>36</v>
      </c>
      <c r="Q645" s="79">
        <v>30</v>
      </c>
      <c r="R645" s="79">
        <v>30</v>
      </c>
      <c r="S645" s="354" t="s">
        <v>1429</v>
      </c>
      <c r="T645" s="302" t="s">
        <v>1429</v>
      </c>
      <c r="U645" s="82"/>
      <c r="V645" s="770"/>
      <c r="W645" s="770"/>
      <c r="X645" s="773"/>
      <c r="Y645" s="773"/>
      <c r="Z645" s="336" t="s">
        <v>894</v>
      </c>
      <c r="AA645" s="98"/>
    </row>
    <row r="646" spans="1:27" ht="24">
      <c r="A646" s="475"/>
      <c r="B646" s="775"/>
      <c r="C646" s="783"/>
      <c r="D646" s="785"/>
      <c r="E646" s="785"/>
      <c r="F646" s="783"/>
      <c r="G646" s="787"/>
      <c r="H646" s="787"/>
      <c r="I646" s="783"/>
      <c r="J646" s="787"/>
      <c r="K646" s="798"/>
      <c r="L646" s="798"/>
      <c r="M646" s="787"/>
      <c r="N646" s="83" t="s">
        <v>1443</v>
      </c>
      <c r="O646" s="353" t="s">
        <v>1444</v>
      </c>
      <c r="P646" s="76" t="s">
        <v>36</v>
      </c>
      <c r="Q646" s="79">
        <v>30</v>
      </c>
      <c r="R646" s="79">
        <v>30</v>
      </c>
      <c r="S646" s="354" t="s">
        <v>1429</v>
      </c>
      <c r="T646" s="302" t="s">
        <v>1429</v>
      </c>
      <c r="U646" s="82"/>
      <c r="V646" s="770"/>
      <c r="W646" s="770"/>
      <c r="X646" s="773"/>
      <c r="Y646" s="773"/>
      <c r="Z646" s="336" t="s">
        <v>894</v>
      </c>
      <c r="AA646" s="98"/>
    </row>
    <row r="647" spans="1:27" ht="36">
      <c r="A647" s="475"/>
      <c r="B647" s="775"/>
      <c r="C647" s="783"/>
      <c r="D647" s="785"/>
      <c r="E647" s="785"/>
      <c r="F647" s="783"/>
      <c r="G647" s="787"/>
      <c r="H647" s="787"/>
      <c r="I647" s="783"/>
      <c r="J647" s="787"/>
      <c r="K647" s="798"/>
      <c r="L647" s="798"/>
      <c r="M647" s="787"/>
      <c r="N647" s="83" t="s">
        <v>1445</v>
      </c>
      <c r="O647" s="353" t="s">
        <v>1446</v>
      </c>
      <c r="P647" s="76" t="s">
        <v>36</v>
      </c>
      <c r="Q647" s="79">
        <v>10</v>
      </c>
      <c r="R647" s="79">
        <v>10</v>
      </c>
      <c r="S647" s="354" t="s">
        <v>1429</v>
      </c>
      <c r="T647" s="302" t="s">
        <v>1429</v>
      </c>
      <c r="U647" s="82"/>
      <c r="V647" s="770"/>
      <c r="W647" s="770"/>
      <c r="X647" s="773"/>
      <c r="Y647" s="773"/>
      <c r="Z647" s="336" t="s">
        <v>894</v>
      </c>
      <c r="AA647" s="98"/>
    </row>
    <row r="648" spans="1:27" ht="24">
      <c r="A648" s="475"/>
      <c r="B648" s="775"/>
      <c r="C648" s="783"/>
      <c r="D648" s="785"/>
      <c r="E648" s="785"/>
      <c r="F648" s="783"/>
      <c r="G648" s="787"/>
      <c r="H648" s="787"/>
      <c r="I648" s="783"/>
      <c r="J648" s="787"/>
      <c r="K648" s="798"/>
      <c r="L648" s="798"/>
      <c r="M648" s="787"/>
      <c r="N648" s="83" t="s">
        <v>1447</v>
      </c>
      <c r="O648" s="353" t="s">
        <v>1448</v>
      </c>
      <c r="P648" s="76" t="s">
        <v>36</v>
      </c>
      <c r="Q648" s="79">
        <v>20</v>
      </c>
      <c r="R648" s="79">
        <v>20</v>
      </c>
      <c r="S648" s="354" t="s">
        <v>1429</v>
      </c>
      <c r="T648" s="302" t="s">
        <v>1429</v>
      </c>
      <c r="U648" s="82"/>
      <c r="V648" s="770"/>
      <c r="W648" s="770"/>
      <c r="X648" s="773"/>
      <c r="Y648" s="773"/>
      <c r="Z648" s="336" t="s">
        <v>894</v>
      </c>
      <c r="AA648" s="98"/>
    </row>
    <row r="649" spans="1:27" ht="36">
      <c r="A649" s="475"/>
      <c r="B649" s="775"/>
      <c r="C649" s="783"/>
      <c r="D649" s="786"/>
      <c r="E649" s="786"/>
      <c r="F649" s="783"/>
      <c r="G649" s="787"/>
      <c r="H649" s="787"/>
      <c r="I649" s="783"/>
      <c r="J649" s="787"/>
      <c r="K649" s="798"/>
      <c r="L649" s="798"/>
      <c r="M649" s="787"/>
      <c r="N649" s="83" t="s">
        <v>1449</v>
      </c>
      <c r="O649" s="353" t="s">
        <v>1450</v>
      </c>
      <c r="P649" s="76" t="s">
        <v>36</v>
      </c>
      <c r="Q649" s="79">
        <v>10</v>
      </c>
      <c r="R649" s="79">
        <v>10</v>
      </c>
      <c r="S649" s="354" t="s">
        <v>1429</v>
      </c>
      <c r="T649" s="302" t="s">
        <v>1429</v>
      </c>
      <c r="U649" s="82"/>
      <c r="V649" s="771"/>
      <c r="W649" s="771"/>
      <c r="X649" s="774"/>
      <c r="Y649" s="774"/>
      <c r="Z649" s="336" t="s">
        <v>894</v>
      </c>
      <c r="AA649" s="98"/>
    </row>
    <row r="650" spans="1:27" ht="48">
      <c r="A650" s="475"/>
      <c r="B650" s="757">
        <v>5</v>
      </c>
      <c r="C650" s="783" t="s">
        <v>1451</v>
      </c>
      <c r="D650" s="784">
        <v>54099.88</v>
      </c>
      <c r="E650" s="784" t="s">
        <v>2252</v>
      </c>
      <c r="F650" s="783" t="s">
        <v>376</v>
      </c>
      <c r="G650" s="787">
        <v>108.94</v>
      </c>
      <c r="H650" s="787">
        <v>7.11</v>
      </c>
      <c r="I650" s="783" t="s">
        <v>1452</v>
      </c>
      <c r="J650" s="787">
        <v>47.71</v>
      </c>
      <c r="K650" s="798" t="s">
        <v>663</v>
      </c>
      <c r="L650" s="798" t="s">
        <v>663</v>
      </c>
      <c r="M650" s="787">
        <f>G650+H650+J650</f>
        <v>163.76</v>
      </c>
      <c r="N650" s="83" t="s">
        <v>1453</v>
      </c>
      <c r="O650" s="353" t="s">
        <v>1454</v>
      </c>
      <c r="P650" s="76" t="s">
        <v>36</v>
      </c>
      <c r="Q650" s="79">
        <v>457.55860000000001</v>
      </c>
      <c r="R650" s="79">
        <v>2083.6502</v>
      </c>
      <c r="S650" s="80">
        <v>2014.12</v>
      </c>
      <c r="T650" s="301">
        <v>600.72170000000006</v>
      </c>
      <c r="U650" s="82">
        <f>T650/Q650</f>
        <v>1.3128847321414132</v>
      </c>
      <c r="V650" s="769">
        <f>SUM(Q650:Q651)</f>
        <v>480.3707</v>
      </c>
      <c r="W650" s="769">
        <f>SUM(T650:T651)</f>
        <v>626.68112600000006</v>
      </c>
      <c r="X650" s="772">
        <f>W650/V650</f>
        <v>1.3045781643218457</v>
      </c>
      <c r="Y650" s="772">
        <f>W650/M650</f>
        <v>3.8268266121152914</v>
      </c>
      <c r="Z650" s="797" t="s">
        <v>548</v>
      </c>
      <c r="AA650" s="98"/>
    </row>
    <row r="651" spans="1:27" ht="24">
      <c r="A651" s="475"/>
      <c r="B651" s="757"/>
      <c r="C651" s="783"/>
      <c r="D651" s="786"/>
      <c r="E651" s="786"/>
      <c r="F651" s="783"/>
      <c r="G651" s="787"/>
      <c r="H651" s="787"/>
      <c r="I651" s="783"/>
      <c r="J651" s="787"/>
      <c r="K651" s="798"/>
      <c r="L651" s="798"/>
      <c r="M651" s="787"/>
      <c r="N651" s="83" t="s">
        <v>1455</v>
      </c>
      <c r="O651" s="353" t="s">
        <v>1456</v>
      </c>
      <c r="P651" s="76" t="s">
        <v>36</v>
      </c>
      <c r="Q651" s="79">
        <v>22.812100000000001</v>
      </c>
      <c r="R651" s="79">
        <v>40.8568</v>
      </c>
      <c r="S651" s="80">
        <v>2014.4</v>
      </c>
      <c r="T651" s="301">
        <v>25.959426000000001</v>
      </c>
      <c r="U651" s="82">
        <f>T651/Q651</f>
        <v>1.1379673944967803</v>
      </c>
      <c r="V651" s="771"/>
      <c r="W651" s="771"/>
      <c r="X651" s="774"/>
      <c r="Y651" s="774"/>
      <c r="Z651" s="797"/>
      <c r="AA651" s="98"/>
    </row>
    <row r="652" spans="1:27" ht="48" hidden="1" customHeight="1">
      <c r="A652" s="475"/>
      <c r="B652" s="352">
        <v>6</v>
      </c>
      <c r="C652" s="83" t="s">
        <v>1457</v>
      </c>
      <c r="D652" s="423">
        <v>55869.23</v>
      </c>
      <c r="E652" s="423" t="s">
        <v>2253</v>
      </c>
      <c r="F652" s="83" t="s">
        <v>1458</v>
      </c>
      <c r="G652" s="358">
        <f>1249200/10000</f>
        <v>124.92</v>
      </c>
      <c r="H652" s="358">
        <f>36000/10000</f>
        <v>3.6</v>
      </c>
      <c r="I652" s="83" t="s">
        <v>1459</v>
      </c>
      <c r="J652" s="358">
        <f>183766.16/10000</f>
        <v>18.376616000000002</v>
      </c>
      <c r="K652" s="357" t="s">
        <v>663</v>
      </c>
      <c r="L652" s="357" t="s">
        <v>663</v>
      </c>
      <c r="M652" s="358">
        <f>SUM(G652,H652,J652,L652)</f>
        <v>146.89661600000002</v>
      </c>
      <c r="N652" s="80" t="s">
        <v>1460</v>
      </c>
      <c r="O652" s="80" t="s">
        <v>1108</v>
      </c>
      <c r="P652" s="80" t="s">
        <v>1108</v>
      </c>
      <c r="Q652" s="79" t="s">
        <v>1108</v>
      </c>
      <c r="R652" s="79" t="s">
        <v>1108</v>
      </c>
      <c r="S652" s="80" t="s">
        <v>1108</v>
      </c>
      <c r="T652" s="357" t="s">
        <v>1108</v>
      </c>
      <c r="U652" s="82"/>
      <c r="V652" s="85"/>
      <c r="W652" s="85"/>
      <c r="X652" s="85"/>
      <c r="Y652" s="85"/>
      <c r="Z652" s="356" t="s">
        <v>32</v>
      </c>
      <c r="AA652" s="98"/>
    </row>
    <row r="653" spans="1:27" ht="48" hidden="1" customHeight="1">
      <c r="A653" s="475"/>
      <c r="B653" s="352">
        <v>7</v>
      </c>
      <c r="C653" s="83" t="s">
        <v>1461</v>
      </c>
      <c r="D653" s="423">
        <v>44913.3</v>
      </c>
      <c r="E653" s="423" t="s">
        <v>2254</v>
      </c>
      <c r="F653" s="83" t="s">
        <v>1462</v>
      </c>
      <c r="G653" s="358">
        <f>891.716/4</f>
        <v>222.929</v>
      </c>
      <c r="H653" s="358">
        <v>19.2</v>
      </c>
      <c r="I653" s="83" t="s">
        <v>1426</v>
      </c>
      <c r="J653" s="358">
        <f>146.706/4</f>
        <v>36.676499999999997</v>
      </c>
      <c r="K653" s="357" t="s">
        <v>663</v>
      </c>
      <c r="L653" s="357" t="s">
        <v>663</v>
      </c>
      <c r="M653" s="358">
        <f t="shared" ref="M653:M654" si="56">SUM(G653,H653,J653,L653)</f>
        <v>278.80549999999999</v>
      </c>
      <c r="N653" s="80" t="s">
        <v>1460</v>
      </c>
      <c r="O653" s="80" t="s">
        <v>1108</v>
      </c>
      <c r="P653" s="80" t="s">
        <v>1108</v>
      </c>
      <c r="Q653" s="79" t="s">
        <v>1108</v>
      </c>
      <c r="R653" s="79" t="s">
        <v>1108</v>
      </c>
      <c r="S653" s="80" t="s">
        <v>1108</v>
      </c>
      <c r="T653" s="357" t="s">
        <v>1108</v>
      </c>
      <c r="U653" s="82"/>
      <c r="V653" s="85"/>
      <c r="W653" s="85"/>
      <c r="X653" s="85"/>
      <c r="Y653" s="85"/>
      <c r="Z653" s="84" t="s">
        <v>894</v>
      </c>
      <c r="AA653" s="98"/>
    </row>
    <row r="654" spans="1:27" ht="36" hidden="1" customHeight="1">
      <c r="A654" s="475"/>
      <c r="B654" s="352">
        <v>8</v>
      </c>
      <c r="C654" s="83" t="s">
        <v>1463</v>
      </c>
      <c r="D654" s="423">
        <v>54917.46</v>
      </c>
      <c r="E654" s="423" t="s">
        <v>2255</v>
      </c>
      <c r="F654" s="83" t="s">
        <v>1464</v>
      </c>
      <c r="G654" s="358">
        <v>158.13980000000001</v>
      </c>
      <c r="H654" s="358">
        <v>0.35</v>
      </c>
      <c r="I654" s="83" t="s">
        <v>1464</v>
      </c>
      <c r="J654" s="358">
        <v>57.155799999999999</v>
      </c>
      <c r="K654" s="357" t="s">
        <v>663</v>
      </c>
      <c r="L654" s="357" t="s">
        <v>663</v>
      </c>
      <c r="M654" s="358">
        <f t="shared" si="56"/>
        <v>215.6456</v>
      </c>
      <c r="N654" s="80" t="s">
        <v>1460</v>
      </c>
      <c r="O654" s="80" t="s">
        <v>1108</v>
      </c>
      <c r="P654" s="80" t="s">
        <v>1108</v>
      </c>
      <c r="Q654" s="79" t="s">
        <v>1108</v>
      </c>
      <c r="R654" s="79" t="s">
        <v>1108</v>
      </c>
      <c r="S654" s="80" t="s">
        <v>1108</v>
      </c>
      <c r="T654" s="357" t="s">
        <v>1108</v>
      </c>
      <c r="U654" s="82"/>
      <c r="V654" s="85"/>
      <c r="W654" s="85"/>
      <c r="X654" s="85"/>
      <c r="Y654" s="85"/>
      <c r="Z654" s="84" t="s">
        <v>1021</v>
      </c>
      <c r="AA654" s="98"/>
    </row>
    <row r="655" spans="1:27">
      <c r="A655" s="475"/>
      <c r="B655" s="757">
        <v>9</v>
      </c>
      <c r="C655" s="758" t="s">
        <v>1465</v>
      </c>
      <c r="D655" s="759">
        <v>62516.47</v>
      </c>
      <c r="E655" s="759" t="s">
        <v>2256</v>
      </c>
      <c r="F655" s="758" t="s">
        <v>1466</v>
      </c>
      <c r="G655" s="762">
        <v>142.9599</v>
      </c>
      <c r="H655" s="762"/>
      <c r="I655" s="758" t="s">
        <v>1467</v>
      </c>
      <c r="J655" s="762">
        <v>29.2666</v>
      </c>
      <c r="K655" s="798" t="s">
        <v>663</v>
      </c>
      <c r="L655" s="798" t="s">
        <v>663</v>
      </c>
      <c r="M655" s="787">
        <f>SUM(G655,H655,J655,L655)</f>
        <v>172.22650000000002</v>
      </c>
      <c r="N655" s="83" t="s">
        <v>1468</v>
      </c>
      <c r="O655" s="353" t="s">
        <v>1469</v>
      </c>
      <c r="P655" s="76" t="s">
        <v>36</v>
      </c>
      <c r="Q655" s="79">
        <v>28</v>
      </c>
      <c r="R655" s="79">
        <v>28</v>
      </c>
      <c r="S655" s="354" t="s">
        <v>1470</v>
      </c>
      <c r="T655" s="302">
        <v>23.428000000000001</v>
      </c>
      <c r="U655" s="82">
        <f>T655/Q655</f>
        <v>0.83671428571428574</v>
      </c>
      <c r="V655" s="769">
        <f>SUM(Q655:Q660)</f>
        <v>103</v>
      </c>
      <c r="W655" s="769">
        <f>SUM(T655:T660)</f>
        <v>23.428000000000001</v>
      </c>
      <c r="X655" s="769">
        <f>W655/V655</f>
        <v>0.22745631067961167</v>
      </c>
      <c r="Y655" s="769">
        <f>W655/M655</f>
        <v>0.13603016957320738</v>
      </c>
      <c r="Z655" s="356" t="s">
        <v>894</v>
      </c>
      <c r="AA655" s="98"/>
    </row>
    <row r="656" spans="1:27" ht="24">
      <c r="A656" s="475"/>
      <c r="B656" s="757"/>
      <c r="C656" s="758"/>
      <c r="D656" s="760"/>
      <c r="E656" s="760"/>
      <c r="F656" s="758"/>
      <c r="G656" s="762"/>
      <c r="H656" s="762"/>
      <c r="I656" s="758"/>
      <c r="J656" s="762"/>
      <c r="K656" s="798"/>
      <c r="L656" s="798"/>
      <c r="M656" s="787"/>
      <c r="N656" s="83" t="s">
        <v>1471</v>
      </c>
      <c r="O656" s="353" t="s">
        <v>1472</v>
      </c>
      <c r="P656" s="76" t="s">
        <v>36</v>
      </c>
      <c r="Q656" s="79">
        <v>20</v>
      </c>
      <c r="R656" s="79">
        <v>20</v>
      </c>
      <c r="S656" s="354" t="s">
        <v>1429</v>
      </c>
      <c r="T656" s="302" t="s">
        <v>1429</v>
      </c>
      <c r="U656" s="86"/>
      <c r="V656" s="770"/>
      <c r="W656" s="770"/>
      <c r="X656" s="770"/>
      <c r="Y656" s="770"/>
      <c r="Z656" s="356" t="s">
        <v>894</v>
      </c>
      <c r="AA656" s="98"/>
    </row>
    <row r="657" spans="1:27" ht="24">
      <c r="A657" s="475"/>
      <c r="B657" s="757"/>
      <c r="C657" s="758"/>
      <c r="D657" s="760"/>
      <c r="E657" s="760"/>
      <c r="F657" s="758"/>
      <c r="G657" s="762"/>
      <c r="H657" s="762"/>
      <c r="I657" s="758"/>
      <c r="J657" s="762"/>
      <c r="K657" s="798"/>
      <c r="L657" s="798"/>
      <c r="M657" s="787"/>
      <c r="N657" s="83" t="s">
        <v>373</v>
      </c>
      <c r="O657" s="353" t="s">
        <v>1473</v>
      </c>
      <c r="P657" s="76" t="s">
        <v>36</v>
      </c>
      <c r="Q657" s="79">
        <v>22</v>
      </c>
      <c r="R657" s="79">
        <v>22</v>
      </c>
      <c r="S657" s="354" t="s">
        <v>1429</v>
      </c>
      <c r="T657" s="302" t="s">
        <v>1429</v>
      </c>
      <c r="U657" s="86"/>
      <c r="V657" s="770"/>
      <c r="W657" s="770"/>
      <c r="X657" s="770"/>
      <c r="Y657" s="770"/>
      <c r="Z657" s="356" t="s">
        <v>894</v>
      </c>
      <c r="AA657" s="98"/>
    </row>
    <row r="658" spans="1:27" ht="24">
      <c r="A658" s="475"/>
      <c r="B658" s="757"/>
      <c r="C658" s="758"/>
      <c r="D658" s="760"/>
      <c r="E658" s="760"/>
      <c r="F658" s="758"/>
      <c r="G658" s="762"/>
      <c r="H658" s="762"/>
      <c r="I658" s="758"/>
      <c r="J658" s="762"/>
      <c r="K658" s="798"/>
      <c r="L658" s="798"/>
      <c r="M658" s="787"/>
      <c r="N658" s="83" t="s">
        <v>382</v>
      </c>
      <c r="O658" s="353" t="s">
        <v>1474</v>
      </c>
      <c r="P658" s="76" t="s">
        <v>36</v>
      </c>
      <c r="Q658" s="79">
        <v>16</v>
      </c>
      <c r="R658" s="79">
        <v>16</v>
      </c>
      <c r="S658" s="354" t="s">
        <v>1429</v>
      </c>
      <c r="T658" s="302" t="s">
        <v>1429</v>
      </c>
      <c r="U658" s="86"/>
      <c r="V658" s="770"/>
      <c r="W658" s="770"/>
      <c r="X658" s="770"/>
      <c r="Y658" s="770"/>
      <c r="Z658" s="356" t="s">
        <v>894</v>
      </c>
      <c r="AA658" s="98"/>
    </row>
    <row r="659" spans="1:27" ht="24">
      <c r="A659" s="475"/>
      <c r="B659" s="757"/>
      <c r="C659" s="758"/>
      <c r="D659" s="760"/>
      <c r="E659" s="760"/>
      <c r="F659" s="758"/>
      <c r="G659" s="762"/>
      <c r="H659" s="762"/>
      <c r="I659" s="758"/>
      <c r="J659" s="762"/>
      <c r="K659" s="798"/>
      <c r="L659" s="798"/>
      <c r="M659" s="787"/>
      <c r="N659" s="83" t="s">
        <v>1475</v>
      </c>
      <c r="O659" s="353" t="s">
        <v>1476</v>
      </c>
      <c r="P659" s="76" t="s">
        <v>36</v>
      </c>
      <c r="Q659" s="79">
        <v>2</v>
      </c>
      <c r="R659" s="79">
        <v>2</v>
      </c>
      <c r="S659" s="354" t="s">
        <v>1429</v>
      </c>
      <c r="T659" s="302" t="s">
        <v>1429</v>
      </c>
      <c r="U659" s="86"/>
      <c r="V659" s="770"/>
      <c r="W659" s="770"/>
      <c r="X659" s="770"/>
      <c r="Y659" s="770"/>
      <c r="Z659" s="356" t="s">
        <v>894</v>
      </c>
      <c r="AA659" s="98"/>
    </row>
    <row r="660" spans="1:27" ht="24">
      <c r="A660" s="475"/>
      <c r="B660" s="757"/>
      <c r="C660" s="758"/>
      <c r="D660" s="761"/>
      <c r="E660" s="761"/>
      <c r="F660" s="758"/>
      <c r="G660" s="762"/>
      <c r="H660" s="762"/>
      <c r="I660" s="758"/>
      <c r="J660" s="762"/>
      <c r="K660" s="798"/>
      <c r="L660" s="798"/>
      <c r="M660" s="787"/>
      <c r="N660" s="83" t="s">
        <v>1477</v>
      </c>
      <c r="O660" s="353" t="s">
        <v>1478</v>
      </c>
      <c r="P660" s="76" t="s">
        <v>36</v>
      </c>
      <c r="Q660" s="79">
        <v>15</v>
      </c>
      <c r="R660" s="79">
        <v>15</v>
      </c>
      <c r="S660" s="354" t="s">
        <v>1429</v>
      </c>
      <c r="T660" s="302" t="s">
        <v>1429</v>
      </c>
      <c r="U660" s="86"/>
      <c r="V660" s="771"/>
      <c r="W660" s="771"/>
      <c r="X660" s="771"/>
      <c r="Y660" s="771"/>
      <c r="Z660" s="356" t="s">
        <v>894</v>
      </c>
      <c r="AA660" s="98"/>
    </row>
    <row r="661" spans="1:27" ht="96">
      <c r="A661" s="475"/>
      <c r="B661" s="757">
        <v>10</v>
      </c>
      <c r="C661" s="799" t="s">
        <v>1479</v>
      </c>
      <c r="D661" s="759">
        <v>56196.57</v>
      </c>
      <c r="E661" s="759" t="s">
        <v>2257</v>
      </c>
      <c r="F661" s="799" t="s">
        <v>1480</v>
      </c>
      <c r="G661" s="781">
        <f>515.55/5</f>
        <v>103.10999999999999</v>
      </c>
      <c r="H661" s="781">
        <v>4.2</v>
      </c>
      <c r="I661" s="799" t="s">
        <v>1480</v>
      </c>
      <c r="J661" s="781">
        <v>29.968399999999999</v>
      </c>
      <c r="K661" s="798" t="s">
        <v>663</v>
      </c>
      <c r="L661" s="798" t="s">
        <v>663</v>
      </c>
      <c r="M661" s="821">
        <f>G661+H661+J661</f>
        <v>137.27839999999998</v>
      </c>
      <c r="N661" s="83" t="s">
        <v>1481</v>
      </c>
      <c r="O661" s="353" t="s">
        <v>1482</v>
      </c>
      <c r="P661" s="76" t="s">
        <v>36</v>
      </c>
      <c r="Q661" s="79">
        <v>15</v>
      </c>
      <c r="R661" s="79">
        <v>72.69</v>
      </c>
      <c r="S661" s="354" t="s">
        <v>1429</v>
      </c>
      <c r="T661" s="302" t="s">
        <v>1429</v>
      </c>
      <c r="U661" s="86"/>
      <c r="V661" s="818">
        <f>SUM(Q661:Q664)</f>
        <v>18.983599999999999</v>
      </c>
      <c r="W661" s="818">
        <f>SUM(T661:T664)</f>
        <v>0</v>
      </c>
      <c r="X661" s="818"/>
      <c r="Y661" s="818"/>
      <c r="Z661" s="336" t="s">
        <v>881</v>
      </c>
      <c r="AA661" s="98"/>
    </row>
    <row r="662" spans="1:27" ht="24" hidden="1" customHeight="1">
      <c r="A662" s="475"/>
      <c r="B662" s="757"/>
      <c r="C662" s="799"/>
      <c r="D662" s="760"/>
      <c r="E662" s="760"/>
      <c r="F662" s="799"/>
      <c r="G662" s="781"/>
      <c r="H662" s="781"/>
      <c r="I662" s="799"/>
      <c r="J662" s="781"/>
      <c r="K662" s="798"/>
      <c r="L662" s="798"/>
      <c r="M662" s="821"/>
      <c r="N662" s="83" t="s">
        <v>1483</v>
      </c>
      <c r="O662" s="353" t="s">
        <v>1484</v>
      </c>
      <c r="P662" s="76" t="s">
        <v>27</v>
      </c>
      <c r="Q662" s="79">
        <v>1.24</v>
      </c>
      <c r="R662" s="79">
        <v>1.24</v>
      </c>
      <c r="S662" s="354" t="s">
        <v>1429</v>
      </c>
      <c r="T662" s="302" t="s">
        <v>1429</v>
      </c>
      <c r="U662" s="86"/>
      <c r="V662" s="819"/>
      <c r="W662" s="819"/>
      <c r="X662" s="819"/>
      <c r="Y662" s="819"/>
      <c r="Z662" s="336" t="s">
        <v>881</v>
      </c>
      <c r="AA662" s="98"/>
    </row>
    <row r="663" spans="1:27" ht="24" hidden="1" customHeight="1">
      <c r="A663" s="475"/>
      <c r="B663" s="757"/>
      <c r="C663" s="799"/>
      <c r="D663" s="760"/>
      <c r="E663" s="760"/>
      <c r="F663" s="799"/>
      <c r="G663" s="781"/>
      <c r="H663" s="781"/>
      <c r="I663" s="799"/>
      <c r="J663" s="781"/>
      <c r="K663" s="798"/>
      <c r="L663" s="798"/>
      <c r="M663" s="821"/>
      <c r="N663" s="83" t="s">
        <v>1485</v>
      </c>
      <c r="O663" s="353" t="s">
        <v>1486</v>
      </c>
      <c r="P663" s="76" t="s">
        <v>27</v>
      </c>
      <c r="Q663" s="79">
        <v>1.6735</v>
      </c>
      <c r="R663" s="79">
        <f>+Q663</f>
        <v>1.6735</v>
      </c>
      <c r="S663" s="354" t="s">
        <v>1429</v>
      </c>
      <c r="T663" s="302" t="s">
        <v>1429</v>
      </c>
      <c r="U663" s="86"/>
      <c r="V663" s="819"/>
      <c r="W663" s="819"/>
      <c r="X663" s="819"/>
      <c r="Y663" s="819"/>
      <c r="Z663" s="336" t="s">
        <v>881</v>
      </c>
      <c r="AA663" s="98"/>
    </row>
    <row r="664" spans="1:27" ht="24" hidden="1" customHeight="1">
      <c r="A664" s="475"/>
      <c r="B664" s="757"/>
      <c r="C664" s="799"/>
      <c r="D664" s="760"/>
      <c r="E664" s="760"/>
      <c r="F664" s="799"/>
      <c r="G664" s="781"/>
      <c r="H664" s="781"/>
      <c r="I664" s="799"/>
      <c r="J664" s="781"/>
      <c r="K664" s="798"/>
      <c r="L664" s="798"/>
      <c r="M664" s="821"/>
      <c r="N664" s="83" t="s">
        <v>1487</v>
      </c>
      <c r="O664" s="353" t="s">
        <v>1488</v>
      </c>
      <c r="P664" s="76" t="s">
        <v>27</v>
      </c>
      <c r="Q664" s="79">
        <v>1.0701000000000001</v>
      </c>
      <c r="R664" s="79">
        <f>+Q664</f>
        <v>1.0701000000000001</v>
      </c>
      <c r="S664" s="354" t="s">
        <v>1429</v>
      </c>
      <c r="T664" s="302" t="s">
        <v>1429</v>
      </c>
      <c r="U664" s="86"/>
      <c r="V664" s="820"/>
      <c r="W664" s="820"/>
      <c r="X664" s="820"/>
      <c r="Y664" s="820"/>
      <c r="Z664" s="336" t="s">
        <v>881</v>
      </c>
      <c r="AA664" s="98"/>
    </row>
    <row r="665" spans="1:27" ht="24">
      <c r="A665" s="475"/>
      <c r="B665" s="757">
        <v>11</v>
      </c>
      <c r="C665" s="758" t="s">
        <v>1489</v>
      </c>
      <c r="D665" s="759" t="s">
        <v>2258</v>
      </c>
      <c r="E665" s="759" t="s">
        <v>2259</v>
      </c>
      <c r="F665" s="758" t="s">
        <v>1490</v>
      </c>
      <c r="G665" s="787">
        <v>131.09870000000001</v>
      </c>
      <c r="H665" s="787"/>
      <c r="I665" s="758" t="s">
        <v>1491</v>
      </c>
      <c r="J665" s="762">
        <v>52.290900000000001</v>
      </c>
      <c r="K665" s="782" t="s">
        <v>663</v>
      </c>
      <c r="L665" s="782" t="s">
        <v>663</v>
      </c>
      <c r="M665" s="762">
        <f>G665+J665</f>
        <v>183.3896</v>
      </c>
      <c r="N665" s="83" t="s">
        <v>1492</v>
      </c>
      <c r="O665" s="353" t="s">
        <v>1493</v>
      </c>
      <c r="P665" s="76" t="s">
        <v>36</v>
      </c>
      <c r="Q665" s="79">
        <v>41.72</v>
      </c>
      <c r="R665" s="79">
        <v>137.62</v>
      </c>
      <c r="S665" s="80" t="s">
        <v>1494</v>
      </c>
      <c r="T665" s="301">
        <v>28.5</v>
      </c>
      <c r="U665" s="82">
        <f>T665/Q665</f>
        <v>0.68312559923298177</v>
      </c>
      <c r="V665" s="769">
        <f>SUM(Q665:Q668)</f>
        <v>143.72</v>
      </c>
      <c r="W665" s="769">
        <f>SUM(T665:T668)</f>
        <v>91.1</v>
      </c>
      <c r="X665" s="772">
        <f>W665/V665</f>
        <v>0.63387141664347335</v>
      </c>
      <c r="Y665" s="772">
        <f>W665/M665</f>
        <v>0.49675663178282736</v>
      </c>
      <c r="Z665" s="356" t="s">
        <v>1495</v>
      </c>
      <c r="AA665" s="98"/>
    </row>
    <row r="666" spans="1:27">
      <c r="A666" s="475"/>
      <c r="B666" s="757"/>
      <c r="C666" s="758"/>
      <c r="D666" s="760"/>
      <c r="E666" s="760"/>
      <c r="F666" s="758"/>
      <c r="G666" s="787"/>
      <c r="H666" s="787"/>
      <c r="I666" s="758"/>
      <c r="J666" s="762"/>
      <c r="K666" s="782"/>
      <c r="L666" s="782"/>
      <c r="M666" s="762"/>
      <c r="N666" s="83" t="s">
        <v>1496</v>
      </c>
      <c r="O666" s="353" t="s">
        <v>1497</v>
      </c>
      <c r="P666" s="76" t="s">
        <v>36</v>
      </c>
      <c r="Q666" s="79">
        <v>65</v>
      </c>
      <c r="R666" s="79">
        <v>158.26</v>
      </c>
      <c r="S666" s="80" t="s">
        <v>1498</v>
      </c>
      <c r="T666" s="301">
        <v>33.6</v>
      </c>
      <c r="U666" s="82">
        <f t="shared" ref="U666:U668" si="57">T666/Q666</f>
        <v>0.51692307692307693</v>
      </c>
      <c r="V666" s="770"/>
      <c r="W666" s="770"/>
      <c r="X666" s="773"/>
      <c r="Y666" s="773"/>
      <c r="Z666" s="356" t="s">
        <v>1495</v>
      </c>
      <c r="AA666" s="98"/>
    </row>
    <row r="667" spans="1:27">
      <c r="A667" s="475"/>
      <c r="B667" s="757"/>
      <c r="C667" s="758"/>
      <c r="D667" s="760"/>
      <c r="E667" s="760"/>
      <c r="F667" s="758"/>
      <c r="G667" s="787"/>
      <c r="H667" s="787"/>
      <c r="I667" s="758"/>
      <c r="J667" s="762"/>
      <c r="K667" s="782"/>
      <c r="L667" s="782"/>
      <c r="M667" s="762"/>
      <c r="N667" s="83" t="s">
        <v>1499</v>
      </c>
      <c r="O667" s="353" t="s">
        <v>1500</v>
      </c>
      <c r="P667" s="76" t="s">
        <v>36</v>
      </c>
      <c r="Q667" s="79">
        <v>35</v>
      </c>
      <c r="R667" s="79">
        <v>112.85</v>
      </c>
      <c r="S667" s="80" t="s">
        <v>449</v>
      </c>
      <c r="T667" s="301">
        <v>27</v>
      </c>
      <c r="U667" s="82">
        <f t="shared" si="57"/>
        <v>0.77142857142857146</v>
      </c>
      <c r="V667" s="770"/>
      <c r="W667" s="770"/>
      <c r="X667" s="773"/>
      <c r="Y667" s="773"/>
      <c r="Z667" s="356" t="s">
        <v>1495</v>
      </c>
      <c r="AA667" s="98"/>
    </row>
    <row r="668" spans="1:27">
      <c r="A668" s="475"/>
      <c r="B668" s="757"/>
      <c r="C668" s="758"/>
      <c r="D668" s="761"/>
      <c r="E668" s="761"/>
      <c r="F668" s="758"/>
      <c r="G668" s="787"/>
      <c r="H668" s="787"/>
      <c r="I668" s="758"/>
      <c r="J668" s="762"/>
      <c r="K668" s="782"/>
      <c r="L668" s="782"/>
      <c r="M668" s="762"/>
      <c r="N668" s="83" t="s">
        <v>1499</v>
      </c>
      <c r="O668" s="353" t="s">
        <v>1501</v>
      </c>
      <c r="P668" s="76" t="s">
        <v>36</v>
      </c>
      <c r="Q668" s="79">
        <v>2</v>
      </c>
      <c r="R668" s="79">
        <v>4.53</v>
      </c>
      <c r="S668" s="80" t="s">
        <v>1502</v>
      </c>
      <c r="T668" s="301">
        <v>2</v>
      </c>
      <c r="U668" s="82">
        <f t="shared" si="57"/>
        <v>1</v>
      </c>
      <c r="V668" s="771"/>
      <c r="W668" s="771"/>
      <c r="X668" s="774"/>
      <c r="Y668" s="774"/>
      <c r="Z668" s="356" t="s">
        <v>1495</v>
      </c>
      <c r="AA668" s="98"/>
    </row>
    <row r="669" spans="1:27" ht="48" hidden="1" customHeight="1">
      <c r="A669" s="475"/>
      <c r="B669" s="352">
        <v>12</v>
      </c>
      <c r="C669" s="353" t="s">
        <v>1503</v>
      </c>
      <c r="D669" s="422">
        <v>11523.24</v>
      </c>
      <c r="E669" s="422" t="s">
        <v>2260</v>
      </c>
      <c r="F669" s="353" t="s">
        <v>1504</v>
      </c>
      <c r="G669" s="358">
        <v>29.580155999999999</v>
      </c>
      <c r="H669" s="358">
        <v>2.25</v>
      </c>
      <c r="I669" s="80" t="s">
        <v>163</v>
      </c>
      <c r="J669" s="357" t="s">
        <v>663</v>
      </c>
      <c r="K669" s="357" t="s">
        <v>163</v>
      </c>
      <c r="L669" s="357" t="s">
        <v>663</v>
      </c>
      <c r="M669" s="358">
        <f t="shared" ref="M669:M677" si="58">SUM(G669,H669,J669,L669)</f>
        <v>31.830155999999999</v>
      </c>
      <c r="N669" s="80" t="s">
        <v>1108</v>
      </c>
      <c r="O669" s="80" t="s">
        <v>1108</v>
      </c>
      <c r="P669" s="80" t="s">
        <v>1108</v>
      </c>
      <c r="Q669" s="79" t="s">
        <v>1108</v>
      </c>
      <c r="R669" s="79" t="s">
        <v>1108</v>
      </c>
      <c r="S669" s="80" t="s">
        <v>1108</v>
      </c>
      <c r="T669" s="357" t="s">
        <v>1108</v>
      </c>
      <c r="U669" s="80"/>
      <c r="V669" s="87"/>
      <c r="W669" s="87"/>
      <c r="X669" s="87"/>
      <c r="Y669" s="87"/>
      <c r="Z669" s="84" t="s">
        <v>258</v>
      </c>
      <c r="AA669" s="98"/>
    </row>
    <row r="670" spans="1:27" ht="24" hidden="1" customHeight="1">
      <c r="A670" s="475"/>
      <c r="B670" s="355">
        <v>13</v>
      </c>
      <c r="C670" s="353" t="s">
        <v>1505</v>
      </c>
      <c r="D670" s="422">
        <v>17494.030699999999</v>
      </c>
      <c r="E670" s="422" t="s">
        <v>2261</v>
      </c>
      <c r="F670" s="80" t="s">
        <v>163</v>
      </c>
      <c r="G670" s="357" t="s">
        <v>163</v>
      </c>
      <c r="H670" s="357" t="s">
        <v>163</v>
      </c>
      <c r="I670" s="353" t="s">
        <v>1506</v>
      </c>
      <c r="J670" s="358">
        <v>5.2482090000000001</v>
      </c>
      <c r="K670" s="357" t="s">
        <v>163</v>
      </c>
      <c r="L670" s="357" t="s">
        <v>663</v>
      </c>
      <c r="M670" s="358">
        <f t="shared" si="58"/>
        <v>5.2482090000000001</v>
      </c>
      <c r="N670" s="80" t="s">
        <v>1108</v>
      </c>
      <c r="O670" s="80" t="s">
        <v>1108</v>
      </c>
      <c r="P670" s="80" t="s">
        <v>1108</v>
      </c>
      <c r="Q670" s="79" t="s">
        <v>1108</v>
      </c>
      <c r="R670" s="79" t="s">
        <v>1108</v>
      </c>
      <c r="S670" s="80" t="s">
        <v>1108</v>
      </c>
      <c r="T670" s="357" t="s">
        <v>1108</v>
      </c>
      <c r="U670" s="80"/>
      <c r="V670" s="87"/>
      <c r="W670" s="87"/>
      <c r="X670" s="87"/>
      <c r="Y670" s="87"/>
      <c r="Z670" s="356" t="s">
        <v>18</v>
      </c>
      <c r="AA670" s="98"/>
    </row>
    <row r="671" spans="1:27" ht="24" hidden="1" customHeight="1">
      <c r="A671" s="475"/>
      <c r="B671" s="355">
        <v>14</v>
      </c>
      <c r="C671" s="353" t="s">
        <v>1507</v>
      </c>
      <c r="D671" s="422">
        <v>15100.01</v>
      </c>
      <c r="E671" s="422" t="s">
        <v>2262</v>
      </c>
      <c r="F671" s="80" t="s">
        <v>163</v>
      </c>
      <c r="G671" s="357" t="s">
        <v>163</v>
      </c>
      <c r="H671" s="357" t="s">
        <v>163</v>
      </c>
      <c r="I671" s="353" t="s">
        <v>1508</v>
      </c>
      <c r="J671" s="358">
        <v>7</v>
      </c>
      <c r="K671" s="312" t="s">
        <v>1508</v>
      </c>
      <c r="L671" s="358">
        <v>3</v>
      </c>
      <c r="M671" s="358">
        <f t="shared" si="58"/>
        <v>10</v>
      </c>
      <c r="N671" s="80" t="s">
        <v>1108</v>
      </c>
      <c r="O671" s="80" t="s">
        <v>1108</v>
      </c>
      <c r="P671" s="80" t="s">
        <v>1108</v>
      </c>
      <c r="Q671" s="79" t="s">
        <v>1108</v>
      </c>
      <c r="R671" s="79" t="s">
        <v>1108</v>
      </c>
      <c r="S671" s="80" t="s">
        <v>1108</v>
      </c>
      <c r="T671" s="357" t="s">
        <v>1108</v>
      </c>
      <c r="U671" s="80"/>
      <c r="V671" s="87"/>
      <c r="W671" s="87"/>
      <c r="X671" s="87"/>
      <c r="Y671" s="87"/>
      <c r="Z671" s="356" t="s">
        <v>1331</v>
      </c>
      <c r="AA671" s="98"/>
    </row>
    <row r="672" spans="1:27" ht="36" hidden="1" customHeight="1">
      <c r="A672" s="475"/>
      <c r="B672" s="352">
        <v>15</v>
      </c>
      <c r="C672" s="353" t="s">
        <v>1509</v>
      </c>
      <c r="D672" s="422">
        <v>8816.31</v>
      </c>
      <c r="E672" s="422" t="s">
        <v>2262</v>
      </c>
      <c r="F672" s="353" t="s">
        <v>1510</v>
      </c>
      <c r="G672" s="358">
        <v>17.55</v>
      </c>
      <c r="H672" s="357" t="s">
        <v>163</v>
      </c>
      <c r="I672" s="353" t="s">
        <v>1511</v>
      </c>
      <c r="J672" s="358">
        <v>8.4987999999999992</v>
      </c>
      <c r="K672" s="357" t="s">
        <v>163</v>
      </c>
      <c r="L672" s="357" t="s">
        <v>663</v>
      </c>
      <c r="M672" s="358">
        <f t="shared" si="58"/>
        <v>26.0488</v>
      </c>
      <c r="N672" s="80" t="s">
        <v>1108</v>
      </c>
      <c r="O672" s="80" t="s">
        <v>1108</v>
      </c>
      <c r="P672" s="80" t="s">
        <v>1108</v>
      </c>
      <c r="Q672" s="79" t="s">
        <v>1108</v>
      </c>
      <c r="R672" s="79" t="s">
        <v>1108</v>
      </c>
      <c r="S672" s="80" t="s">
        <v>1108</v>
      </c>
      <c r="T672" s="357" t="s">
        <v>1108</v>
      </c>
      <c r="U672" s="80"/>
      <c r="V672" s="87"/>
      <c r="W672" s="87"/>
      <c r="X672" s="87"/>
      <c r="Y672" s="87"/>
      <c r="Z672" s="356" t="s">
        <v>167</v>
      </c>
      <c r="AA672" s="98"/>
    </row>
    <row r="673" spans="1:27" ht="36" hidden="1" customHeight="1">
      <c r="A673" s="475"/>
      <c r="B673" s="355">
        <v>16</v>
      </c>
      <c r="C673" s="353" t="s">
        <v>1512</v>
      </c>
      <c r="D673" s="422">
        <v>12541.55</v>
      </c>
      <c r="E673" s="422" t="s">
        <v>2263</v>
      </c>
      <c r="F673" s="353" t="s">
        <v>1513</v>
      </c>
      <c r="G673" s="358">
        <v>22.998200000000001</v>
      </c>
      <c r="H673" s="358">
        <v>0.35</v>
      </c>
      <c r="I673" s="353" t="s">
        <v>1514</v>
      </c>
      <c r="J673" s="358">
        <v>4.8912000000000004</v>
      </c>
      <c r="K673" s="312" t="s">
        <v>1514</v>
      </c>
      <c r="L673" s="358">
        <v>1.5888</v>
      </c>
      <c r="M673" s="358">
        <f>SUM(G673,H673,J673,L673)</f>
        <v>29.828200000000002</v>
      </c>
      <c r="N673" s="80" t="s">
        <v>1108</v>
      </c>
      <c r="O673" s="80" t="s">
        <v>1108</v>
      </c>
      <c r="P673" s="80" t="s">
        <v>1108</v>
      </c>
      <c r="Q673" s="79" t="s">
        <v>1108</v>
      </c>
      <c r="R673" s="79" t="s">
        <v>1108</v>
      </c>
      <c r="S673" s="80" t="s">
        <v>1108</v>
      </c>
      <c r="T673" s="357" t="s">
        <v>1108</v>
      </c>
      <c r="U673" s="80"/>
      <c r="V673" s="87"/>
      <c r="W673" s="87"/>
      <c r="X673" s="87"/>
      <c r="Y673" s="87"/>
      <c r="Z673" s="356" t="s">
        <v>1515</v>
      </c>
      <c r="AA673" s="98"/>
    </row>
    <row r="674" spans="1:27" ht="48" hidden="1" customHeight="1">
      <c r="A674" s="475"/>
      <c r="B674" s="355">
        <v>17</v>
      </c>
      <c r="C674" s="353" t="s">
        <v>1516</v>
      </c>
      <c r="D674" s="422">
        <v>4781.4799999999996</v>
      </c>
      <c r="E674" s="422" t="s">
        <v>2264</v>
      </c>
      <c r="F674" s="353" t="s">
        <v>210</v>
      </c>
      <c r="G674" s="787">
        <f>1601.395946*0.1</f>
        <v>160.13959460000001</v>
      </c>
      <c r="H674" s="787"/>
      <c r="I674" s="353" t="s">
        <v>1517</v>
      </c>
      <c r="J674" s="358">
        <f>745.4774/8</f>
        <v>93.184674999999999</v>
      </c>
      <c r="K674" s="357" t="s">
        <v>163</v>
      </c>
      <c r="L674" s="357" t="s">
        <v>663</v>
      </c>
      <c r="M674" s="358">
        <f t="shared" si="58"/>
        <v>253.32426960000001</v>
      </c>
      <c r="N674" s="80" t="s">
        <v>1108</v>
      </c>
      <c r="O674" s="80" t="s">
        <v>1108</v>
      </c>
      <c r="P674" s="80" t="s">
        <v>1108</v>
      </c>
      <c r="Q674" s="79" t="s">
        <v>1108</v>
      </c>
      <c r="R674" s="79" t="s">
        <v>1108</v>
      </c>
      <c r="S674" s="80" t="s">
        <v>1108</v>
      </c>
      <c r="T674" s="357" t="s">
        <v>1108</v>
      </c>
      <c r="U674" s="80"/>
      <c r="V674" s="87"/>
      <c r="W674" s="87"/>
      <c r="X674" s="87"/>
      <c r="Y674" s="87"/>
      <c r="Z674" s="356" t="s">
        <v>894</v>
      </c>
      <c r="AA674" s="98"/>
    </row>
    <row r="675" spans="1:27" ht="84">
      <c r="A675" s="475"/>
      <c r="B675" s="355">
        <v>18</v>
      </c>
      <c r="C675" s="353" t="s">
        <v>1518</v>
      </c>
      <c r="D675" s="422">
        <v>35224.239999999998</v>
      </c>
      <c r="E675" s="422" t="s">
        <v>2265</v>
      </c>
      <c r="F675" s="353" t="s">
        <v>1519</v>
      </c>
      <c r="G675" s="787">
        <v>53.921700000000001</v>
      </c>
      <c r="H675" s="787"/>
      <c r="I675" s="353" t="s">
        <v>211</v>
      </c>
      <c r="J675" s="358">
        <v>29.085560000000001</v>
      </c>
      <c r="K675" s="357" t="s">
        <v>163</v>
      </c>
      <c r="L675" s="357" t="s">
        <v>663</v>
      </c>
      <c r="M675" s="358">
        <f t="shared" si="58"/>
        <v>83.007260000000002</v>
      </c>
      <c r="N675" s="353" t="s">
        <v>274</v>
      </c>
      <c r="O675" s="353" t="s">
        <v>1520</v>
      </c>
      <c r="P675" s="76" t="s">
        <v>36</v>
      </c>
      <c r="Q675" s="79">
        <v>420</v>
      </c>
      <c r="R675" s="79">
        <v>420</v>
      </c>
      <c r="S675" s="354" t="s">
        <v>1429</v>
      </c>
      <c r="T675" s="302" t="s">
        <v>1429</v>
      </c>
      <c r="U675" s="354"/>
      <c r="V675" s="88">
        <f>Q675</f>
        <v>420</v>
      </c>
      <c r="W675" s="88"/>
      <c r="X675" s="88"/>
      <c r="Y675" s="88"/>
      <c r="Z675" s="356" t="s">
        <v>312</v>
      </c>
      <c r="AA675" s="98"/>
    </row>
    <row r="676" spans="1:27" ht="48" hidden="1" customHeight="1">
      <c r="A676" s="475"/>
      <c r="B676" s="352">
        <v>19</v>
      </c>
      <c r="C676" s="353" t="s">
        <v>1521</v>
      </c>
      <c r="D676" s="422">
        <v>8985.07</v>
      </c>
      <c r="E676" s="422" t="s">
        <v>2266</v>
      </c>
      <c r="F676" s="353" t="s">
        <v>1522</v>
      </c>
      <c r="G676" s="787">
        <v>4.0432829999999997</v>
      </c>
      <c r="H676" s="787"/>
      <c r="I676" s="353" t="s">
        <v>163</v>
      </c>
      <c r="J676" s="357" t="s">
        <v>663</v>
      </c>
      <c r="K676" s="357" t="s">
        <v>163</v>
      </c>
      <c r="L676" s="357" t="s">
        <v>663</v>
      </c>
      <c r="M676" s="358">
        <f t="shared" si="58"/>
        <v>4.0432829999999997</v>
      </c>
      <c r="N676" s="80" t="s">
        <v>1108</v>
      </c>
      <c r="O676" s="80" t="s">
        <v>1108</v>
      </c>
      <c r="P676" s="80" t="s">
        <v>1108</v>
      </c>
      <c r="Q676" s="79" t="s">
        <v>1108</v>
      </c>
      <c r="R676" s="79" t="s">
        <v>1108</v>
      </c>
      <c r="S676" s="80" t="s">
        <v>1108</v>
      </c>
      <c r="T676" s="357" t="s">
        <v>1108</v>
      </c>
      <c r="U676" s="80"/>
      <c r="V676" s="87"/>
      <c r="W676" s="87"/>
      <c r="X676" s="87"/>
      <c r="Y676" s="87"/>
      <c r="Z676" s="84" t="s">
        <v>312</v>
      </c>
      <c r="AA676" s="98"/>
    </row>
    <row r="677" spans="1:27" ht="36" hidden="1" customHeight="1">
      <c r="A677" s="475"/>
      <c r="B677" s="355">
        <v>20</v>
      </c>
      <c r="C677" s="353" t="s">
        <v>1523</v>
      </c>
      <c r="D677" s="422">
        <v>1588</v>
      </c>
      <c r="E677" s="422" t="s">
        <v>2267</v>
      </c>
      <c r="F677" s="353" t="s">
        <v>1514</v>
      </c>
      <c r="G677" s="358">
        <v>3.71306</v>
      </c>
      <c r="H677" s="358">
        <v>1.175</v>
      </c>
      <c r="I677" s="80" t="s">
        <v>163</v>
      </c>
      <c r="J677" s="357" t="s">
        <v>663</v>
      </c>
      <c r="K677" s="357" t="s">
        <v>163</v>
      </c>
      <c r="L677" s="357" t="s">
        <v>663</v>
      </c>
      <c r="M677" s="358">
        <f t="shared" si="58"/>
        <v>4.8880600000000003</v>
      </c>
      <c r="N677" s="80" t="s">
        <v>1108</v>
      </c>
      <c r="O677" s="80" t="s">
        <v>1108</v>
      </c>
      <c r="P677" s="80" t="s">
        <v>1108</v>
      </c>
      <c r="Q677" s="79" t="s">
        <v>1108</v>
      </c>
      <c r="R677" s="79" t="s">
        <v>1108</v>
      </c>
      <c r="S677" s="80" t="s">
        <v>1108</v>
      </c>
      <c r="T677" s="357" t="s">
        <v>1108</v>
      </c>
      <c r="U677" s="80"/>
      <c r="V677" s="87"/>
      <c r="W677" s="87"/>
      <c r="X677" s="87"/>
      <c r="Y677" s="87"/>
      <c r="Z677" s="356" t="s">
        <v>1331</v>
      </c>
      <c r="AA677" s="98"/>
    </row>
    <row r="678" spans="1:27" ht="24" hidden="1" customHeight="1">
      <c r="A678" s="475"/>
      <c r="B678" s="352">
        <v>21</v>
      </c>
      <c r="C678" s="353" t="s">
        <v>2023</v>
      </c>
      <c r="D678" s="422">
        <v>6489.3662999999997</v>
      </c>
      <c r="E678" s="422" t="s">
        <v>2268</v>
      </c>
      <c r="F678" s="80" t="s">
        <v>163</v>
      </c>
      <c r="G678" s="357" t="s">
        <v>663</v>
      </c>
      <c r="H678" s="357" t="s">
        <v>663</v>
      </c>
      <c r="I678" s="80" t="s">
        <v>163</v>
      </c>
      <c r="J678" s="357" t="s">
        <v>663</v>
      </c>
      <c r="K678" s="357" t="s">
        <v>163</v>
      </c>
      <c r="L678" s="357" t="s">
        <v>663</v>
      </c>
      <c r="M678" s="357" t="s">
        <v>663</v>
      </c>
      <c r="N678" s="80" t="s">
        <v>1108</v>
      </c>
      <c r="O678" s="80" t="s">
        <v>1108</v>
      </c>
      <c r="P678" s="80" t="s">
        <v>1108</v>
      </c>
      <c r="Q678" s="79" t="s">
        <v>1108</v>
      </c>
      <c r="R678" s="79" t="s">
        <v>1108</v>
      </c>
      <c r="S678" s="80" t="s">
        <v>1108</v>
      </c>
      <c r="T678" s="357" t="s">
        <v>1108</v>
      </c>
      <c r="U678" s="80"/>
      <c r="V678" s="87"/>
      <c r="W678" s="87"/>
      <c r="X678" s="87"/>
      <c r="Y678" s="87"/>
      <c r="Z678" s="356" t="s">
        <v>1331</v>
      </c>
      <c r="AA678" s="98"/>
    </row>
    <row r="679" spans="1:27" ht="24" hidden="1" customHeight="1">
      <c r="A679" s="475"/>
      <c r="B679" s="355">
        <v>22</v>
      </c>
      <c r="C679" s="353" t="s">
        <v>2024</v>
      </c>
      <c r="D679" s="422">
        <v>6852.4315999999999</v>
      </c>
      <c r="E679" s="422" t="s">
        <v>2269</v>
      </c>
      <c r="F679" s="80" t="s">
        <v>163</v>
      </c>
      <c r="G679" s="357" t="s">
        <v>663</v>
      </c>
      <c r="H679" s="357" t="s">
        <v>663</v>
      </c>
      <c r="I679" s="80" t="s">
        <v>163</v>
      </c>
      <c r="J679" s="357" t="s">
        <v>663</v>
      </c>
      <c r="K679" s="357" t="s">
        <v>163</v>
      </c>
      <c r="L679" s="357" t="s">
        <v>663</v>
      </c>
      <c r="M679" s="357" t="s">
        <v>663</v>
      </c>
      <c r="N679" s="80" t="s">
        <v>1108</v>
      </c>
      <c r="O679" s="80" t="s">
        <v>1108</v>
      </c>
      <c r="P679" s="80" t="s">
        <v>1108</v>
      </c>
      <c r="Q679" s="79" t="s">
        <v>1108</v>
      </c>
      <c r="R679" s="79" t="s">
        <v>1108</v>
      </c>
      <c r="S679" s="80" t="s">
        <v>1108</v>
      </c>
      <c r="T679" s="357" t="s">
        <v>1108</v>
      </c>
      <c r="U679" s="80"/>
      <c r="V679" s="87"/>
      <c r="W679" s="87"/>
      <c r="X679" s="87"/>
      <c r="Y679" s="87"/>
      <c r="Z679" s="356" t="s">
        <v>1331</v>
      </c>
      <c r="AA679" s="98"/>
    </row>
    <row r="680" spans="1:27" ht="36" hidden="1" customHeight="1">
      <c r="A680" s="475"/>
      <c r="B680" s="352">
        <v>23</v>
      </c>
      <c r="C680" s="353" t="s">
        <v>1524</v>
      </c>
      <c r="D680" s="422">
        <v>3256.0515999999998</v>
      </c>
      <c r="E680" s="422" t="s">
        <v>2269</v>
      </c>
      <c r="F680" s="80" t="s">
        <v>163</v>
      </c>
      <c r="G680" s="357" t="s">
        <v>663</v>
      </c>
      <c r="H680" s="357" t="s">
        <v>663</v>
      </c>
      <c r="I680" s="80" t="s">
        <v>163</v>
      </c>
      <c r="J680" s="357" t="s">
        <v>663</v>
      </c>
      <c r="K680" s="357" t="s">
        <v>163</v>
      </c>
      <c r="L680" s="357" t="s">
        <v>663</v>
      </c>
      <c r="M680" s="357" t="s">
        <v>663</v>
      </c>
      <c r="N680" s="80" t="s">
        <v>1108</v>
      </c>
      <c r="O680" s="80" t="s">
        <v>1108</v>
      </c>
      <c r="P680" s="80" t="s">
        <v>1108</v>
      </c>
      <c r="Q680" s="79" t="s">
        <v>1108</v>
      </c>
      <c r="R680" s="79" t="s">
        <v>1108</v>
      </c>
      <c r="S680" s="80" t="s">
        <v>1108</v>
      </c>
      <c r="T680" s="357" t="s">
        <v>1108</v>
      </c>
      <c r="U680" s="80"/>
      <c r="V680" s="87"/>
      <c r="W680" s="87"/>
      <c r="X680" s="87"/>
      <c r="Y680" s="87"/>
      <c r="Z680" s="356" t="s">
        <v>1331</v>
      </c>
      <c r="AA680" s="98"/>
    </row>
    <row r="681" spans="1:27" ht="15" hidden="1" customHeight="1">
      <c r="A681" s="475"/>
      <c r="B681" s="355">
        <v>24</v>
      </c>
      <c r="C681" s="353" t="s">
        <v>1525</v>
      </c>
      <c r="D681" s="119">
        <v>4100</v>
      </c>
      <c r="E681" s="119" t="s">
        <v>2270</v>
      </c>
      <c r="F681" s="80" t="s">
        <v>163</v>
      </c>
      <c r="G681" s="357" t="s">
        <v>663</v>
      </c>
      <c r="H681" s="357" t="s">
        <v>663</v>
      </c>
      <c r="I681" s="80" t="s">
        <v>163</v>
      </c>
      <c r="J681" s="357" t="s">
        <v>663</v>
      </c>
      <c r="K681" s="357" t="s">
        <v>163</v>
      </c>
      <c r="L681" s="357" t="s">
        <v>663</v>
      </c>
      <c r="M681" s="357" t="s">
        <v>663</v>
      </c>
      <c r="N681" s="80" t="s">
        <v>1108</v>
      </c>
      <c r="O681" s="80" t="s">
        <v>1108</v>
      </c>
      <c r="P681" s="80" t="s">
        <v>1108</v>
      </c>
      <c r="Q681" s="79" t="s">
        <v>1108</v>
      </c>
      <c r="R681" s="79" t="s">
        <v>1108</v>
      </c>
      <c r="S681" s="80" t="s">
        <v>1108</v>
      </c>
      <c r="T681" s="357" t="s">
        <v>1108</v>
      </c>
      <c r="U681" s="80"/>
      <c r="V681" s="87"/>
      <c r="W681" s="87"/>
      <c r="X681" s="87"/>
      <c r="Y681" s="87"/>
      <c r="Z681" s="356" t="s">
        <v>506</v>
      </c>
      <c r="AA681" s="98"/>
    </row>
    <row r="682" spans="1:27" ht="24">
      <c r="A682" s="475" t="s">
        <v>1708</v>
      </c>
      <c r="B682" s="800">
        <v>1</v>
      </c>
      <c r="C682" s="803" t="s">
        <v>1527</v>
      </c>
      <c r="D682" s="806">
        <v>41400.51</v>
      </c>
      <c r="E682" s="809" t="s">
        <v>2271</v>
      </c>
      <c r="F682" s="803" t="s">
        <v>1528</v>
      </c>
      <c r="G682" s="812">
        <f>8915422.08/10000/4</f>
        <v>222.88555199999999</v>
      </c>
      <c r="H682" s="813"/>
      <c r="I682" s="803" t="s">
        <v>1529</v>
      </c>
      <c r="J682" s="626">
        <f>1467060/10000</f>
        <v>146.70599999999999</v>
      </c>
      <c r="K682" s="626"/>
      <c r="L682" s="626"/>
      <c r="M682" s="626">
        <f>SUM(G682,J682)</f>
        <v>369.59155199999998</v>
      </c>
      <c r="N682" s="94" t="s">
        <v>1530</v>
      </c>
      <c r="O682" s="93" t="s">
        <v>1531</v>
      </c>
      <c r="P682" s="76" t="s">
        <v>36</v>
      </c>
      <c r="Q682" s="347">
        <v>20.484949</v>
      </c>
      <c r="R682" s="347">
        <v>20.484949</v>
      </c>
      <c r="S682" s="342" t="s">
        <v>1532</v>
      </c>
      <c r="T682" s="325">
        <v>14.046113</v>
      </c>
      <c r="U682" s="231">
        <f>T682/Q682</f>
        <v>0.68567966656885504</v>
      </c>
      <c r="V682" s="835">
        <f>SUM(Q682:Q697)</f>
        <v>77.455189999999988</v>
      </c>
      <c r="W682" s="835">
        <f>SUM(T682:T697)</f>
        <v>31.750457999999998</v>
      </c>
      <c r="X682" s="632">
        <f>W682/V682</f>
        <v>0.40992034232954566</v>
      </c>
      <c r="Y682" s="632">
        <f>W682/M682</f>
        <v>8.5906882417052646E-2</v>
      </c>
      <c r="Z682" s="342" t="s">
        <v>1533</v>
      </c>
      <c r="AA682" s="98"/>
    </row>
    <row r="683" spans="1:27" ht="84">
      <c r="A683" s="475"/>
      <c r="B683" s="801"/>
      <c r="C683" s="804"/>
      <c r="D683" s="807"/>
      <c r="E683" s="810"/>
      <c r="F683" s="804"/>
      <c r="G683" s="814"/>
      <c r="H683" s="815"/>
      <c r="I683" s="804"/>
      <c r="J683" s="627"/>
      <c r="K683" s="627"/>
      <c r="L683" s="627"/>
      <c r="M683" s="627"/>
      <c r="N683" s="94" t="s">
        <v>1534</v>
      </c>
      <c r="O683" s="93" t="s">
        <v>1535</v>
      </c>
      <c r="P683" s="76" t="s">
        <v>36</v>
      </c>
      <c r="Q683" s="95">
        <v>24.2212</v>
      </c>
      <c r="R683" s="95">
        <v>40</v>
      </c>
      <c r="S683" s="342" t="s">
        <v>1536</v>
      </c>
      <c r="T683" s="136">
        <v>16.729099999999999</v>
      </c>
      <c r="U683" s="231">
        <f t="shared" ref="U683:U695" si="59">T683/Q683</f>
        <v>0.69068006539725524</v>
      </c>
      <c r="V683" s="630"/>
      <c r="W683" s="630"/>
      <c r="X683" s="633"/>
      <c r="Y683" s="633"/>
      <c r="Z683" s="342" t="s">
        <v>1533</v>
      </c>
      <c r="AA683" s="98"/>
    </row>
    <row r="684" spans="1:27" ht="72" hidden="1" customHeight="1">
      <c r="A684" s="475"/>
      <c r="B684" s="801"/>
      <c r="C684" s="804"/>
      <c r="D684" s="807"/>
      <c r="E684" s="810"/>
      <c r="F684" s="804"/>
      <c r="G684" s="814"/>
      <c r="H684" s="815"/>
      <c r="I684" s="804"/>
      <c r="J684" s="627"/>
      <c r="K684" s="627"/>
      <c r="L684" s="627"/>
      <c r="M684" s="627"/>
      <c r="N684" s="94" t="s">
        <v>1537</v>
      </c>
      <c r="O684" s="93" t="s">
        <v>1538</v>
      </c>
      <c r="P684" s="76" t="s">
        <v>27</v>
      </c>
      <c r="Q684" s="95">
        <v>0.54549700000000001</v>
      </c>
      <c r="R684" s="95">
        <v>0.54549700000000001</v>
      </c>
      <c r="S684" s="94" t="s">
        <v>1191</v>
      </c>
      <c r="T684" s="136">
        <v>0.19384599999999999</v>
      </c>
      <c r="U684" s="231">
        <f t="shared" si="59"/>
        <v>0.35535667473881616</v>
      </c>
      <c r="V684" s="630"/>
      <c r="W684" s="630"/>
      <c r="X684" s="633"/>
      <c r="Y684" s="633"/>
      <c r="Z684" s="342" t="s">
        <v>1533</v>
      </c>
      <c r="AA684" s="98"/>
    </row>
    <row r="685" spans="1:27" ht="84" hidden="1" customHeight="1">
      <c r="A685" s="475"/>
      <c r="B685" s="801"/>
      <c r="C685" s="804"/>
      <c r="D685" s="807"/>
      <c r="E685" s="810"/>
      <c r="F685" s="804"/>
      <c r="G685" s="814"/>
      <c r="H685" s="815"/>
      <c r="I685" s="804"/>
      <c r="J685" s="627"/>
      <c r="K685" s="627"/>
      <c r="L685" s="627"/>
      <c r="M685" s="627"/>
      <c r="N685" s="94" t="s">
        <v>670</v>
      </c>
      <c r="O685" s="93" t="s">
        <v>1539</v>
      </c>
      <c r="P685" s="76" t="s">
        <v>27</v>
      </c>
      <c r="Q685" s="95">
        <v>2.2503580000000003</v>
      </c>
      <c r="R685" s="95">
        <v>2.2503580000000003</v>
      </c>
      <c r="S685" s="94"/>
      <c r="T685" s="136"/>
      <c r="U685" s="231"/>
      <c r="V685" s="630"/>
      <c r="W685" s="630"/>
      <c r="X685" s="633"/>
      <c r="Y685" s="633"/>
      <c r="Z685" s="342" t="s">
        <v>1533</v>
      </c>
      <c r="AA685" s="98"/>
    </row>
    <row r="686" spans="1:27" ht="60" hidden="1" customHeight="1">
      <c r="A686" s="475"/>
      <c r="B686" s="801"/>
      <c r="C686" s="804"/>
      <c r="D686" s="807"/>
      <c r="E686" s="810"/>
      <c r="F686" s="804"/>
      <c r="G686" s="814"/>
      <c r="H686" s="815"/>
      <c r="I686" s="804"/>
      <c r="J686" s="627"/>
      <c r="K686" s="627"/>
      <c r="L686" s="627"/>
      <c r="M686" s="627"/>
      <c r="N686" s="94" t="s">
        <v>1540</v>
      </c>
      <c r="O686" s="93" t="s">
        <v>1541</v>
      </c>
      <c r="P686" s="76" t="s">
        <v>27</v>
      </c>
      <c r="Q686" s="95">
        <v>0.44422899999999998</v>
      </c>
      <c r="R686" s="95">
        <v>0.44422899999999998</v>
      </c>
      <c r="S686" s="94"/>
      <c r="T686" s="136"/>
      <c r="U686" s="231"/>
      <c r="V686" s="630"/>
      <c r="W686" s="630"/>
      <c r="X686" s="633"/>
      <c r="Y686" s="633"/>
      <c r="Z686" s="342" t="s">
        <v>1533</v>
      </c>
      <c r="AA686" s="98"/>
    </row>
    <row r="687" spans="1:27" ht="96" hidden="1" customHeight="1">
      <c r="A687" s="475"/>
      <c r="B687" s="801"/>
      <c r="C687" s="804"/>
      <c r="D687" s="807"/>
      <c r="E687" s="810"/>
      <c r="F687" s="804"/>
      <c r="G687" s="814"/>
      <c r="H687" s="815"/>
      <c r="I687" s="804"/>
      <c r="J687" s="627"/>
      <c r="K687" s="627"/>
      <c r="L687" s="627"/>
      <c r="M687" s="627"/>
      <c r="N687" s="94" t="s">
        <v>1542</v>
      </c>
      <c r="O687" s="93" t="s">
        <v>1543</v>
      </c>
      <c r="P687" s="76" t="s">
        <v>27</v>
      </c>
      <c r="Q687" s="95">
        <v>18.716947000000001</v>
      </c>
      <c r="R687" s="95">
        <v>18.716947000000001</v>
      </c>
      <c r="S687" s="94"/>
      <c r="T687" s="136"/>
      <c r="U687" s="231"/>
      <c r="V687" s="630"/>
      <c r="W687" s="630"/>
      <c r="X687" s="633"/>
      <c r="Y687" s="633"/>
      <c r="Z687" s="342" t="s">
        <v>1533</v>
      </c>
      <c r="AA687" s="98"/>
    </row>
    <row r="688" spans="1:27" ht="36" hidden="1" customHeight="1">
      <c r="A688" s="475"/>
      <c r="B688" s="801"/>
      <c r="C688" s="804"/>
      <c r="D688" s="807"/>
      <c r="E688" s="810"/>
      <c r="F688" s="804"/>
      <c r="G688" s="814"/>
      <c r="H688" s="815"/>
      <c r="I688" s="804"/>
      <c r="J688" s="627"/>
      <c r="K688" s="627"/>
      <c r="L688" s="627"/>
      <c r="M688" s="627"/>
      <c r="N688" s="94" t="s">
        <v>1544</v>
      </c>
      <c r="O688" s="93" t="s">
        <v>1545</v>
      </c>
      <c r="P688" s="76" t="s">
        <v>27</v>
      </c>
      <c r="Q688" s="95">
        <v>7.3602000000000001E-2</v>
      </c>
      <c r="R688" s="95">
        <v>7.3602000000000001E-2</v>
      </c>
      <c r="S688" s="94" t="s">
        <v>1546</v>
      </c>
      <c r="T688" s="136">
        <v>5.1401999999999996E-2</v>
      </c>
      <c r="U688" s="231">
        <f t="shared" si="59"/>
        <v>0.69837776147387298</v>
      </c>
      <c r="V688" s="630"/>
      <c r="W688" s="630"/>
      <c r="X688" s="633"/>
      <c r="Y688" s="633"/>
      <c r="Z688" s="342" t="s">
        <v>1533</v>
      </c>
      <c r="AA688" s="98"/>
    </row>
    <row r="689" spans="1:27" ht="24" hidden="1" customHeight="1">
      <c r="A689" s="475"/>
      <c r="B689" s="801"/>
      <c r="C689" s="804"/>
      <c r="D689" s="807"/>
      <c r="E689" s="810"/>
      <c r="F689" s="804"/>
      <c r="G689" s="814"/>
      <c r="H689" s="815"/>
      <c r="I689" s="804"/>
      <c r="J689" s="627"/>
      <c r="K689" s="627"/>
      <c r="L689" s="627"/>
      <c r="M689" s="627"/>
      <c r="N689" s="94" t="s">
        <v>1547</v>
      </c>
      <c r="O689" s="93" t="s">
        <v>1548</v>
      </c>
      <c r="P689" s="76" t="s">
        <v>27</v>
      </c>
      <c r="Q689" s="95">
        <v>2.2878119999999997</v>
      </c>
      <c r="R689" s="95">
        <v>2.2878119999999997</v>
      </c>
      <c r="S689" s="94"/>
      <c r="T689" s="136"/>
      <c r="U689" s="231"/>
      <c r="V689" s="630"/>
      <c r="W689" s="630"/>
      <c r="X689" s="633"/>
      <c r="Y689" s="633"/>
      <c r="Z689" s="342" t="s">
        <v>1533</v>
      </c>
      <c r="AA689" s="98"/>
    </row>
    <row r="690" spans="1:27" ht="24" hidden="1" customHeight="1">
      <c r="A690" s="475"/>
      <c r="B690" s="801"/>
      <c r="C690" s="804"/>
      <c r="D690" s="807"/>
      <c r="E690" s="810"/>
      <c r="F690" s="804"/>
      <c r="G690" s="814"/>
      <c r="H690" s="815"/>
      <c r="I690" s="804"/>
      <c r="J690" s="627"/>
      <c r="K690" s="627"/>
      <c r="L690" s="627"/>
      <c r="M690" s="627"/>
      <c r="N690" s="94" t="s">
        <v>123</v>
      </c>
      <c r="O690" s="93" t="s">
        <v>1549</v>
      </c>
      <c r="P690" s="76" t="s">
        <v>27</v>
      </c>
      <c r="Q690" s="95">
        <v>1.425411</v>
      </c>
      <c r="R690" s="95">
        <v>1.425411</v>
      </c>
      <c r="S690" s="94"/>
      <c r="T690" s="136"/>
      <c r="U690" s="231"/>
      <c r="V690" s="630"/>
      <c r="W690" s="630"/>
      <c r="X690" s="633"/>
      <c r="Y690" s="633"/>
      <c r="Z690" s="342" t="s">
        <v>1533</v>
      </c>
      <c r="AA690" s="98"/>
    </row>
    <row r="691" spans="1:27" ht="24" hidden="1" customHeight="1">
      <c r="A691" s="475"/>
      <c r="B691" s="801"/>
      <c r="C691" s="804"/>
      <c r="D691" s="807"/>
      <c r="E691" s="810"/>
      <c r="F691" s="804"/>
      <c r="G691" s="814"/>
      <c r="H691" s="815"/>
      <c r="I691" s="804"/>
      <c r="J691" s="627"/>
      <c r="K691" s="627"/>
      <c r="L691" s="627"/>
      <c r="M691" s="627"/>
      <c r="N691" s="94" t="s">
        <v>123</v>
      </c>
      <c r="O691" s="93" t="s">
        <v>1550</v>
      </c>
      <c r="P691" s="76" t="s">
        <v>27</v>
      </c>
      <c r="Q691" s="95">
        <v>1.986148</v>
      </c>
      <c r="R691" s="95">
        <v>1.986148</v>
      </c>
      <c r="S691" s="94"/>
      <c r="T691" s="136"/>
      <c r="U691" s="231"/>
      <c r="V691" s="630"/>
      <c r="W691" s="630"/>
      <c r="X691" s="633"/>
      <c r="Y691" s="633"/>
      <c r="Z691" s="342" t="s">
        <v>1533</v>
      </c>
      <c r="AA691" s="98"/>
    </row>
    <row r="692" spans="1:27" ht="24" hidden="1" customHeight="1">
      <c r="A692" s="475"/>
      <c r="B692" s="801"/>
      <c r="C692" s="804"/>
      <c r="D692" s="807"/>
      <c r="E692" s="810"/>
      <c r="F692" s="804"/>
      <c r="G692" s="814"/>
      <c r="H692" s="815"/>
      <c r="I692" s="804"/>
      <c r="J692" s="627"/>
      <c r="K692" s="627"/>
      <c r="L692" s="627"/>
      <c r="M692" s="627"/>
      <c r="N692" s="94" t="s">
        <v>1551</v>
      </c>
      <c r="O692" s="93" t="s">
        <v>1552</v>
      </c>
      <c r="P692" s="76" t="s">
        <v>27</v>
      </c>
      <c r="Q692" s="95">
        <v>0.31994600000000001</v>
      </c>
      <c r="R692" s="95">
        <v>0.31994600000000001</v>
      </c>
      <c r="S692" s="94" t="s">
        <v>249</v>
      </c>
      <c r="T692" s="136">
        <v>0.23242800000000002</v>
      </c>
      <c r="U692" s="231">
        <f t="shared" si="59"/>
        <v>0.72646009014021118</v>
      </c>
      <c r="V692" s="630"/>
      <c r="W692" s="630"/>
      <c r="X692" s="633"/>
      <c r="Y692" s="633"/>
      <c r="Z692" s="342" t="s">
        <v>1533</v>
      </c>
      <c r="AA692" s="98"/>
    </row>
    <row r="693" spans="1:27" ht="24" hidden="1" customHeight="1">
      <c r="A693" s="475"/>
      <c r="B693" s="801"/>
      <c r="C693" s="804"/>
      <c r="D693" s="807"/>
      <c r="E693" s="810"/>
      <c r="F693" s="804"/>
      <c r="G693" s="814"/>
      <c r="H693" s="815"/>
      <c r="I693" s="804"/>
      <c r="J693" s="627"/>
      <c r="K693" s="627"/>
      <c r="L693" s="627"/>
      <c r="M693" s="627"/>
      <c r="N693" s="94" t="s">
        <v>1553</v>
      </c>
      <c r="O693" s="93" t="s">
        <v>1554</v>
      </c>
      <c r="P693" s="76" t="s">
        <v>27</v>
      </c>
      <c r="Q693" s="95">
        <v>1.586595</v>
      </c>
      <c r="R693" s="95">
        <v>1.586595</v>
      </c>
      <c r="S693" s="94"/>
      <c r="T693" s="136"/>
      <c r="U693" s="231"/>
      <c r="V693" s="630"/>
      <c r="W693" s="630"/>
      <c r="X693" s="633"/>
      <c r="Y693" s="633"/>
      <c r="Z693" s="342" t="s">
        <v>1533</v>
      </c>
      <c r="AA693" s="98"/>
    </row>
    <row r="694" spans="1:27" ht="24" hidden="1" customHeight="1">
      <c r="A694" s="475"/>
      <c r="B694" s="801"/>
      <c r="C694" s="804"/>
      <c r="D694" s="807"/>
      <c r="E694" s="810"/>
      <c r="F694" s="804"/>
      <c r="G694" s="814"/>
      <c r="H694" s="815"/>
      <c r="I694" s="804"/>
      <c r="J694" s="627"/>
      <c r="K694" s="627"/>
      <c r="L694" s="627"/>
      <c r="M694" s="627"/>
      <c r="N694" s="326" t="s">
        <v>1555</v>
      </c>
      <c r="O694" s="348" t="s">
        <v>1556</v>
      </c>
      <c r="P694" s="76" t="s">
        <v>27</v>
      </c>
      <c r="Q694" s="95">
        <v>0.62602999999999998</v>
      </c>
      <c r="R694" s="95">
        <v>0.62602999999999998</v>
      </c>
      <c r="S694" s="326" t="s">
        <v>249</v>
      </c>
      <c r="T694" s="323">
        <v>0.45265500000000003</v>
      </c>
      <c r="U694" s="231">
        <f t="shared" si="59"/>
        <v>0.7230564030477773</v>
      </c>
      <c r="V694" s="630"/>
      <c r="W694" s="630"/>
      <c r="X694" s="633"/>
      <c r="Y694" s="633"/>
      <c r="Z694" s="359" t="s">
        <v>1533</v>
      </c>
      <c r="AA694" s="98"/>
    </row>
    <row r="695" spans="1:27" ht="24" hidden="1" customHeight="1">
      <c r="A695" s="475"/>
      <c r="B695" s="801"/>
      <c r="C695" s="804"/>
      <c r="D695" s="807"/>
      <c r="E695" s="810"/>
      <c r="F695" s="804"/>
      <c r="G695" s="814"/>
      <c r="H695" s="815"/>
      <c r="I695" s="804"/>
      <c r="J695" s="627"/>
      <c r="K695" s="627"/>
      <c r="L695" s="627"/>
      <c r="M695" s="627"/>
      <c r="N695" s="326" t="s">
        <v>726</v>
      </c>
      <c r="O695" s="348" t="s">
        <v>1557</v>
      </c>
      <c r="P695" s="76" t="s">
        <v>27</v>
      </c>
      <c r="Q695" s="95">
        <v>5.935E-2</v>
      </c>
      <c r="R695" s="95">
        <v>5.935E-2</v>
      </c>
      <c r="S695" s="326" t="s">
        <v>249</v>
      </c>
      <c r="T695" s="323">
        <v>4.4913999999999996E-2</v>
      </c>
      <c r="U695" s="231">
        <f t="shared" si="59"/>
        <v>0.75676495366470087</v>
      </c>
      <c r="V695" s="630"/>
      <c r="W695" s="630"/>
      <c r="X695" s="633"/>
      <c r="Y695" s="633"/>
      <c r="Z695" s="359" t="s">
        <v>1533</v>
      </c>
      <c r="AA695" s="98"/>
    </row>
    <row r="696" spans="1:27" ht="36" hidden="1" customHeight="1">
      <c r="A696" s="475"/>
      <c r="B696" s="801"/>
      <c r="C696" s="804"/>
      <c r="D696" s="807"/>
      <c r="E696" s="810"/>
      <c r="F696" s="804"/>
      <c r="G696" s="814"/>
      <c r="H696" s="815"/>
      <c r="I696" s="804"/>
      <c r="J696" s="627"/>
      <c r="K696" s="627"/>
      <c r="L696" s="627"/>
      <c r="M696" s="627"/>
      <c r="N696" s="264" t="s">
        <v>1558</v>
      </c>
      <c r="O696" s="265" t="s">
        <v>1559</v>
      </c>
      <c r="P696" s="76" t="s">
        <v>27</v>
      </c>
      <c r="Q696" s="105">
        <v>2.0740660000000002</v>
      </c>
      <c r="R696" s="105">
        <v>2.2120660000000001</v>
      </c>
      <c r="S696" s="264"/>
      <c r="T696" s="303"/>
      <c r="U696" s="112"/>
      <c r="V696" s="630"/>
      <c r="W696" s="630"/>
      <c r="X696" s="633"/>
      <c r="Y696" s="633"/>
      <c r="Z696" s="359" t="s">
        <v>1533</v>
      </c>
      <c r="AA696" s="98"/>
    </row>
    <row r="697" spans="1:27" ht="60" hidden="1" customHeight="1">
      <c r="A697" s="475"/>
      <c r="B697" s="802"/>
      <c r="C697" s="805"/>
      <c r="D697" s="808"/>
      <c r="E697" s="811"/>
      <c r="F697" s="805"/>
      <c r="G697" s="816"/>
      <c r="H697" s="817"/>
      <c r="I697" s="805"/>
      <c r="J697" s="628"/>
      <c r="K697" s="628"/>
      <c r="L697" s="628"/>
      <c r="M697" s="628"/>
      <c r="N697" s="337" t="s">
        <v>1560</v>
      </c>
      <c r="O697" s="114" t="s">
        <v>1561</v>
      </c>
      <c r="P697" s="76" t="s">
        <v>27</v>
      </c>
      <c r="Q697" s="105">
        <v>0.35304999999999997</v>
      </c>
      <c r="R697" s="105">
        <v>6.3530499999999996</v>
      </c>
      <c r="S697" s="337"/>
      <c r="T697" s="104"/>
      <c r="U697" s="112"/>
      <c r="V697" s="631"/>
      <c r="W697" s="631"/>
      <c r="X697" s="634"/>
      <c r="Y697" s="634"/>
      <c r="Z697" s="359" t="s">
        <v>1533</v>
      </c>
      <c r="AA697" s="98"/>
    </row>
    <row r="698" spans="1:27" ht="144" hidden="1" customHeight="1">
      <c r="A698" s="475"/>
      <c r="B698" s="800">
        <v>2</v>
      </c>
      <c r="C698" s="803" t="s">
        <v>1562</v>
      </c>
      <c r="D698" s="836">
        <f>47521.0257-3504.6334</f>
        <v>44016.3923</v>
      </c>
      <c r="E698" s="839" t="s">
        <v>2272</v>
      </c>
      <c r="F698" s="803" t="s">
        <v>1563</v>
      </c>
      <c r="G698" s="812">
        <f>924.648867/3</f>
        <v>308.21628900000002</v>
      </c>
      <c r="H698" s="813"/>
      <c r="I698" s="803" t="s">
        <v>1564</v>
      </c>
      <c r="J698" s="832">
        <f>569.8525/3</f>
        <v>189.95083333333332</v>
      </c>
      <c r="K698" s="832"/>
      <c r="L698" s="832"/>
      <c r="M698" s="626">
        <f>SUM(G698,H698,J698,L698)</f>
        <v>498.16712233333334</v>
      </c>
      <c r="N698" s="342" t="s">
        <v>1565</v>
      </c>
      <c r="O698" s="340" t="s">
        <v>1566</v>
      </c>
      <c r="P698" s="76" t="s">
        <v>27</v>
      </c>
      <c r="Q698" s="347">
        <v>12.831</v>
      </c>
      <c r="R698" s="347">
        <v>12.831</v>
      </c>
      <c r="S698" s="89"/>
      <c r="T698" s="297"/>
      <c r="U698" s="18"/>
      <c r="V698" s="822">
        <f>SUM(Q698:Q713)</f>
        <v>268.86099999999999</v>
      </c>
      <c r="W698" s="822">
        <f>SUM(T698:T713)</f>
        <v>91.92</v>
      </c>
      <c r="X698" s="822">
        <f>W698/V698</f>
        <v>0.34188669981886555</v>
      </c>
      <c r="Y698" s="822"/>
      <c r="Z698" s="342" t="s">
        <v>43</v>
      </c>
      <c r="AA698" s="98"/>
    </row>
    <row r="699" spans="1:27" ht="216" hidden="1" customHeight="1">
      <c r="A699" s="475"/>
      <c r="B699" s="801"/>
      <c r="C699" s="804"/>
      <c r="D699" s="837"/>
      <c r="E699" s="840"/>
      <c r="F699" s="842"/>
      <c r="G699" s="814"/>
      <c r="H699" s="815"/>
      <c r="I699" s="804"/>
      <c r="J699" s="833"/>
      <c r="K699" s="833"/>
      <c r="L699" s="833"/>
      <c r="M699" s="627"/>
      <c r="N699" s="342" t="s">
        <v>1567</v>
      </c>
      <c r="O699" s="340" t="s">
        <v>1568</v>
      </c>
      <c r="P699" s="76" t="s">
        <v>27</v>
      </c>
      <c r="Q699" s="347">
        <v>15.3</v>
      </c>
      <c r="R699" s="347">
        <v>15.3</v>
      </c>
      <c r="S699" s="89"/>
      <c r="T699" s="297"/>
      <c r="U699" s="18"/>
      <c r="V699" s="576"/>
      <c r="W699" s="576"/>
      <c r="X699" s="576"/>
      <c r="Y699" s="576"/>
      <c r="Z699" s="342" t="s">
        <v>43</v>
      </c>
      <c r="AA699" s="98"/>
    </row>
    <row r="700" spans="1:27" ht="144" hidden="1" customHeight="1">
      <c r="A700" s="475"/>
      <c r="B700" s="801"/>
      <c r="C700" s="804"/>
      <c r="D700" s="837"/>
      <c r="E700" s="840"/>
      <c r="F700" s="842"/>
      <c r="G700" s="814"/>
      <c r="H700" s="815"/>
      <c r="I700" s="804"/>
      <c r="J700" s="833"/>
      <c r="K700" s="833"/>
      <c r="L700" s="833"/>
      <c r="M700" s="627"/>
      <c r="N700" s="342" t="s">
        <v>1229</v>
      </c>
      <c r="O700" s="340" t="s">
        <v>1569</v>
      </c>
      <c r="P700" s="76" t="s">
        <v>27</v>
      </c>
      <c r="Q700" s="347">
        <v>13.65</v>
      </c>
      <c r="R700" s="347">
        <v>13.65</v>
      </c>
      <c r="S700" s="90"/>
      <c r="T700" s="325"/>
      <c r="U700" s="18"/>
      <c r="V700" s="576"/>
      <c r="W700" s="576"/>
      <c r="X700" s="576"/>
      <c r="Y700" s="576"/>
      <c r="Z700" s="342" t="s">
        <v>43</v>
      </c>
      <c r="AA700" s="98"/>
    </row>
    <row r="701" spans="1:27" ht="144" hidden="1" customHeight="1">
      <c r="A701" s="475"/>
      <c r="B701" s="801"/>
      <c r="C701" s="804"/>
      <c r="D701" s="837"/>
      <c r="E701" s="840"/>
      <c r="F701" s="842"/>
      <c r="G701" s="814"/>
      <c r="H701" s="815"/>
      <c r="I701" s="804"/>
      <c r="J701" s="833"/>
      <c r="K701" s="833"/>
      <c r="L701" s="833"/>
      <c r="M701" s="627"/>
      <c r="N701" s="342" t="s">
        <v>107</v>
      </c>
      <c r="O701" s="340" t="s">
        <v>1570</v>
      </c>
      <c r="P701" s="76" t="s">
        <v>27</v>
      </c>
      <c r="Q701" s="347">
        <v>5</v>
      </c>
      <c r="R701" s="347">
        <v>5</v>
      </c>
      <c r="S701" s="90" t="s">
        <v>1571</v>
      </c>
      <c r="T701" s="325">
        <v>0.66</v>
      </c>
      <c r="U701" s="18">
        <f>T701/Q701</f>
        <v>0.13200000000000001</v>
      </c>
      <c r="V701" s="576"/>
      <c r="W701" s="576"/>
      <c r="X701" s="576"/>
      <c r="Y701" s="576"/>
      <c r="Z701" s="342" t="s">
        <v>43</v>
      </c>
      <c r="AA701" s="98"/>
    </row>
    <row r="702" spans="1:27" ht="120" hidden="1" customHeight="1">
      <c r="A702" s="475"/>
      <c r="B702" s="801"/>
      <c r="C702" s="804"/>
      <c r="D702" s="837"/>
      <c r="E702" s="840"/>
      <c r="F702" s="842"/>
      <c r="G702" s="814"/>
      <c r="H702" s="815"/>
      <c r="I702" s="804"/>
      <c r="J702" s="833"/>
      <c r="K702" s="833"/>
      <c r="L702" s="833"/>
      <c r="M702" s="627"/>
      <c r="N702" s="91" t="s">
        <v>1572</v>
      </c>
      <c r="O702" s="340" t="s">
        <v>1573</v>
      </c>
      <c r="P702" s="76" t="s">
        <v>27</v>
      </c>
      <c r="Q702" s="347">
        <v>12</v>
      </c>
      <c r="R702" s="347">
        <v>12</v>
      </c>
      <c r="S702" s="90"/>
      <c r="T702" s="325"/>
      <c r="U702" s="18"/>
      <c r="V702" s="576"/>
      <c r="W702" s="576"/>
      <c r="X702" s="576"/>
      <c r="Y702" s="576"/>
      <c r="Z702" s="342" t="s">
        <v>43</v>
      </c>
      <c r="AA702" s="98"/>
    </row>
    <row r="703" spans="1:27" ht="132" hidden="1" customHeight="1">
      <c r="A703" s="475"/>
      <c r="B703" s="801"/>
      <c r="C703" s="804"/>
      <c r="D703" s="837"/>
      <c r="E703" s="840"/>
      <c r="F703" s="842"/>
      <c r="G703" s="814"/>
      <c r="H703" s="815"/>
      <c r="I703" s="804"/>
      <c r="J703" s="833"/>
      <c r="K703" s="833"/>
      <c r="L703" s="833"/>
      <c r="M703" s="627"/>
      <c r="N703" s="91" t="s">
        <v>1574</v>
      </c>
      <c r="O703" s="340" t="s">
        <v>1575</v>
      </c>
      <c r="P703" s="76" t="s">
        <v>27</v>
      </c>
      <c r="Q703" s="347">
        <v>7.22</v>
      </c>
      <c r="R703" s="347">
        <v>7.22</v>
      </c>
      <c r="S703" s="89"/>
      <c r="T703" s="325"/>
      <c r="U703" s="18"/>
      <c r="V703" s="576"/>
      <c r="W703" s="576"/>
      <c r="X703" s="576"/>
      <c r="Y703" s="576"/>
      <c r="Z703" s="342" t="s">
        <v>43</v>
      </c>
      <c r="AA703" s="98"/>
    </row>
    <row r="704" spans="1:27" ht="120" hidden="1" customHeight="1">
      <c r="A704" s="475"/>
      <c r="B704" s="801"/>
      <c r="C704" s="804"/>
      <c r="D704" s="837"/>
      <c r="E704" s="840"/>
      <c r="F704" s="842"/>
      <c r="G704" s="814"/>
      <c r="H704" s="815"/>
      <c r="I704" s="804"/>
      <c r="J704" s="833"/>
      <c r="K704" s="833"/>
      <c r="L704" s="833"/>
      <c r="M704" s="627"/>
      <c r="N704" s="342" t="s">
        <v>1576</v>
      </c>
      <c r="O704" s="340" t="s">
        <v>1577</v>
      </c>
      <c r="P704" s="76" t="s">
        <v>27</v>
      </c>
      <c r="Q704" s="347">
        <v>3</v>
      </c>
      <c r="R704" s="347">
        <v>3</v>
      </c>
      <c r="S704" s="90"/>
      <c r="T704" s="325"/>
      <c r="U704" s="18"/>
      <c r="V704" s="576"/>
      <c r="W704" s="576"/>
      <c r="X704" s="576"/>
      <c r="Y704" s="576"/>
      <c r="Z704" s="342" t="s">
        <v>43</v>
      </c>
      <c r="AA704" s="98"/>
    </row>
    <row r="705" spans="1:27" ht="120" hidden="1" customHeight="1">
      <c r="A705" s="475"/>
      <c r="B705" s="801"/>
      <c r="C705" s="804"/>
      <c r="D705" s="837"/>
      <c r="E705" s="840"/>
      <c r="F705" s="842"/>
      <c r="G705" s="814"/>
      <c r="H705" s="815"/>
      <c r="I705" s="804"/>
      <c r="J705" s="833"/>
      <c r="K705" s="833"/>
      <c r="L705" s="833"/>
      <c r="M705" s="627"/>
      <c r="N705" s="342" t="s">
        <v>1578</v>
      </c>
      <c r="O705" s="340" t="s">
        <v>1579</v>
      </c>
      <c r="P705" s="76" t="s">
        <v>27</v>
      </c>
      <c r="Q705" s="347">
        <v>7.76</v>
      </c>
      <c r="R705" s="347">
        <v>7.76</v>
      </c>
      <c r="S705" s="90"/>
      <c r="T705" s="325"/>
      <c r="U705" s="18"/>
      <c r="V705" s="576"/>
      <c r="W705" s="576"/>
      <c r="X705" s="576"/>
      <c r="Y705" s="576"/>
      <c r="Z705" s="342" t="s">
        <v>43</v>
      </c>
      <c r="AA705" s="98"/>
    </row>
    <row r="706" spans="1:27" ht="144" hidden="1" customHeight="1">
      <c r="A706" s="475"/>
      <c r="B706" s="801"/>
      <c r="C706" s="804"/>
      <c r="D706" s="837"/>
      <c r="E706" s="840"/>
      <c r="F706" s="842"/>
      <c r="G706" s="814"/>
      <c r="H706" s="815"/>
      <c r="I706" s="804"/>
      <c r="J706" s="833"/>
      <c r="K706" s="833"/>
      <c r="L706" s="833"/>
      <c r="M706" s="627"/>
      <c r="N706" s="342" t="s">
        <v>682</v>
      </c>
      <c r="O706" s="340" t="s">
        <v>1580</v>
      </c>
      <c r="P706" s="76" t="s">
        <v>27</v>
      </c>
      <c r="Q706" s="347">
        <v>60</v>
      </c>
      <c r="R706" s="347">
        <v>60</v>
      </c>
      <c r="S706" s="90" t="s">
        <v>1581</v>
      </c>
      <c r="T706" s="325">
        <v>60</v>
      </c>
      <c r="U706" s="18">
        <v>1</v>
      </c>
      <c r="V706" s="576"/>
      <c r="W706" s="576"/>
      <c r="X706" s="576"/>
      <c r="Y706" s="576"/>
      <c r="Z706" s="342" t="s">
        <v>43</v>
      </c>
      <c r="AA706" s="98"/>
    </row>
    <row r="707" spans="1:27" ht="180" hidden="1" customHeight="1">
      <c r="A707" s="475"/>
      <c r="B707" s="801"/>
      <c r="C707" s="804"/>
      <c r="D707" s="837"/>
      <c r="E707" s="840"/>
      <c r="F707" s="842"/>
      <c r="G707" s="814"/>
      <c r="H707" s="815"/>
      <c r="I707" s="804"/>
      <c r="J707" s="833"/>
      <c r="K707" s="833"/>
      <c r="L707" s="833"/>
      <c r="M707" s="627"/>
      <c r="N707" s="342" t="s">
        <v>679</v>
      </c>
      <c r="O707" s="340" t="s">
        <v>1582</v>
      </c>
      <c r="P707" s="76" t="s">
        <v>27</v>
      </c>
      <c r="Q707" s="347">
        <v>10</v>
      </c>
      <c r="R707" s="347">
        <v>10</v>
      </c>
      <c r="S707" s="90"/>
      <c r="T707" s="325"/>
      <c r="U707" s="18"/>
      <c r="V707" s="576"/>
      <c r="W707" s="576"/>
      <c r="X707" s="576"/>
      <c r="Y707" s="576"/>
      <c r="Z707" s="342" t="s">
        <v>43</v>
      </c>
      <c r="AA707" s="98"/>
    </row>
    <row r="708" spans="1:27" ht="132" hidden="1" customHeight="1">
      <c r="A708" s="475"/>
      <c r="B708" s="801"/>
      <c r="C708" s="804"/>
      <c r="D708" s="837"/>
      <c r="E708" s="840"/>
      <c r="F708" s="842"/>
      <c r="G708" s="814"/>
      <c r="H708" s="815"/>
      <c r="I708" s="804"/>
      <c r="J708" s="833"/>
      <c r="K708" s="833"/>
      <c r="L708" s="833"/>
      <c r="M708" s="627"/>
      <c r="N708" s="342" t="s">
        <v>1583</v>
      </c>
      <c r="O708" s="340" t="s">
        <v>1584</v>
      </c>
      <c r="P708" s="76" t="s">
        <v>27</v>
      </c>
      <c r="Q708" s="347">
        <v>8.7200000000000006</v>
      </c>
      <c r="R708" s="347">
        <v>8.7200000000000006</v>
      </c>
      <c r="S708" s="90"/>
      <c r="T708" s="325"/>
      <c r="U708" s="18"/>
      <c r="V708" s="576"/>
      <c r="W708" s="576"/>
      <c r="X708" s="576"/>
      <c r="Y708" s="576"/>
      <c r="Z708" s="342" t="s">
        <v>43</v>
      </c>
      <c r="AA708" s="98"/>
    </row>
    <row r="709" spans="1:27" ht="156" hidden="1" customHeight="1">
      <c r="A709" s="475"/>
      <c r="B709" s="801"/>
      <c r="C709" s="804"/>
      <c r="D709" s="837"/>
      <c r="E709" s="840"/>
      <c r="F709" s="842"/>
      <c r="G709" s="814"/>
      <c r="H709" s="815"/>
      <c r="I709" s="804"/>
      <c r="J709" s="833"/>
      <c r="K709" s="833"/>
      <c r="L709" s="833"/>
      <c r="M709" s="627"/>
      <c r="N709" s="342" t="s">
        <v>1585</v>
      </c>
      <c r="O709" s="340" t="s">
        <v>1586</v>
      </c>
      <c r="P709" s="76" t="s">
        <v>27</v>
      </c>
      <c r="Q709" s="347">
        <v>19.5</v>
      </c>
      <c r="R709" s="347">
        <v>19.5</v>
      </c>
      <c r="S709" s="90"/>
      <c r="T709" s="325"/>
      <c r="U709" s="18"/>
      <c r="V709" s="576"/>
      <c r="W709" s="576"/>
      <c r="X709" s="576"/>
      <c r="Y709" s="576"/>
      <c r="Z709" s="342" t="s">
        <v>43</v>
      </c>
      <c r="AA709" s="98"/>
    </row>
    <row r="710" spans="1:27" ht="228" hidden="1" customHeight="1">
      <c r="A710" s="475"/>
      <c r="B710" s="801"/>
      <c r="C710" s="804"/>
      <c r="D710" s="837"/>
      <c r="E710" s="840"/>
      <c r="F710" s="842"/>
      <c r="G710" s="814"/>
      <c r="H710" s="815"/>
      <c r="I710" s="804"/>
      <c r="J710" s="833"/>
      <c r="K710" s="833"/>
      <c r="L710" s="833"/>
      <c r="M710" s="627"/>
      <c r="N710" s="342" t="s">
        <v>1192</v>
      </c>
      <c r="O710" s="340" t="s">
        <v>1587</v>
      </c>
      <c r="P710" s="76" t="s">
        <v>27</v>
      </c>
      <c r="Q710" s="347">
        <v>16.600000000000001</v>
      </c>
      <c r="R710" s="347">
        <v>16.600000000000001</v>
      </c>
      <c r="S710" s="90" t="s">
        <v>1588</v>
      </c>
      <c r="T710" s="325">
        <v>12</v>
      </c>
      <c r="U710" s="18">
        <v>0.72299999999999998</v>
      </c>
      <c r="V710" s="576"/>
      <c r="W710" s="576"/>
      <c r="X710" s="576"/>
      <c r="Y710" s="576"/>
      <c r="Z710" s="342" t="s">
        <v>43</v>
      </c>
      <c r="AA710" s="98"/>
    </row>
    <row r="711" spans="1:27" ht="132" hidden="1" customHeight="1">
      <c r="A711" s="475"/>
      <c r="B711" s="801"/>
      <c r="C711" s="804"/>
      <c r="D711" s="837"/>
      <c r="E711" s="840"/>
      <c r="F711" s="842"/>
      <c r="G711" s="814"/>
      <c r="H711" s="815"/>
      <c r="I711" s="804"/>
      <c r="J711" s="833"/>
      <c r="K711" s="833"/>
      <c r="L711" s="833"/>
      <c r="M711" s="627"/>
      <c r="N711" s="92" t="s">
        <v>1589</v>
      </c>
      <c r="O711" s="93" t="s">
        <v>1590</v>
      </c>
      <c r="P711" s="76" t="s">
        <v>27</v>
      </c>
      <c r="Q711" s="95">
        <v>4.5</v>
      </c>
      <c r="R711" s="95">
        <v>4.5</v>
      </c>
      <c r="S711" s="96" t="s">
        <v>1571</v>
      </c>
      <c r="T711" s="136">
        <v>0.26</v>
      </c>
      <c r="U711" s="18">
        <v>5.7777777777777782E-2</v>
      </c>
      <c r="V711" s="576"/>
      <c r="W711" s="576"/>
      <c r="X711" s="576"/>
      <c r="Y711" s="576"/>
      <c r="Z711" s="94" t="s">
        <v>43</v>
      </c>
      <c r="AA711" s="98"/>
    </row>
    <row r="712" spans="1:27" ht="24">
      <c r="A712" s="475"/>
      <c r="B712" s="801"/>
      <c r="C712" s="804"/>
      <c r="D712" s="837"/>
      <c r="E712" s="840"/>
      <c r="F712" s="842"/>
      <c r="G712" s="814"/>
      <c r="H712" s="815"/>
      <c r="I712" s="804"/>
      <c r="J712" s="833"/>
      <c r="K712" s="833"/>
      <c r="L712" s="833"/>
      <c r="M712" s="627"/>
      <c r="N712" s="92" t="s">
        <v>1591</v>
      </c>
      <c r="O712" s="93" t="s">
        <v>1592</v>
      </c>
      <c r="P712" s="76" t="s">
        <v>36</v>
      </c>
      <c r="Q712" s="95">
        <v>65</v>
      </c>
      <c r="R712" s="95">
        <v>65</v>
      </c>
      <c r="S712" s="96">
        <v>2014.09</v>
      </c>
      <c r="T712" s="136">
        <v>16</v>
      </c>
      <c r="U712" s="18">
        <v>0.24615384615384617</v>
      </c>
      <c r="V712" s="576"/>
      <c r="W712" s="576"/>
      <c r="X712" s="576"/>
      <c r="Y712" s="576"/>
      <c r="Z712" s="94" t="s">
        <v>43</v>
      </c>
      <c r="AA712" s="98"/>
    </row>
    <row r="713" spans="1:27">
      <c r="A713" s="475"/>
      <c r="B713" s="802"/>
      <c r="C713" s="805"/>
      <c r="D713" s="838"/>
      <c r="E713" s="841"/>
      <c r="F713" s="843"/>
      <c r="G713" s="816"/>
      <c r="H713" s="817"/>
      <c r="I713" s="805"/>
      <c r="J713" s="834"/>
      <c r="K713" s="834"/>
      <c r="L713" s="834"/>
      <c r="M713" s="628"/>
      <c r="N713" s="92" t="s">
        <v>1593</v>
      </c>
      <c r="O713" s="93" t="s">
        <v>1594</v>
      </c>
      <c r="P713" s="76" t="s">
        <v>36</v>
      </c>
      <c r="Q713" s="95">
        <v>7.78</v>
      </c>
      <c r="R713" s="95">
        <v>7.78</v>
      </c>
      <c r="S713" s="94">
        <v>2014.09</v>
      </c>
      <c r="T713" s="136">
        <v>3</v>
      </c>
      <c r="U713" s="18">
        <v>0.38560411311053983</v>
      </c>
      <c r="V713" s="577"/>
      <c r="W713" s="577"/>
      <c r="X713" s="577"/>
      <c r="Y713" s="577"/>
      <c r="Z713" s="94" t="s">
        <v>43</v>
      </c>
      <c r="AA713" s="98"/>
    </row>
    <row r="714" spans="1:27" ht="108" hidden="1" customHeight="1">
      <c r="A714" s="475"/>
      <c r="B714" s="823">
        <v>3</v>
      </c>
      <c r="C714" s="826" t="s">
        <v>1595</v>
      </c>
      <c r="D714" s="424"/>
      <c r="E714" s="424"/>
      <c r="F714" s="826" t="s">
        <v>1563</v>
      </c>
      <c r="G714" s="812">
        <f>924.648867/3</f>
        <v>308.21628900000002</v>
      </c>
      <c r="H714" s="813"/>
      <c r="I714" s="803" t="s">
        <v>1564</v>
      </c>
      <c r="J714" s="829">
        <f>569.85/3</f>
        <v>189.95000000000002</v>
      </c>
      <c r="K714" s="829"/>
      <c r="L714" s="829"/>
      <c r="M714" s="626">
        <f>G714+J714</f>
        <v>498.16628900000001</v>
      </c>
      <c r="N714" s="92" t="s">
        <v>1596</v>
      </c>
      <c r="O714" s="93" t="s">
        <v>1597</v>
      </c>
      <c r="P714" s="76" t="s">
        <v>27</v>
      </c>
      <c r="Q714" s="95">
        <v>7.0265500000000003</v>
      </c>
      <c r="R714" s="95">
        <v>7.0265500000000003</v>
      </c>
      <c r="S714" s="94" t="s">
        <v>1004</v>
      </c>
      <c r="T714" s="136">
        <v>7.1406000000000001</v>
      </c>
      <c r="U714" s="18">
        <v>1.0162312941628537</v>
      </c>
      <c r="V714" s="822">
        <f>SUM(Q714:Q732)</f>
        <v>456.09299800000002</v>
      </c>
      <c r="W714" s="822">
        <f>SUM(T714:T732)</f>
        <v>130.38566800000001</v>
      </c>
      <c r="X714" s="578">
        <f>W714/V714</f>
        <v>0.28587518021927627</v>
      </c>
      <c r="Y714" s="578">
        <f>W714/M714</f>
        <v>0.26173121481530037</v>
      </c>
      <c r="Z714" s="94" t="s">
        <v>43</v>
      </c>
      <c r="AA714" s="98"/>
    </row>
    <row r="715" spans="1:27" ht="264" hidden="1" customHeight="1">
      <c r="A715" s="475"/>
      <c r="B715" s="824"/>
      <c r="C715" s="827"/>
      <c r="D715" s="425"/>
      <c r="E715" s="425"/>
      <c r="F715" s="827"/>
      <c r="G715" s="814"/>
      <c r="H715" s="815"/>
      <c r="I715" s="804"/>
      <c r="J715" s="830"/>
      <c r="K715" s="830"/>
      <c r="L715" s="830"/>
      <c r="M715" s="627"/>
      <c r="N715" s="92" t="s">
        <v>1598</v>
      </c>
      <c r="O715" s="93" t="s">
        <v>1599</v>
      </c>
      <c r="P715" s="76" t="s">
        <v>27</v>
      </c>
      <c r="Q715" s="95">
        <v>60</v>
      </c>
      <c r="R715" s="95">
        <v>68</v>
      </c>
      <c r="S715" s="94" t="s">
        <v>1600</v>
      </c>
      <c r="T715" s="136">
        <v>60</v>
      </c>
      <c r="U715" s="18">
        <v>1</v>
      </c>
      <c r="V715" s="576"/>
      <c r="W715" s="576"/>
      <c r="X715" s="579"/>
      <c r="Y715" s="579"/>
      <c r="Z715" s="94" t="s">
        <v>43</v>
      </c>
      <c r="AA715" s="98"/>
    </row>
    <row r="716" spans="1:27" ht="84" hidden="1" customHeight="1">
      <c r="A716" s="475"/>
      <c r="B716" s="824"/>
      <c r="C716" s="827"/>
      <c r="D716" s="425"/>
      <c r="E716" s="425"/>
      <c r="F716" s="827"/>
      <c r="G716" s="814"/>
      <c r="H716" s="815"/>
      <c r="I716" s="804"/>
      <c r="J716" s="830"/>
      <c r="K716" s="830"/>
      <c r="L716" s="830"/>
      <c r="M716" s="627"/>
      <c r="N716" s="92" t="s">
        <v>1601</v>
      </c>
      <c r="O716" s="93" t="s">
        <v>1602</v>
      </c>
      <c r="P716" s="76" t="s">
        <v>27</v>
      </c>
      <c r="Q716" s="95">
        <v>68</v>
      </c>
      <c r="R716" s="95">
        <v>68</v>
      </c>
      <c r="S716" s="94" t="s">
        <v>1588</v>
      </c>
      <c r="T716" s="136">
        <v>60</v>
      </c>
      <c r="U716" s="18">
        <v>0.88235294117647056</v>
      </c>
      <c r="V716" s="576"/>
      <c r="W716" s="576"/>
      <c r="X716" s="579"/>
      <c r="Y716" s="579"/>
      <c r="Z716" s="94" t="s">
        <v>43</v>
      </c>
      <c r="AA716" s="98"/>
    </row>
    <row r="717" spans="1:27" ht="60" hidden="1" customHeight="1">
      <c r="A717" s="475"/>
      <c r="B717" s="824"/>
      <c r="C717" s="827"/>
      <c r="D717" s="837">
        <f>55250.8336+3504.6334+5337.2731</f>
        <v>64092.740099999995</v>
      </c>
      <c r="E717" s="840" t="s">
        <v>2272</v>
      </c>
      <c r="F717" s="827"/>
      <c r="G717" s="814"/>
      <c r="H717" s="815"/>
      <c r="I717" s="804"/>
      <c r="J717" s="830"/>
      <c r="K717" s="830"/>
      <c r="L717" s="830"/>
      <c r="M717" s="627"/>
      <c r="N717" s="92" t="s">
        <v>1603</v>
      </c>
      <c r="O717" s="93" t="s">
        <v>1604</v>
      </c>
      <c r="P717" s="76" t="s">
        <v>27</v>
      </c>
      <c r="Q717" s="95">
        <v>6.3975610000000005</v>
      </c>
      <c r="R717" s="95">
        <v>12.5</v>
      </c>
      <c r="S717" s="94"/>
      <c r="T717" s="136"/>
      <c r="U717" s="18"/>
      <c r="V717" s="576"/>
      <c r="W717" s="576"/>
      <c r="X717" s="579"/>
      <c r="Y717" s="579"/>
      <c r="Z717" s="94" t="s">
        <v>43</v>
      </c>
      <c r="AA717" s="98"/>
    </row>
    <row r="718" spans="1:27" ht="48" hidden="1" customHeight="1">
      <c r="A718" s="475"/>
      <c r="B718" s="824"/>
      <c r="C718" s="827"/>
      <c r="D718" s="837"/>
      <c r="E718" s="840"/>
      <c r="F718" s="827"/>
      <c r="G718" s="814"/>
      <c r="H718" s="815"/>
      <c r="I718" s="804"/>
      <c r="J718" s="830"/>
      <c r="K718" s="830"/>
      <c r="L718" s="830"/>
      <c r="M718" s="627"/>
      <c r="N718" s="92" t="s">
        <v>1605</v>
      </c>
      <c r="O718" s="93" t="s">
        <v>1606</v>
      </c>
      <c r="P718" s="76" t="s">
        <v>27</v>
      </c>
      <c r="Q718" s="95">
        <v>9.827064</v>
      </c>
      <c r="R718" s="95">
        <v>12.5</v>
      </c>
      <c r="S718" s="94"/>
      <c r="T718" s="136"/>
      <c r="U718" s="18"/>
      <c r="V718" s="576"/>
      <c r="W718" s="576"/>
      <c r="X718" s="579"/>
      <c r="Y718" s="579"/>
      <c r="Z718" s="94" t="s">
        <v>43</v>
      </c>
      <c r="AA718" s="98"/>
    </row>
    <row r="719" spans="1:27" ht="48" hidden="1" customHeight="1">
      <c r="A719" s="475"/>
      <c r="B719" s="824"/>
      <c r="C719" s="827"/>
      <c r="D719" s="837"/>
      <c r="E719" s="840"/>
      <c r="F719" s="827"/>
      <c r="G719" s="814"/>
      <c r="H719" s="815"/>
      <c r="I719" s="804"/>
      <c r="J719" s="830"/>
      <c r="K719" s="830"/>
      <c r="L719" s="830"/>
      <c r="M719" s="627"/>
      <c r="N719" s="92" t="s">
        <v>1607</v>
      </c>
      <c r="O719" s="93" t="s">
        <v>1608</v>
      </c>
      <c r="P719" s="76" t="s">
        <v>27</v>
      </c>
      <c r="Q719" s="95">
        <v>2.6</v>
      </c>
      <c r="R719" s="95">
        <v>2.6</v>
      </c>
      <c r="S719" s="94"/>
      <c r="T719" s="136"/>
      <c r="U719" s="18"/>
      <c r="V719" s="576"/>
      <c r="W719" s="576"/>
      <c r="X719" s="579"/>
      <c r="Y719" s="579"/>
      <c r="Z719" s="327" t="s">
        <v>43</v>
      </c>
      <c r="AA719" s="98"/>
    </row>
    <row r="720" spans="1:27" ht="192" hidden="1" customHeight="1">
      <c r="A720" s="475"/>
      <c r="B720" s="824"/>
      <c r="C720" s="827"/>
      <c r="D720" s="837"/>
      <c r="E720" s="840"/>
      <c r="F720" s="827"/>
      <c r="G720" s="814"/>
      <c r="H720" s="815"/>
      <c r="I720" s="804"/>
      <c r="J720" s="830"/>
      <c r="K720" s="830"/>
      <c r="L720" s="830"/>
      <c r="M720" s="627"/>
      <c r="N720" s="92" t="s">
        <v>915</v>
      </c>
      <c r="O720" s="93" t="s">
        <v>1609</v>
      </c>
      <c r="P720" s="76" t="s">
        <v>27</v>
      </c>
      <c r="Q720" s="95"/>
      <c r="R720" s="95"/>
      <c r="S720" s="94"/>
      <c r="T720" s="136"/>
      <c r="U720" s="18"/>
      <c r="V720" s="576"/>
      <c r="W720" s="576"/>
      <c r="X720" s="579"/>
      <c r="Y720" s="579"/>
      <c r="Z720" s="94" t="s">
        <v>43</v>
      </c>
      <c r="AA720" s="98"/>
    </row>
    <row r="721" spans="1:27" ht="96" hidden="1" customHeight="1">
      <c r="A721" s="475"/>
      <c r="B721" s="824"/>
      <c r="C721" s="827"/>
      <c r="D721" s="837"/>
      <c r="E721" s="840"/>
      <c r="F721" s="827"/>
      <c r="G721" s="814"/>
      <c r="H721" s="815"/>
      <c r="I721" s="804"/>
      <c r="J721" s="830"/>
      <c r="K721" s="830"/>
      <c r="L721" s="830"/>
      <c r="M721" s="627"/>
      <c r="N721" s="342" t="s">
        <v>1610</v>
      </c>
      <c r="O721" s="340" t="s">
        <v>1611</v>
      </c>
      <c r="P721" s="76" t="s">
        <v>27</v>
      </c>
      <c r="Q721" s="347"/>
      <c r="R721" s="347"/>
      <c r="S721" s="94"/>
      <c r="T721" s="325"/>
      <c r="U721" s="18"/>
      <c r="V721" s="576"/>
      <c r="W721" s="576"/>
      <c r="X721" s="579"/>
      <c r="Y721" s="579"/>
      <c r="Z721" s="342" t="s">
        <v>43</v>
      </c>
      <c r="AA721" s="98"/>
    </row>
    <row r="722" spans="1:27" ht="72" hidden="1" customHeight="1">
      <c r="A722" s="475"/>
      <c r="B722" s="824"/>
      <c r="C722" s="827"/>
      <c r="D722" s="837"/>
      <c r="E722" s="840"/>
      <c r="F722" s="827"/>
      <c r="G722" s="814"/>
      <c r="H722" s="815"/>
      <c r="I722" s="804"/>
      <c r="J722" s="830"/>
      <c r="K722" s="830"/>
      <c r="L722" s="830"/>
      <c r="M722" s="627"/>
      <c r="N722" s="342" t="s">
        <v>86</v>
      </c>
      <c r="O722" s="340" t="s">
        <v>1612</v>
      </c>
      <c r="P722" s="76" t="s">
        <v>27</v>
      </c>
      <c r="Q722" s="347"/>
      <c r="R722" s="347"/>
      <c r="S722" s="94"/>
      <c r="T722" s="325"/>
      <c r="U722" s="18"/>
      <c r="V722" s="576"/>
      <c r="W722" s="576"/>
      <c r="X722" s="579"/>
      <c r="Y722" s="579"/>
      <c r="Z722" s="342" t="s">
        <v>43</v>
      </c>
      <c r="AA722" s="98"/>
    </row>
    <row r="723" spans="1:27" ht="96" hidden="1" customHeight="1">
      <c r="A723" s="475"/>
      <c r="B723" s="824"/>
      <c r="C723" s="827"/>
      <c r="D723" s="837"/>
      <c r="E723" s="840"/>
      <c r="F723" s="827"/>
      <c r="G723" s="814"/>
      <c r="H723" s="815"/>
      <c r="I723" s="804"/>
      <c r="J723" s="830"/>
      <c r="K723" s="830"/>
      <c r="L723" s="830"/>
      <c r="M723" s="627"/>
      <c r="N723" s="342" t="s">
        <v>1613</v>
      </c>
      <c r="O723" s="340" t="s">
        <v>1614</v>
      </c>
      <c r="P723" s="76" t="s">
        <v>27</v>
      </c>
      <c r="Q723" s="347"/>
      <c r="R723" s="347"/>
      <c r="S723" s="94"/>
      <c r="T723" s="325"/>
      <c r="U723" s="18"/>
      <c r="V723" s="576"/>
      <c r="W723" s="576"/>
      <c r="X723" s="579"/>
      <c r="Y723" s="579"/>
      <c r="Z723" s="342" t="s">
        <v>43</v>
      </c>
      <c r="AA723" s="98"/>
    </row>
    <row r="724" spans="1:27" ht="72" hidden="1" customHeight="1">
      <c r="A724" s="475"/>
      <c r="B724" s="824"/>
      <c r="C724" s="827"/>
      <c r="D724" s="837"/>
      <c r="E724" s="840"/>
      <c r="F724" s="827"/>
      <c r="G724" s="814"/>
      <c r="H724" s="815"/>
      <c r="I724" s="804"/>
      <c r="J724" s="830"/>
      <c r="K724" s="830"/>
      <c r="L724" s="830"/>
      <c r="M724" s="627"/>
      <c r="N724" s="91" t="s">
        <v>1615</v>
      </c>
      <c r="O724" s="340" t="s">
        <v>1616</v>
      </c>
      <c r="P724" s="76" t="s">
        <v>27</v>
      </c>
      <c r="Q724" s="347"/>
      <c r="R724" s="347"/>
      <c r="S724" s="94"/>
      <c r="T724" s="325"/>
      <c r="U724" s="18"/>
      <c r="V724" s="576"/>
      <c r="W724" s="576"/>
      <c r="X724" s="579"/>
      <c r="Y724" s="579"/>
      <c r="Z724" s="342" t="s">
        <v>43</v>
      </c>
      <c r="AA724" s="98"/>
    </row>
    <row r="725" spans="1:27" ht="72" hidden="1" customHeight="1">
      <c r="A725" s="475"/>
      <c r="B725" s="824"/>
      <c r="C725" s="827"/>
      <c r="D725" s="837"/>
      <c r="E725" s="840"/>
      <c r="F725" s="827"/>
      <c r="G725" s="814"/>
      <c r="H725" s="815"/>
      <c r="I725" s="804"/>
      <c r="J725" s="830"/>
      <c r="K725" s="830"/>
      <c r="L725" s="830"/>
      <c r="M725" s="627"/>
      <c r="N725" s="342" t="s">
        <v>1617</v>
      </c>
      <c r="O725" s="340" t="s">
        <v>1618</v>
      </c>
      <c r="P725" s="76" t="s">
        <v>27</v>
      </c>
      <c r="Q725" s="347">
        <v>4.4274430000000002</v>
      </c>
      <c r="R725" s="347">
        <v>4.4274430000000002</v>
      </c>
      <c r="S725" s="94"/>
      <c r="T725" s="325"/>
      <c r="U725" s="18"/>
      <c r="V725" s="576"/>
      <c r="W725" s="576"/>
      <c r="X725" s="579"/>
      <c r="Y725" s="579"/>
      <c r="Z725" s="342" t="s">
        <v>43</v>
      </c>
      <c r="AA725" s="98"/>
    </row>
    <row r="726" spans="1:27" ht="72" hidden="1" customHeight="1">
      <c r="A726" s="475"/>
      <c r="B726" s="824"/>
      <c r="C726" s="827"/>
      <c r="D726" s="837"/>
      <c r="E726" s="840"/>
      <c r="F726" s="827"/>
      <c r="G726" s="814"/>
      <c r="H726" s="815"/>
      <c r="I726" s="804"/>
      <c r="J726" s="830"/>
      <c r="K726" s="830"/>
      <c r="L726" s="830"/>
      <c r="M726" s="627"/>
      <c r="N726" s="342" t="s">
        <v>1619</v>
      </c>
      <c r="O726" s="340" t="s">
        <v>1620</v>
      </c>
      <c r="P726" s="76" t="s">
        <v>27</v>
      </c>
      <c r="Q726" s="347"/>
      <c r="R726" s="347"/>
      <c r="S726" s="94"/>
      <c r="T726" s="325"/>
      <c r="U726" s="18"/>
      <c r="V726" s="576"/>
      <c r="W726" s="576"/>
      <c r="X726" s="579"/>
      <c r="Y726" s="579"/>
      <c r="Z726" s="342" t="s">
        <v>43</v>
      </c>
      <c r="AA726" s="98"/>
    </row>
    <row r="727" spans="1:27" ht="96">
      <c r="A727" s="475"/>
      <c r="B727" s="824"/>
      <c r="C727" s="827"/>
      <c r="D727" s="837"/>
      <c r="E727" s="840"/>
      <c r="F727" s="827"/>
      <c r="G727" s="814"/>
      <c r="H727" s="815"/>
      <c r="I727" s="804"/>
      <c r="J727" s="830"/>
      <c r="K727" s="830"/>
      <c r="L727" s="830"/>
      <c r="M727" s="627"/>
      <c r="N727" s="342" t="s">
        <v>648</v>
      </c>
      <c r="O727" s="340" t="s">
        <v>1621</v>
      </c>
      <c r="P727" s="76" t="s">
        <v>36</v>
      </c>
      <c r="Q727" s="347">
        <v>16.835999999999999</v>
      </c>
      <c r="R727" s="347">
        <v>16.835999999999999</v>
      </c>
      <c r="S727" s="94"/>
      <c r="T727" s="325"/>
      <c r="U727" s="18"/>
      <c r="V727" s="576"/>
      <c r="W727" s="576"/>
      <c r="X727" s="579"/>
      <c r="Y727" s="579"/>
      <c r="Z727" s="342" t="s">
        <v>43</v>
      </c>
      <c r="AA727" s="98"/>
    </row>
    <row r="728" spans="1:27" ht="60">
      <c r="A728" s="475"/>
      <c r="B728" s="824"/>
      <c r="C728" s="827"/>
      <c r="D728" s="837"/>
      <c r="E728" s="840"/>
      <c r="F728" s="827"/>
      <c r="G728" s="814"/>
      <c r="H728" s="815"/>
      <c r="I728" s="804"/>
      <c r="J728" s="830"/>
      <c r="K728" s="830"/>
      <c r="L728" s="830"/>
      <c r="M728" s="627"/>
      <c r="N728" s="342" t="s">
        <v>1622</v>
      </c>
      <c r="O728" s="340" t="s">
        <v>1623</v>
      </c>
      <c r="P728" s="76" t="s">
        <v>36</v>
      </c>
      <c r="Q728" s="347">
        <v>7.49</v>
      </c>
      <c r="R728" s="347">
        <v>7.49</v>
      </c>
      <c r="S728" s="94"/>
      <c r="T728" s="325"/>
      <c r="U728" s="18"/>
      <c r="V728" s="576"/>
      <c r="W728" s="576"/>
      <c r="X728" s="579"/>
      <c r="Y728" s="579"/>
      <c r="Z728" s="342" t="s">
        <v>43</v>
      </c>
      <c r="AA728" s="98"/>
    </row>
    <row r="729" spans="1:27" ht="60">
      <c r="A729" s="475"/>
      <c r="B729" s="824"/>
      <c r="C729" s="827"/>
      <c r="D729" s="837"/>
      <c r="E729" s="840"/>
      <c r="F729" s="827"/>
      <c r="G729" s="814"/>
      <c r="H729" s="815"/>
      <c r="I729" s="804"/>
      <c r="J729" s="830"/>
      <c r="K729" s="830"/>
      <c r="L729" s="830"/>
      <c r="M729" s="627"/>
      <c r="N729" s="342" t="s">
        <v>1624</v>
      </c>
      <c r="O729" s="340" t="s">
        <v>1625</v>
      </c>
      <c r="P729" s="76" t="s">
        <v>36</v>
      </c>
      <c r="Q729" s="347">
        <v>44.801580000000001</v>
      </c>
      <c r="R729" s="347">
        <v>44.801580000000001</v>
      </c>
      <c r="S729" s="94" t="s">
        <v>1226</v>
      </c>
      <c r="T729" s="325">
        <f>32450.68/10000</f>
        <v>3.2450679999999998</v>
      </c>
      <c r="U729" s="18">
        <f>T729/Q729</f>
        <v>7.2431999050033502E-2</v>
      </c>
      <c r="V729" s="576"/>
      <c r="W729" s="576"/>
      <c r="X729" s="579"/>
      <c r="Y729" s="579"/>
      <c r="Z729" s="342" t="s">
        <v>43</v>
      </c>
      <c r="AA729" s="98"/>
    </row>
    <row r="730" spans="1:27" ht="48">
      <c r="A730" s="475"/>
      <c r="B730" s="824"/>
      <c r="C730" s="827"/>
      <c r="D730" s="837"/>
      <c r="E730" s="840"/>
      <c r="F730" s="827"/>
      <c r="G730" s="814"/>
      <c r="H730" s="815"/>
      <c r="I730" s="804"/>
      <c r="J730" s="830"/>
      <c r="K730" s="830"/>
      <c r="L730" s="830"/>
      <c r="M730" s="627"/>
      <c r="N730" s="342" t="s">
        <v>1626</v>
      </c>
      <c r="O730" s="340" t="s">
        <v>1627</v>
      </c>
      <c r="P730" s="76" t="s">
        <v>36</v>
      </c>
      <c r="Q730" s="347">
        <v>17.566800000000001</v>
      </c>
      <c r="R730" s="347">
        <v>17.566800000000001</v>
      </c>
      <c r="S730" s="94"/>
      <c r="T730" s="325"/>
      <c r="U730" s="18"/>
      <c r="V730" s="576"/>
      <c r="W730" s="576"/>
      <c r="X730" s="579"/>
      <c r="Y730" s="579"/>
      <c r="Z730" s="342" t="s">
        <v>43</v>
      </c>
      <c r="AA730" s="98"/>
    </row>
    <row r="731" spans="1:27" ht="132">
      <c r="A731" s="475"/>
      <c r="B731" s="824"/>
      <c r="C731" s="827"/>
      <c r="D731" s="837"/>
      <c r="E731" s="840"/>
      <c r="F731" s="827"/>
      <c r="G731" s="814"/>
      <c r="H731" s="815"/>
      <c r="I731" s="804"/>
      <c r="J731" s="830"/>
      <c r="K731" s="830"/>
      <c r="L731" s="830"/>
      <c r="M731" s="627"/>
      <c r="N731" s="342" t="s">
        <v>1622</v>
      </c>
      <c r="O731" s="340" t="s">
        <v>1628</v>
      </c>
      <c r="P731" s="76" t="s">
        <v>36</v>
      </c>
      <c r="Q731" s="347">
        <v>79.819999999999993</v>
      </c>
      <c r="R731" s="347">
        <v>79.819999999999993</v>
      </c>
      <c r="S731" s="342"/>
      <c r="T731" s="325"/>
      <c r="U731" s="18"/>
      <c r="V731" s="576"/>
      <c r="W731" s="576"/>
      <c r="X731" s="579"/>
      <c r="Y731" s="579"/>
      <c r="Z731" s="342" t="s">
        <v>43</v>
      </c>
      <c r="AA731" s="98"/>
    </row>
    <row r="732" spans="1:27" ht="120">
      <c r="A732" s="475"/>
      <c r="B732" s="825"/>
      <c r="C732" s="828"/>
      <c r="D732" s="838"/>
      <c r="E732" s="841"/>
      <c r="F732" s="828"/>
      <c r="G732" s="816"/>
      <c r="H732" s="817"/>
      <c r="I732" s="805"/>
      <c r="J732" s="831"/>
      <c r="K732" s="831"/>
      <c r="L732" s="831"/>
      <c r="M732" s="628"/>
      <c r="N732" s="342" t="s">
        <v>1622</v>
      </c>
      <c r="O732" s="340" t="s">
        <v>1629</v>
      </c>
      <c r="P732" s="76" t="s">
        <v>36</v>
      </c>
      <c r="Q732" s="347">
        <v>131.30000000000001</v>
      </c>
      <c r="R732" s="347">
        <v>131.30000000000001</v>
      </c>
      <c r="S732" s="342"/>
      <c r="T732" s="325"/>
      <c r="U732" s="18"/>
      <c r="V732" s="577"/>
      <c r="W732" s="577"/>
      <c r="X732" s="580"/>
      <c r="Y732" s="580"/>
      <c r="Z732" s="342" t="s">
        <v>43</v>
      </c>
      <c r="AA732" s="98"/>
    </row>
    <row r="733" spans="1:27">
      <c r="A733" s="475"/>
      <c r="B733" s="800">
        <v>4</v>
      </c>
      <c r="C733" s="803" t="s">
        <v>1630</v>
      </c>
      <c r="D733" s="844">
        <v>69005</v>
      </c>
      <c r="E733" s="839" t="s">
        <v>2273</v>
      </c>
      <c r="F733" s="647" t="s">
        <v>39</v>
      </c>
      <c r="G733" s="626">
        <v>199.11</v>
      </c>
      <c r="H733" s="626">
        <v>9.98</v>
      </c>
      <c r="I733" s="647" t="s">
        <v>783</v>
      </c>
      <c r="J733" s="626">
        <v>60.88</v>
      </c>
      <c r="K733" s="626"/>
      <c r="L733" s="626"/>
      <c r="M733" s="626">
        <f>J733+H733+G733</f>
        <v>269.97000000000003</v>
      </c>
      <c r="N733" s="94" t="s">
        <v>1631</v>
      </c>
      <c r="O733" s="94" t="s">
        <v>1632</v>
      </c>
      <c r="P733" s="76" t="s">
        <v>36</v>
      </c>
      <c r="Q733" s="95">
        <v>17</v>
      </c>
      <c r="R733" s="95">
        <v>30</v>
      </c>
      <c r="S733" s="647" t="s">
        <v>1633</v>
      </c>
      <c r="T733" s="626">
        <v>32.520000000000003</v>
      </c>
      <c r="U733" s="860">
        <f>T733/(Q733+Q734+Q735)</f>
        <v>0.60222222222222233</v>
      </c>
      <c r="V733" s="835">
        <f>SUM(Q733:Q736)</f>
        <v>72</v>
      </c>
      <c r="W733" s="835">
        <f>SUM(T733:T736)</f>
        <v>32.520000000000003</v>
      </c>
      <c r="X733" s="632">
        <f>W733/V733</f>
        <v>0.45166666666666672</v>
      </c>
      <c r="Y733" s="632">
        <f>W733/M733</f>
        <v>0.12045782864762751</v>
      </c>
      <c r="Z733" s="363" t="s">
        <v>548</v>
      </c>
      <c r="AA733" s="98"/>
    </row>
    <row r="734" spans="1:27">
      <c r="A734" s="475"/>
      <c r="B734" s="801"/>
      <c r="C734" s="804"/>
      <c r="D734" s="845"/>
      <c r="E734" s="840"/>
      <c r="F734" s="648"/>
      <c r="G734" s="627"/>
      <c r="H734" s="627"/>
      <c r="I734" s="648"/>
      <c r="J734" s="627"/>
      <c r="K734" s="627"/>
      <c r="L734" s="627"/>
      <c r="M734" s="627"/>
      <c r="N734" s="94" t="s">
        <v>1634</v>
      </c>
      <c r="O734" s="94" t="s">
        <v>1632</v>
      </c>
      <c r="P734" s="76" t="s">
        <v>36</v>
      </c>
      <c r="Q734" s="95">
        <v>22</v>
      </c>
      <c r="R734" s="95">
        <v>35</v>
      </c>
      <c r="S734" s="648"/>
      <c r="T734" s="627"/>
      <c r="U734" s="861"/>
      <c r="V734" s="630"/>
      <c r="W734" s="630"/>
      <c r="X734" s="633"/>
      <c r="Y734" s="633"/>
      <c r="Z734" s="363" t="s">
        <v>548</v>
      </c>
      <c r="AA734" s="98"/>
    </row>
    <row r="735" spans="1:27">
      <c r="A735" s="475"/>
      <c r="B735" s="801"/>
      <c r="C735" s="804"/>
      <c r="D735" s="845"/>
      <c r="E735" s="840"/>
      <c r="F735" s="648"/>
      <c r="G735" s="627"/>
      <c r="H735" s="627"/>
      <c r="I735" s="648"/>
      <c r="J735" s="627"/>
      <c r="K735" s="627"/>
      <c r="L735" s="627"/>
      <c r="M735" s="627"/>
      <c r="N735" s="94" t="s">
        <v>1635</v>
      </c>
      <c r="O735" s="94" t="s">
        <v>1632</v>
      </c>
      <c r="P735" s="76" t="s">
        <v>36</v>
      </c>
      <c r="Q735" s="95">
        <v>15</v>
      </c>
      <c r="R735" s="95">
        <v>30</v>
      </c>
      <c r="S735" s="649"/>
      <c r="T735" s="628"/>
      <c r="U735" s="862"/>
      <c r="V735" s="630"/>
      <c r="W735" s="630"/>
      <c r="X735" s="633"/>
      <c r="Y735" s="633"/>
      <c r="Z735" s="363" t="s">
        <v>548</v>
      </c>
      <c r="AA735" s="98"/>
    </row>
    <row r="736" spans="1:27" ht="15" hidden="1" customHeight="1">
      <c r="A736" s="475"/>
      <c r="B736" s="802"/>
      <c r="C736" s="805"/>
      <c r="D736" s="846"/>
      <c r="E736" s="841"/>
      <c r="F736" s="649"/>
      <c r="G736" s="628"/>
      <c r="H736" s="628"/>
      <c r="I736" s="649"/>
      <c r="J736" s="628"/>
      <c r="K736" s="628"/>
      <c r="L736" s="628"/>
      <c r="M736" s="628"/>
      <c r="N736" s="94" t="s">
        <v>1555</v>
      </c>
      <c r="O736" s="94" t="s">
        <v>1636</v>
      </c>
      <c r="P736" s="76" t="s">
        <v>27</v>
      </c>
      <c r="Q736" s="95">
        <v>18</v>
      </c>
      <c r="R736" s="95">
        <v>18</v>
      </c>
      <c r="S736" s="327"/>
      <c r="T736" s="324"/>
      <c r="U736" s="363"/>
      <c r="V736" s="631"/>
      <c r="W736" s="631"/>
      <c r="X736" s="634"/>
      <c r="Y736" s="634"/>
      <c r="Z736" s="363" t="s">
        <v>548</v>
      </c>
      <c r="AA736" s="98"/>
    </row>
    <row r="737" spans="1:27" ht="84" hidden="1" customHeight="1">
      <c r="A737" s="475"/>
      <c r="B737" s="800">
        <v>5</v>
      </c>
      <c r="C737" s="803" t="s">
        <v>1637</v>
      </c>
      <c r="D737" s="844">
        <v>50917.5</v>
      </c>
      <c r="E737" s="839" t="s">
        <v>2273</v>
      </c>
      <c r="F737" s="803" t="s">
        <v>1638</v>
      </c>
      <c r="G737" s="832">
        <v>146.67410000000001</v>
      </c>
      <c r="H737" s="832">
        <v>9.9760000000000009</v>
      </c>
      <c r="I737" s="610" t="s">
        <v>783</v>
      </c>
      <c r="J737" s="832">
        <v>44.895606000000001</v>
      </c>
      <c r="K737" s="832"/>
      <c r="L737" s="832"/>
      <c r="M737" s="832">
        <f t="shared" ref="M737" si="60">SUM(G737,H737,J737,L737)</f>
        <v>201.545706</v>
      </c>
      <c r="N737" s="342" t="s">
        <v>1639</v>
      </c>
      <c r="O737" s="342" t="s">
        <v>1640</v>
      </c>
      <c r="P737" s="76" t="s">
        <v>27</v>
      </c>
      <c r="Q737" s="347">
        <v>2</v>
      </c>
      <c r="R737" s="347">
        <v>4</v>
      </c>
      <c r="S737" s="137"/>
      <c r="T737" s="129"/>
      <c r="U737" s="266"/>
      <c r="V737" s="855">
        <f>SUM(Q737:Q749)</f>
        <v>255.36849999999998</v>
      </c>
      <c r="W737" s="855">
        <f>SUM(T737:T749)</f>
        <v>9.5185999999999993</v>
      </c>
      <c r="X737" s="847">
        <f>W737/V737</f>
        <v>3.7273978583889554E-2</v>
      </c>
      <c r="Y737" s="847">
        <f>W737/M737</f>
        <v>4.7227997008281584E-2</v>
      </c>
      <c r="Z737" s="363" t="s">
        <v>548</v>
      </c>
      <c r="AA737" s="98"/>
    </row>
    <row r="738" spans="1:27" ht="72" hidden="1" customHeight="1">
      <c r="A738" s="475"/>
      <c r="B738" s="801"/>
      <c r="C738" s="804"/>
      <c r="D738" s="845"/>
      <c r="E738" s="840"/>
      <c r="F738" s="804"/>
      <c r="G738" s="833"/>
      <c r="H738" s="833"/>
      <c r="I738" s="858"/>
      <c r="J738" s="833"/>
      <c r="K738" s="833"/>
      <c r="L738" s="833"/>
      <c r="M738" s="833"/>
      <c r="N738" s="267" t="s">
        <v>1641</v>
      </c>
      <c r="O738" s="342" t="s">
        <v>1642</v>
      </c>
      <c r="P738" s="76" t="s">
        <v>27</v>
      </c>
      <c r="Q738" s="347">
        <v>2</v>
      </c>
      <c r="R738" s="347">
        <v>4</v>
      </c>
      <c r="S738" s="137"/>
      <c r="T738" s="129"/>
      <c r="U738" s="266"/>
      <c r="V738" s="856"/>
      <c r="W738" s="856"/>
      <c r="X738" s="848"/>
      <c r="Y738" s="848"/>
      <c r="Z738" s="94" t="s">
        <v>548</v>
      </c>
      <c r="AA738" s="98"/>
    </row>
    <row r="739" spans="1:27" ht="84">
      <c r="A739" s="475"/>
      <c r="B739" s="801"/>
      <c r="C739" s="804"/>
      <c r="D739" s="845"/>
      <c r="E739" s="840"/>
      <c r="F739" s="804"/>
      <c r="G739" s="833"/>
      <c r="H739" s="833"/>
      <c r="I739" s="858"/>
      <c r="J739" s="833"/>
      <c r="K739" s="833"/>
      <c r="L739" s="833"/>
      <c r="M739" s="833"/>
      <c r="N739" s="267" t="s">
        <v>1641</v>
      </c>
      <c r="O739" s="342" t="s">
        <v>1643</v>
      </c>
      <c r="P739" s="76" t="s">
        <v>36</v>
      </c>
      <c r="Q739" s="347">
        <v>16</v>
      </c>
      <c r="R739" s="347">
        <v>20</v>
      </c>
      <c r="S739" s="95"/>
      <c r="T739" s="136"/>
      <c r="U739" s="231"/>
      <c r="V739" s="856"/>
      <c r="W739" s="856"/>
      <c r="X739" s="848"/>
      <c r="Y739" s="848"/>
      <c r="Z739" s="94" t="s">
        <v>548</v>
      </c>
      <c r="AA739" s="98"/>
    </row>
    <row r="740" spans="1:27" ht="36" hidden="1" customHeight="1">
      <c r="A740" s="475"/>
      <c r="B740" s="801"/>
      <c r="C740" s="804"/>
      <c r="D740" s="845"/>
      <c r="E740" s="840"/>
      <c r="F740" s="804"/>
      <c r="G740" s="833"/>
      <c r="H740" s="833"/>
      <c r="I740" s="858"/>
      <c r="J740" s="833"/>
      <c r="K740" s="833"/>
      <c r="L740" s="833"/>
      <c r="M740" s="833"/>
      <c r="N740" s="342" t="s">
        <v>1158</v>
      </c>
      <c r="O740" s="342" t="s">
        <v>1644</v>
      </c>
      <c r="P740" s="76" t="s">
        <v>27</v>
      </c>
      <c r="Q740" s="347">
        <v>16.77</v>
      </c>
      <c r="R740" s="347">
        <v>20</v>
      </c>
      <c r="S740" s="95"/>
      <c r="T740" s="136"/>
      <c r="U740" s="231"/>
      <c r="V740" s="856"/>
      <c r="W740" s="856"/>
      <c r="X740" s="848"/>
      <c r="Y740" s="848"/>
      <c r="Z740" s="94" t="s">
        <v>548</v>
      </c>
      <c r="AA740" s="98"/>
    </row>
    <row r="741" spans="1:27" ht="72" hidden="1" customHeight="1">
      <c r="A741" s="475"/>
      <c r="B741" s="801"/>
      <c r="C741" s="804"/>
      <c r="D741" s="845"/>
      <c r="E741" s="840"/>
      <c r="F741" s="804"/>
      <c r="G741" s="833"/>
      <c r="H741" s="833"/>
      <c r="I741" s="858"/>
      <c r="J741" s="833"/>
      <c r="K741" s="833"/>
      <c r="L741" s="833"/>
      <c r="M741" s="833"/>
      <c r="N741" s="342" t="s">
        <v>1645</v>
      </c>
      <c r="O741" s="342" t="s">
        <v>1646</v>
      </c>
      <c r="P741" s="76" t="s">
        <v>27</v>
      </c>
      <c r="Q741" s="347">
        <v>4</v>
      </c>
      <c r="R741" s="347">
        <v>10</v>
      </c>
      <c r="S741" s="95"/>
      <c r="T741" s="136"/>
      <c r="U741" s="231"/>
      <c r="V741" s="856"/>
      <c r="W741" s="856"/>
      <c r="X741" s="848"/>
      <c r="Y741" s="848"/>
      <c r="Z741" s="94" t="s">
        <v>548</v>
      </c>
      <c r="AA741" s="98"/>
    </row>
    <row r="742" spans="1:27" ht="48" hidden="1" customHeight="1">
      <c r="A742" s="475"/>
      <c r="B742" s="801"/>
      <c r="C742" s="804"/>
      <c r="D742" s="845"/>
      <c r="E742" s="840"/>
      <c r="F742" s="804"/>
      <c r="G742" s="833"/>
      <c r="H742" s="833"/>
      <c r="I742" s="858"/>
      <c r="J742" s="833"/>
      <c r="K742" s="833"/>
      <c r="L742" s="833"/>
      <c r="M742" s="833"/>
      <c r="N742" s="268" t="s">
        <v>1647</v>
      </c>
      <c r="O742" s="342" t="s">
        <v>1648</v>
      </c>
      <c r="P742" s="76" t="s">
        <v>27</v>
      </c>
      <c r="Q742" s="347">
        <v>0.2</v>
      </c>
      <c r="R742" s="347">
        <v>2</v>
      </c>
      <c r="S742" s="95"/>
      <c r="T742" s="136"/>
      <c r="U742" s="231"/>
      <c r="V742" s="856"/>
      <c r="W742" s="856"/>
      <c r="X742" s="848"/>
      <c r="Y742" s="848"/>
      <c r="Z742" s="94" t="s">
        <v>548</v>
      </c>
      <c r="AA742" s="98"/>
    </row>
    <row r="743" spans="1:27" ht="48" hidden="1" customHeight="1">
      <c r="A743" s="475"/>
      <c r="B743" s="801"/>
      <c r="C743" s="804"/>
      <c r="D743" s="845"/>
      <c r="E743" s="840"/>
      <c r="F743" s="804"/>
      <c r="G743" s="833"/>
      <c r="H743" s="833"/>
      <c r="I743" s="858"/>
      <c r="J743" s="833"/>
      <c r="K743" s="833"/>
      <c r="L743" s="833"/>
      <c r="M743" s="833"/>
      <c r="N743" s="359" t="s">
        <v>1649</v>
      </c>
      <c r="O743" s="359" t="s">
        <v>1650</v>
      </c>
      <c r="P743" s="76" t="s">
        <v>27</v>
      </c>
      <c r="Q743" s="347">
        <v>1.5</v>
      </c>
      <c r="R743" s="347">
        <v>3.5</v>
      </c>
      <c r="S743" s="95"/>
      <c r="T743" s="136"/>
      <c r="U743" s="231"/>
      <c r="V743" s="856"/>
      <c r="W743" s="856"/>
      <c r="X743" s="848"/>
      <c r="Y743" s="848"/>
      <c r="Z743" s="94" t="s">
        <v>548</v>
      </c>
      <c r="AA743" s="98"/>
    </row>
    <row r="744" spans="1:27" ht="60" hidden="1" customHeight="1">
      <c r="A744" s="475"/>
      <c r="B744" s="801"/>
      <c r="C744" s="804"/>
      <c r="D744" s="845"/>
      <c r="E744" s="840"/>
      <c r="F744" s="804"/>
      <c r="G744" s="833"/>
      <c r="H744" s="833"/>
      <c r="I744" s="858"/>
      <c r="J744" s="833"/>
      <c r="K744" s="833"/>
      <c r="L744" s="833"/>
      <c r="M744" s="833"/>
      <c r="N744" s="342" t="s">
        <v>1235</v>
      </c>
      <c r="O744" s="342" t="s">
        <v>1651</v>
      </c>
      <c r="P744" s="76" t="s">
        <v>27</v>
      </c>
      <c r="Q744" s="347">
        <v>12.69</v>
      </c>
      <c r="R744" s="347">
        <v>10</v>
      </c>
      <c r="S744" s="95"/>
      <c r="T744" s="136"/>
      <c r="U744" s="231"/>
      <c r="V744" s="856"/>
      <c r="W744" s="856"/>
      <c r="X744" s="848"/>
      <c r="Y744" s="848"/>
      <c r="Z744" s="94" t="s">
        <v>548</v>
      </c>
      <c r="AA744" s="98"/>
    </row>
    <row r="745" spans="1:27" ht="36">
      <c r="A745" s="475"/>
      <c r="B745" s="801"/>
      <c r="C745" s="804"/>
      <c r="D745" s="845"/>
      <c r="E745" s="840"/>
      <c r="F745" s="804"/>
      <c r="G745" s="833"/>
      <c r="H745" s="833"/>
      <c r="I745" s="858"/>
      <c r="J745" s="833"/>
      <c r="K745" s="833"/>
      <c r="L745" s="833"/>
      <c r="M745" s="833"/>
      <c r="N745" s="342" t="s">
        <v>1652</v>
      </c>
      <c r="O745" s="342" t="s">
        <v>1653</v>
      </c>
      <c r="P745" s="76" t="s">
        <v>36</v>
      </c>
      <c r="Q745" s="347">
        <v>45</v>
      </c>
      <c r="R745" s="347">
        <v>45</v>
      </c>
      <c r="S745" s="95" t="s">
        <v>85</v>
      </c>
      <c r="T745" s="136">
        <v>3.0188999999999999</v>
      </c>
      <c r="U745" s="231">
        <v>6.7086666666666697E-2</v>
      </c>
      <c r="V745" s="856"/>
      <c r="W745" s="856"/>
      <c r="X745" s="848"/>
      <c r="Y745" s="848"/>
      <c r="Z745" s="94" t="s">
        <v>548</v>
      </c>
      <c r="AA745" s="98"/>
    </row>
    <row r="746" spans="1:27" ht="48">
      <c r="A746" s="475"/>
      <c r="B746" s="801"/>
      <c r="C746" s="804"/>
      <c r="D746" s="845"/>
      <c r="E746" s="840"/>
      <c r="F746" s="804"/>
      <c r="G746" s="833"/>
      <c r="H746" s="833"/>
      <c r="I746" s="858"/>
      <c r="J746" s="833"/>
      <c r="K746" s="833"/>
      <c r="L746" s="833"/>
      <c r="M746" s="833"/>
      <c r="N746" s="342" t="s">
        <v>1654</v>
      </c>
      <c r="O746" s="342" t="s">
        <v>1655</v>
      </c>
      <c r="P746" s="76" t="s">
        <v>36</v>
      </c>
      <c r="Q746" s="347">
        <v>1.9597</v>
      </c>
      <c r="R746" s="347">
        <v>10</v>
      </c>
      <c r="S746" s="95" t="s">
        <v>789</v>
      </c>
      <c r="T746" s="136">
        <v>0.70830000000000004</v>
      </c>
      <c r="U746" s="231">
        <v>0.36143287237842497</v>
      </c>
      <c r="V746" s="856"/>
      <c r="W746" s="856"/>
      <c r="X746" s="848"/>
      <c r="Y746" s="848"/>
      <c r="Z746" s="94" t="s">
        <v>548</v>
      </c>
      <c r="AA746" s="98"/>
    </row>
    <row r="747" spans="1:27" ht="24">
      <c r="A747" s="475"/>
      <c r="B747" s="801"/>
      <c r="C747" s="804"/>
      <c r="D747" s="845"/>
      <c r="E747" s="840"/>
      <c r="F747" s="804"/>
      <c r="G747" s="833"/>
      <c r="H747" s="833"/>
      <c r="I747" s="858"/>
      <c r="J747" s="833"/>
      <c r="K747" s="833"/>
      <c r="L747" s="833"/>
      <c r="M747" s="833"/>
      <c r="N747" s="342" t="s">
        <v>1656</v>
      </c>
      <c r="O747" s="342" t="s">
        <v>1657</v>
      </c>
      <c r="P747" s="76" t="s">
        <v>36</v>
      </c>
      <c r="Q747" s="347">
        <v>2.2187999999999999</v>
      </c>
      <c r="R747" s="347">
        <v>10</v>
      </c>
      <c r="S747" s="95" t="s">
        <v>789</v>
      </c>
      <c r="T747" s="136">
        <v>5.7914000000000003</v>
      </c>
      <c r="U747" s="231">
        <v>2.6101496304308598</v>
      </c>
      <c r="V747" s="856"/>
      <c r="W747" s="856"/>
      <c r="X747" s="848"/>
      <c r="Y747" s="848"/>
      <c r="Z747" s="94" t="s">
        <v>548</v>
      </c>
      <c r="AA747" s="98"/>
    </row>
    <row r="748" spans="1:27" ht="72" hidden="1" customHeight="1">
      <c r="A748" s="475"/>
      <c r="B748" s="801"/>
      <c r="C748" s="804"/>
      <c r="D748" s="845"/>
      <c r="E748" s="840"/>
      <c r="F748" s="804"/>
      <c r="G748" s="833"/>
      <c r="H748" s="833"/>
      <c r="I748" s="858"/>
      <c r="J748" s="833"/>
      <c r="K748" s="833"/>
      <c r="L748" s="833"/>
      <c r="M748" s="833"/>
      <c r="N748" s="269" t="s">
        <v>831</v>
      </c>
      <c r="O748" s="332" t="s">
        <v>1658</v>
      </c>
      <c r="P748" s="76" t="s">
        <v>27</v>
      </c>
      <c r="Q748" s="102">
        <v>1.03</v>
      </c>
      <c r="R748" s="102">
        <v>4</v>
      </c>
      <c r="S748" s="105"/>
      <c r="T748" s="104"/>
      <c r="U748" s="112"/>
      <c r="V748" s="856"/>
      <c r="W748" s="856"/>
      <c r="X748" s="848"/>
      <c r="Y748" s="848"/>
      <c r="Z748" s="94" t="s">
        <v>548</v>
      </c>
      <c r="AA748" s="98"/>
    </row>
    <row r="749" spans="1:27" ht="36" hidden="1" customHeight="1">
      <c r="A749" s="475"/>
      <c r="B749" s="802"/>
      <c r="C749" s="805"/>
      <c r="D749" s="846"/>
      <c r="E749" s="841"/>
      <c r="F749" s="805"/>
      <c r="G749" s="834"/>
      <c r="H749" s="834"/>
      <c r="I749" s="859"/>
      <c r="J749" s="834"/>
      <c r="K749" s="834"/>
      <c r="L749" s="834"/>
      <c r="M749" s="834"/>
      <c r="N749" s="269" t="s">
        <v>1659</v>
      </c>
      <c r="O749" s="332" t="s">
        <v>1660</v>
      </c>
      <c r="P749" s="76" t="s">
        <v>27</v>
      </c>
      <c r="Q749" s="102">
        <v>150</v>
      </c>
      <c r="R749" s="102">
        <v>60</v>
      </c>
      <c r="S749" s="105"/>
      <c r="T749" s="104"/>
      <c r="U749" s="112"/>
      <c r="V749" s="857"/>
      <c r="W749" s="857"/>
      <c r="X749" s="849"/>
      <c r="Y749" s="849"/>
      <c r="Z749" s="94" t="s">
        <v>548</v>
      </c>
      <c r="AA749" s="98"/>
    </row>
    <row r="750" spans="1:27">
      <c r="A750" s="475"/>
      <c r="B750" s="270">
        <v>6</v>
      </c>
      <c r="C750" s="342" t="s">
        <v>1661</v>
      </c>
      <c r="D750" s="426">
        <v>34500</v>
      </c>
      <c r="E750" s="427" t="s">
        <v>2274</v>
      </c>
      <c r="F750" s="342" t="s">
        <v>242</v>
      </c>
      <c r="G750" s="850"/>
      <c r="H750" s="851"/>
      <c r="I750" s="342" t="s">
        <v>255</v>
      </c>
      <c r="J750" s="325">
        <v>34.5</v>
      </c>
      <c r="K750" s="325"/>
      <c r="L750" s="325"/>
      <c r="M750" s="325">
        <f>SUM(G750,H750,J750,L750)</f>
        <v>34.5</v>
      </c>
      <c r="N750" s="342" t="s">
        <v>1662</v>
      </c>
      <c r="O750" s="342" t="s">
        <v>1663</v>
      </c>
      <c r="P750" s="76" t="s">
        <v>36</v>
      </c>
      <c r="Q750" s="347">
        <v>52.9</v>
      </c>
      <c r="R750" s="347">
        <v>52.9</v>
      </c>
      <c r="S750" s="342">
        <v>2015.04</v>
      </c>
      <c r="T750" s="325">
        <v>11.37</v>
      </c>
      <c r="U750" s="18">
        <f>T750/Q750</f>
        <v>0.21493383742911151</v>
      </c>
      <c r="V750" s="11">
        <f>Q750</f>
        <v>52.9</v>
      </c>
      <c r="W750" s="11">
        <f>T750</f>
        <v>11.37</v>
      </c>
      <c r="X750" s="46">
        <f>W750/V750</f>
        <v>0.21493383742911151</v>
      </c>
      <c r="Y750" s="46">
        <f>W750/M750</f>
        <v>0.32956521739130434</v>
      </c>
      <c r="Z750" s="342" t="s">
        <v>381</v>
      </c>
      <c r="AA750" s="98"/>
    </row>
    <row r="751" spans="1:27" ht="24" hidden="1" customHeight="1">
      <c r="A751" s="475"/>
      <c r="B751" s="271">
        <v>7</v>
      </c>
      <c r="C751" s="134" t="s">
        <v>1664</v>
      </c>
      <c r="D751" s="426">
        <v>17600</v>
      </c>
      <c r="E751" s="427" t="s">
        <v>2275</v>
      </c>
      <c r="F751" s="134" t="s">
        <v>372</v>
      </c>
      <c r="G751" s="135">
        <v>34.6066</v>
      </c>
      <c r="H751" s="135">
        <v>0.35</v>
      </c>
      <c r="I751" s="134" t="s">
        <v>1665</v>
      </c>
      <c r="J751" s="135">
        <v>27.38</v>
      </c>
      <c r="K751" s="135"/>
      <c r="L751" s="135"/>
      <c r="M751" s="135">
        <f>SUM(G751,H751,J751,L751)</f>
        <v>62.336600000000004</v>
      </c>
      <c r="N751" s="134"/>
      <c r="O751" s="134"/>
      <c r="P751" s="134"/>
      <c r="Q751" s="255"/>
      <c r="R751" s="255"/>
      <c r="S751" s="134"/>
      <c r="T751" s="135"/>
      <c r="U751" s="272"/>
      <c r="V751" s="273"/>
      <c r="W751" s="273"/>
      <c r="X751" s="273"/>
      <c r="Y751" s="273"/>
      <c r="Z751" s="134" t="s">
        <v>1021</v>
      </c>
      <c r="AA751" s="98"/>
    </row>
    <row r="752" spans="1:27" ht="36">
      <c r="A752" s="475"/>
      <c r="B752" s="801">
        <v>8</v>
      </c>
      <c r="C752" s="804" t="s">
        <v>2025</v>
      </c>
      <c r="D752" s="852">
        <v>61658.04</v>
      </c>
      <c r="E752" s="839" t="s">
        <v>2276</v>
      </c>
      <c r="F752" s="804" t="s">
        <v>1666</v>
      </c>
      <c r="G752" s="814">
        <v>270.27</v>
      </c>
      <c r="H752" s="815"/>
      <c r="I752" s="804" t="s">
        <v>1667</v>
      </c>
      <c r="J752" s="833">
        <v>75</v>
      </c>
      <c r="K752" s="833"/>
      <c r="L752" s="833"/>
      <c r="M752" s="833">
        <f>G752+J752</f>
        <v>345.27</v>
      </c>
      <c r="N752" s="274" t="s">
        <v>137</v>
      </c>
      <c r="O752" s="359" t="s">
        <v>1668</v>
      </c>
      <c r="P752" s="76" t="s">
        <v>36</v>
      </c>
      <c r="Q752" s="347">
        <v>11</v>
      </c>
      <c r="R752" s="347">
        <v>107.7</v>
      </c>
      <c r="S752" s="11"/>
      <c r="T752" s="325"/>
      <c r="U752" s="18"/>
      <c r="V752" s="822">
        <f>SUM(Q752:Q758)</f>
        <v>712.45</v>
      </c>
      <c r="W752" s="822">
        <f>SUM(T752:T758)</f>
        <v>62</v>
      </c>
      <c r="X752" s="578">
        <f>W752/V752</f>
        <v>8.702365078251105E-2</v>
      </c>
      <c r="Y752" s="578">
        <f>W752/M752</f>
        <v>0.17956961218756337</v>
      </c>
      <c r="Z752" s="342" t="s">
        <v>671</v>
      </c>
      <c r="AA752" s="98"/>
    </row>
    <row r="753" spans="1:27" ht="48">
      <c r="A753" s="475"/>
      <c r="B753" s="801"/>
      <c r="C753" s="804"/>
      <c r="D753" s="853"/>
      <c r="E753" s="840"/>
      <c r="F753" s="804"/>
      <c r="G753" s="814"/>
      <c r="H753" s="815"/>
      <c r="I753" s="804"/>
      <c r="J753" s="833"/>
      <c r="K753" s="833"/>
      <c r="L753" s="833"/>
      <c r="M753" s="833"/>
      <c r="N753" s="274" t="s">
        <v>1132</v>
      </c>
      <c r="O753" s="359" t="s">
        <v>1669</v>
      </c>
      <c r="P753" s="76" t="s">
        <v>36</v>
      </c>
      <c r="Q753" s="347">
        <v>50</v>
      </c>
      <c r="R753" s="347">
        <v>460.6</v>
      </c>
      <c r="S753" s="11"/>
      <c r="T753" s="325"/>
      <c r="U753" s="18"/>
      <c r="V753" s="576"/>
      <c r="W753" s="576"/>
      <c r="X753" s="579"/>
      <c r="Y753" s="579"/>
      <c r="Z753" s="342" t="s">
        <v>671</v>
      </c>
      <c r="AA753" s="98"/>
    </row>
    <row r="754" spans="1:27" ht="48">
      <c r="A754" s="475"/>
      <c r="B754" s="801"/>
      <c r="C754" s="804"/>
      <c r="D754" s="853"/>
      <c r="E754" s="840"/>
      <c r="F754" s="804"/>
      <c r="G754" s="814"/>
      <c r="H754" s="815"/>
      <c r="I754" s="804"/>
      <c r="J754" s="833"/>
      <c r="K754" s="833"/>
      <c r="L754" s="833"/>
      <c r="M754" s="833"/>
      <c r="N754" s="274" t="s">
        <v>1670</v>
      </c>
      <c r="O754" s="359" t="s">
        <v>1671</v>
      </c>
      <c r="P754" s="76" t="s">
        <v>36</v>
      </c>
      <c r="Q754" s="347">
        <v>600</v>
      </c>
      <c r="R754" s="347">
        <v>600</v>
      </c>
      <c r="S754" s="11"/>
      <c r="T754" s="325"/>
      <c r="U754" s="18"/>
      <c r="V754" s="576"/>
      <c r="W754" s="576"/>
      <c r="X754" s="579"/>
      <c r="Y754" s="579"/>
      <c r="Z754" s="342" t="s">
        <v>671</v>
      </c>
      <c r="AA754" s="98"/>
    </row>
    <row r="755" spans="1:27" ht="24" hidden="1" customHeight="1">
      <c r="A755" s="475"/>
      <c r="B755" s="801"/>
      <c r="C755" s="804"/>
      <c r="D755" s="853"/>
      <c r="E755" s="840"/>
      <c r="F755" s="804"/>
      <c r="G755" s="814"/>
      <c r="H755" s="815"/>
      <c r="I755" s="804"/>
      <c r="J755" s="833"/>
      <c r="K755" s="833"/>
      <c r="L755" s="833"/>
      <c r="M755" s="833"/>
      <c r="N755" s="274" t="s">
        <v>751</v>
      </c>
      <c r="O755" s="359" t="s">
        <v>1672</v>
      </c>
      <c r="P755" s="76" t="s">
        <v>27</v>
      </c>
      <c r="Q755" s="347">
        <v>1.25</v>
      </c>
      <c r="R755" s="347">
        <v>3.25</v>
      </c>
      <c r="S755" s="132" t="s">
        <v>1673</v>
      </c>
      <c r="T755" s="325">
        <v>2</v>
      </c>
      <c r="U755" s="18">
        <v>1.6</v>
      </c>
      <c r="V755" s="576"/>
      <c r="W755" s="576"/>
      <c r="X755" s="579"/>
      <c r="Y755" s="579"/>
      <c r="Z755" s="342" t="s">
        <v>671</v>
      </c>
      <c r="AA755" s="98"/>
    </row>
    <row r="756" spans="1:27" ht="36" hidden="1" customHeight="1">
      <c r="A756" s="475"/>
      <c r="B756" s="801"/>
      <c r="C756" s="804"/>
      <c r="D756" s="853"/>
      <c r="E756" s="840"/>
      <c r="F756" s="804"/>
      <c r="G756" s="814"/>
      <c r="H756" s="815"/>
      <c r="I756" s="804"/>
      <c r="J756" s="833"/>
      <c r="K756" s="833"/>
      <c r="L756" s="833"/>
      <c r="M756" s="833">
        <f>G756+J756</f>
        <v>0</v>
      </c>
      <c r="N756" s="274" t="s">
        <v>1674</v>
      </c>
      <c r="O756" s="342" t="s">
        <v>1675</v>
      </c>
      <c r="P756" s="76" t="s">
        <v>27</v>
      </c>
      <c r="Q756" s="347">
        <v>50</v>
      </c>
      <c r="R756" s="347">
        <v>60</v>
      </c>
      <c r="S756" s="342" t="s">
        <v>1676</v>
      </c>
      <c r="T756" s="325">
        <v>60</v>
      </c>
      <c r="U756" s="18">
        <v>1.2</v>
      </c>
      <c r="V756" s="576"/>
      <c r="W756" s="576"/>
      <c r="X756" s="579"/>
      <c r="Y756" s="579"/>
      <c r="Z756" s="342" t="s">
        <v>671</v>
      </c>
      <c r="AA756" s="98"/>
    </row>
    <row r="757" spans="1:27" ht="24" hidden="1" customHeight="1">
      <c r="A757" s="475"/>
      <c r="B757" s="801"/>
      <c r="C757" s="804"/>
      <c r="D757" s="853"/>
      <c r="E757" s="840"/>
      <c r="F757" s="804"/>
      <c r="G757" s="814"/>
      <c r="H757" s="815"/>
      <c r="I757" s="804"/>
      <c r="J757" s="833"/>
      <c r="K757" s="833"/>
      <c r="L757" s="833"/>
      <c r="M757" s="833">
        <f>G757+J757</f>
        <v>0</v>
      </c>
      <c r="N757" s="274" t="s">
        <v>1677</v>
      </c>
      <c r="O757" s="342" t="s">
        <v>1678</v>
      </c>
      <c r="P757" s="76" t="s">
        <v>27</v>
      </c>
      <c r="Q757" s="347">
        <v>0.2</v>
      </c>
      <c r="R757" s="347">
        <v>0.8</v>
      </c>
      <c r="S757" s="342"/>
      <c r="T757" s="325"/>
      <c r="U757" s="18"/>
      <c r="V757" s="576"/>
      <c r="W757" s="576"/>
      <c r="X757" s="579"/>
      <c r="Y757" s="579"/>
      <c r="Z757" s="342" t="s">
        <v>671</v>
      </c>
      <c r="AA757" s="98"/>
    </row>
    <row r="758" spans="1:27" ht="36">
      <c r="A758" s="475"/>
      <c r="B758" s="802"/>
      <c r="C758" s="805"/>
      <c r="D758" s="854"/>
      <c r="E758" s="841"/>
      <c r="F758" s="805"/>
      <c r="G758" s="816"/>
      <c r="H758" s="817"/>
      <c r="I758" s="805"/>
      <c r="J758" s="834"/>
      <c r="K758" s="834"/>
      <c r="L758" s="834"/>
      <c r="M758" s="834">
        <f>G758+J758</f>
        <v>0</v>
      </c>
      <c r="N758" s="274" t="s">
        <v>1619</v>
      </c>
      <c r="O758" s="360" t="s">
        <v>1679</v>
      </c>
      <c r="P758" s="76" t="s">
        <v>36</v>
      </c>
      <c r="Q758" s="347"/>
      <c r="R758" s="347"/>
      <c r="S758" s="342"/>
      <c r="T758" s="325"/>
      <c r="U758" s="18"/>
      <c r="V758" s="577"/>
      <c r="W758" s="577"/>
      <c r="X758" s="580"/>
      <c r="Y758" s="580"/>
      <c r="Z758" s="342" t="s">
        <v>671</v>
      </c>
      <c r="AA758" s="98"/>
    </row>
    <row r="759" spans="1:27" ht="24" hidden="1" customHeight="1">
      <c r="A759" s="475"/>
      <c r="B759" s="800">
        <v>9</v>
      </c>
      <c r="C759" s="803" t="s">
        <v>2026</v>
      </c>
      <c r="D759" s="852">
        <v>63016.618999999999</v>
      </c>
      <c r="E759" s="839" t="s">
        <v>2276</v>
      </c>
      <c r="F759" s="803" t="s">
        <v>457</v>
      </c>
      <c r="G759" s="812">
        <v>277.92306300000001</v>
      </c>
      <c r="H759" s="813"/>
      <c r="I759" s="803" t="s">
        <v>457</v>
      </c>
      <c r="J759" s="832">
        <v>87</v>
      </c>
      <c r="K759" s="832"/>
      <c r="L759" s="832"/>
      <c r="M759" s="832">
        <f>SUM(G759,H759,J759,L759)</f>
        <v>364.92306300000001</v>
      </c>
      <c r="N759" s="342" t="s">
        <v>654</v>
      </c>
      <c r="O759" s="342" t="s">
        <v>1680</v>
      </c>
      <c r="P759" s="76" t="s">
        <v>27</v>
      </c>
      <c r="Q759" s="15">
        <v>2.5238</v>
      </c>
      <c r="R759" s="15">
        <v>3.4054000000000002</v>
      </c>
      <c r="S759" s="342" t="s">
        <v>1681</v>
      </c>
      <c r="T759" s="295">
        <v>2.2077</v>
      </c>
      <c r="U759" s="18">
        <f>T759/Q759</f>
        <v>0.87475235755606628</v>
      </c>
      <c r="V759" s="822">
        <f>SUM(Q759:Q770)</f>
        <v>599.04449999999997</v>
      </c>
      <c r="W759" s="822">
        <f>SUM(T759:T770)</f>
        <v>9.979749</v>
      </c>
      <c r="X759" s="578">
        <f>W759/V759</f>
        <v>1.6659445166427537E-2</v>
      </c>
      <c r="Y759" s="578">
        <f>W759/M759</f>
        <v>2.7347542569541569E-2</v>
      </c>
      <c r="Z759" s="342" t="s">
        <v>1495</v>
      </c>
      <c r="AA759" s="98"/>
    </row>
    <row r="760" spans="1:27" ht="36" hidden="1" customHeight="1">
      <c r="A760" s="475"/>
      <c r="B760" s="801"/>
      <c r="C760" s="842"/>
      <c r="D760" s="853"/>
      <c r="E760" s="840"/>
      <c r="F760" s="804"/>
      <c r="G760" s="814"/>
      <c r="H760" s="815"/>
      <c r="I760" s="804"/>
      <c r="J760" s="833"/>
      <c r="K760" s="833"/>
      <c r="L760" s="833"/>
      <c r="M760" s="833"/>
      <c r="N760" s="342" t="s">
        <v>1682</v>
      </c>
      <c r="O760" s="342" t="s">
        <v>1683</v>
      </c>
      <c r="P760" s="76" t="s">
        <v>27</v>
      </c>
      <c r="Q760" s="347">
        <v>2.6360000000000001</v>
      </c>
      <c r="R760" s="347">
        <v>3.0150000000000001</v>
      </c>
      <c r="S760" s="342" t="s">
        <v>651</v>
      </c>
      <c r="T760" s="325">
        <v>2.0360770000000001</v>
      </c>
      <c r="U760" s="18">
        <f>T760/Q760</f>
        <v>0.77241160849772383</v>
      </c>
      <c r="V760" s="576"/>
      <c r="W760" s="576"/>
      <c r="X760" s="579"/>
      <c r="Y760" s="579"/>
      <c r="Z760" s="342" t="s">
        <v>1495</v>
      </c>
      <c r="AA760" s="98"/>
    </row>
    <row r="761" spans="1:27" ht="36" hidden="1" customHeight="1">
      <c r="A761" s="475"/>
      <c r="B761" s="801"/>
      <c r="C761" s="842"/>
      <c r="D761" s="853"/>
      <c r="E761" s="840"/>
      <c r="F761" s="804"/>
      <c r="G761" s="814"/>
      <c r="H761" s="815"/>
      <c r="I761" s="804"/>
      <c r="J761" s="833"/>
      <c r="K761" s="833"/>
      <c r="L761" s="833"/>
      <c r="M761" s="833"/>
      <c r="N761" s="342" t="s">
        <v>1684</v>
      </c>
      <c r="O761" s="342" t="s">
        <v>1685</v>
      </c>
      <c r="P761" s="76" t="s">
        <v>27</v>
      </c>
      <c r="Q761" s="347">
        <v>4.6847000000000003</v>
      </c>
      <c r="R761" s="347">
        <v>5.1452</v>
      </c>
      <c r="S761" s="342" t="s">
        <v>1681</v>
      </c>
      <c r="T761" s="325">
        <v>4.4861000000000004</v>
      </c>
      <c r="U761" s="18">
        <f>T761/Q761</f>
        <v>0.95760667705509428</v>
      </c>
      <c r="V761" s="576"/>
      <c r="W761" s="576"/>
      <c r="X761" s="579"/>
      <c r="Y761" s="579"/>
      <c r="Z761" s="342" t="s">
        <v>1495</v>
      </c>
      <c r="AA761" s="98"/>
    </row>
    <row r="762" spans="1:27" ht="24" hidden="1" customHeight="1">
      <c r="A762" s="475"/>
      <c r="B762" s="801"/>
      <c r="C762" s="842"/>
      <c r="D762" s="853"/>
      <c r="E762" s="840"/>
      <c r="F762" s="804"/>
      <c r="G762" s="814"/>
      <c r="H762" s="815"/>
      <c r="I762" s="804"/>
      <c r="J762" s="833"/>
      <c r="K762" s="833"/>
      <c r="L762" s="833"/>
      <c r="M762" s="833"/>
      <c r="N762" s="342" t="s">
        <v>1686</v>
      </c>
      <c r="O762" s="342" t="s">
        <v>1687</v>
      </c>
      <c r="P762" s="76" t="s">
        <v>27</v>
      </c>
      <c r="Q762" s="347">
        <v>1.65</v>
      </c>
      <c r="R762" s="347">
        <v>2.0499999999999998</v>
      </c>
      <c r="S762" s="342" t="s">
        <v>1688</v>
      </c>
      <c r="T762" s="325">
        <v>1.2498720000000001</v>
      </c>
      <c r="U762" s="18">
        <f>T762/Q762</f>
        <v>0.75749818181818196</v>
      </c>
      <c r="V762" s="576"/>
      <c r="W762" s="576"/>
      <c r="X762" s="579"/>
      <c r="Y762" s="579"/>
      <c r="Z762" s="342" t="s">
        <v>1495</v>
      </c>
      <c r="AA762" s="98"/>
    </row>
    <row r="763" spans="1:27" ht="24" hidden="1" customHeight="1">
      <c r="A763" s="475"/>
      <c r="B763" s="801"/>
      <c r="C763" s="842"/>
      <c r="D763" s="853"/>
      <c r="E763" s="840"/>
      <c r="F763" s="804"/>
      <c r="G763" s="814"/>
      <c r="H763" s="815"/>
      <c r="I763" s="804"/>
      <c r="J763" s="833"/>
      <c r="K763" s="833"/>
      <c r="L763" s="833"/>
      <c r="M763" s="833"/>
      <c r="N763" s="342" t="s">
        <v>1689</v>
      </c>
      <c r="O763" s="342" t="s">
        <v>1690</v>
      </c>
      <c r="P763" s="76" t="s">
        <v>27</v>
      </c>
      <c r="Q763" s="347"/>
      <c r="R763" s="347"/>
      <c r="S763" s="342"/>
      <c r="T763" s="325"/>
      <c r="U763" s="18"/>
      <c r="V763" s="576"/>
      <c r="W763" s="576"/>
      <c r="X763" s="579"/>
      <c r="Y763" s="579"/>
      <c r="Z763" s="342" t="s">
        <v>1495</v>
      </c>
      <c r="AA763" s="98"/>
    </row>
    <row r="764" spans="1:27" ht="24">
      <c r="A764" s="475"/>
      <c r="B764" s="801"/>
      <c r="C764" s="842"/>
      <c r="D764" s="853"/>
      <c r="E764" s="840"/>
      <c r="F764" s="804"/>
      <c r="G764" s="814"/>
      <c r="H764" s="815"/>
      <c r="I764" s="804"/>
      <c r="J764" s="833"/>
      <c r="K764" s="833"/>
      <c r="L764" s="833"/>
      <c r="M764" s="833"/>
      <c r="N764" s="342" t="s">
        <v>1670</v>
      </c>
      <c r="O764" s="342" t="s">
        <v>1691</v>
      </c>
      <c r="P764" s="76" t="s">
        <v>36</v>
      </c>
      <c r="Q764" s="347">
        <v>587.54999999999995</v>
      </c>
      <c r="R764" s="347">
        <v>587.54570000000001</v>
      </c>
      <c r="S764" s="342"/>
      <c r="T764" s="325"/>
      <c r="U764" s="18"/>
      <c r="V764" s="576"/>
      <c r="W764" s="576"/>
      <c r="X764" s="579"/>
      <c r="Y764" s="579"/>
      <c r="Z764" s="342" t="s">
        <v>1495</v>
      </c>
      <c r="AA764" s="98"/>
    </row>
    <row r="765" spans="1:27" ht="48" hidden="1" customHeight="1">
      <c r="A765" s="475"/>
      <c r="B765" s="801"/>
      <c r="C765" s="842"/>
      <c r="D765" s="853"/>
      <c r="E765" s="840"/>
      <c r="F765" s="804"/>
      <c r="G765" s="814"/>
      <c r="H765" s="815"/>
      <c r="I765" s="804"/>
      <c r="J765" s="833"/>
      <c r="K765" s="833"/>
      <c r="L765" s="833"/>
      <c r="M765" s="833"/>
      <c r="N765" s="342" t="s">
        <v>1692</v>
      </c>
      <c r="O765" s="342" t="s">
        <v>1693</v>
      </c>
      <c r="P765" s="76" t="s">
        <v>27</v>
      </c>
      <c r="Q765" s="347"/>
      <c r="R765" s="347"/>
      <c r="S765" s="342"/>
      <c r="T765" s="325"/>
      <c r="U765" s="18"/>
      <c r="V765" s="576"/>
      <c r="W765" s="576"/>
      <c r="X765" s="579"/>
      <c r="Y765" s="579"/>
      <c r="Z765" s="342" t="s">
        <v>1495</v>
      </c>
      <c r="AA765" s="98"/>
    </row>
    <row r="766" spans="1:27" ht="84" hidden="1" customHeight="1">
      <c r="A766" s="475"/>
      <c r="B766" s="801"/>
      <c r="C766" s="842"/>
      <c r="D766" s="853"/>
      <c r="E766" s="840"/>
      <c r="F766" s="804"/>
      <c r="G766" s="814"/>
      <c r="H766" s="815"/>
      <c r="I766" s="804"/>
      <c r="J766" s="833"/>
      <c r="K766" s="833"/>
      <c r="L766" s="833"/>
      <c r="M766" s="833"/>
      <c r="N766" s="342" t="s">
        <v>461</v>
      </c>
      <c r="O766" s="342" t="s">
        <v>1694</v>
      </c>
      <c r="P766" s="76" t="s">
        <v>27</v>
      </c>
      <c r="Q766" s="347"/>
      <c r="R766" s="347"/>
      <c r="S766" s="342"/>
      <c r="T766" s="325"/>
      <c r="U766" s="18"/>
      <c r="V766" s="576"/>
      <c r="W766" s="576"/>
      <c r="X766" s="579"/>
      <c r="Y766" s="579"/>
      <c r="Z766" s="342" t="s">
        <v>1495</v>
      </c>
      <c r="AA766" s="98"/>
    </row>
    <row r="767" spans="1:27" ht="48" hidden="1" customHeight="1">
      <c r="A767" s="475"/>
      <c r="B767" s="801"/>
      <c r="C767" s="842"/>
      <c r="D767" s="853"/>
      <c r="E767" s="840"/>
      <c r="F767" s="804"/>
      <c r="G767" s="814"/>
      <c r="H767" s="815"/>
      <c r="I767" s="804"/>
      <c r="J767" s="833"/>
      <c r="K767" s="833"/>
      <c r="L767" s="833"/>
      <c r="M767" s="833"/>
      <c r="N767" s="342" t="s">
        <v>1695</v>
      </c>
      <c r="O767" s="342" t="s">
        <v>1696</v>
      </c>
      <c r="P767" s="76" t="s">
        <v>27</v>
      </c>
      <c r="Q767" s="347"/>
      <c r="R767" s="347"/>
      <c r="S767" s="342"/>
      <c r="T767" s="325"/>
      <c r="U767" s="18"/>
      <c r="V767" s="576"/>
      <c r="W767" s="576"/>
      <c r="X767" s="579"/>
      <c r="Y767" s="579"/>
      <c r="Z767" s="342" t="s">
        <v>1495</v>
      </c>
      <c r="AA767" s="98"/>
    </row>
    <row r="768" spans="1:27" ht="48" hidden="1" customHeight="1">
      <c r="A768" s="475"/>
      <c r="B768" s="801"/>
      <c r="C768" s="842"/>
      <c r="D768" s="853"/>
      <c r="E768" s="840"/>
      <c r="F768" s="804"/>
      <c r="G768" s="814"/>
      <c r="H768" s="815"/>
      <c r="I768" s="804"/>
      <c r="J768" s="833"/>
      <c r="K768" s="833"/>
      <c r="L768" s="833"/>
      <c r="M768" s="833"/>
      <c r="N768" s="342" t="s">
        <v>298</v>
      </c>
      <c r="O768" s="342" t="s">
        <v>1697</v>
      </c>
      <c r="P768" s="76" t="s">
        <v>27</v>
      </c>
      <c r="Q768" s="347"/>
      <c r="R768" s="347"/>
      <c r="S768" s="342"/>
      <c r="T768" s="325"/>
      <c r="U768" s="18"/>
      <c r="V768" s="576"/>
      <c r="W768" s="576"/>
      <c r="X768" s="579"/>
      <c r="Y768" s="579"/>
      <c r="Z768" s="342" t="s">
        <v>1495</v>
      </c>
      <c r="AA768" s="98"/>
    </row>
    <row r="769" spans="1:27" ht="48" hidden="1" customHeight="1">
      <c r="A769" s="475"/>
      <c r="B769" s="801"/>
      <c r="C769" s="842"/>
      <c r="D769" s="853"/>
      <c r="E769" s="840"/>
      <c r="F769" s="804"/>
      <c r="G769" s="814"/>
      <c r="H769" s="815"/>
      <c r="I769" s="804"/>
      <c r="J769" s="833"/>
      <c r="K769" s="833"/>
      <c r="L769" s="833"/>
      <c r="M769" s="833"/>
      <c r="N769" s="342" t="s">
        <v>1698</v>
      </c>
      <c r="O769" s="342" t="s">
        <v>1697</v>
      </c>
      <c r="P769" s="76" t="s">
        <v>27</v>
      </c>
      <c r="Q769" s="347"/>
      <c r="R769" s="347"/>
      <c r="S769" s="342"/>
      <c r="T769" s="325"/>
      <c r="U769" s="18"/>
      <c r="V769" s="576"/>
      <c r="W769" s="576"/>
      <c r="X769" s="579"/>
      <c r="Y769" s="579"/>
      <c r="Z769" s="342" t="s">
        <v>1495</v>
      </c>
      <c r="AA769" s="98"/>
    </row>
    <row r="770" spans="1:27" ht="24">
      <c r="A770" s="475"/>
      <c r="B770" s="801"/>
      <c r="C770" s="843"/>
      <c r="D770" s="854"/>
      <c r="E770" s="841"/>
      <c r="F770" s="805"/>
      <c r="G770" s="816"/>
      <c r="H770" s="817"/>
      <c r="I770" s="805"/>
      <c r="J770" s="834"/>
      <c r="K770" s="834"/>
      <c r="L770" s="834"/>
      <c r="M770" s="834"/>
      <c r="N770" s="342" t="s">
        <v>1698</v>
      </c>
      <c r="O770" s="342" t="s">
        <v>1691</v>
      </c>
      <c r="P770" s="76" t="s">
        <v>36</v>
      </c>
      <c r="Q770" s="347"/>
      <c r="R770" s="347" t="s">
        <v>1699</v>
      </c>
      <c r="S770" s="342"/>
      <c r="T770" s="295"/>
      <c r="U770" s="18"/>
      <c r="V770" s="577"/>
      <c r="W770" s="577"/>
      <c r="X770" s="580"/>
      <c r="Y770" s="580"/>
      <c r="Z770" s="342" t="s">
        <v>1495</v>
      </c>
      <c r="AA770" s="98"/>
    </row>
    <row r="771" spans="1:27" ht="48" hidden="1" customHeight="1">
      <c r="A771" s="475"/>
      <c r="B771" s="275">
        <v>10</v>
      </c>
      <c r="C771" s="359" t="s">
        <v>1700</v>
      </c>
      <c r="D771" s="426">
        <v>18634.212599999999</v>
      </c>
      <c r="E771" s="428" t="s">
        <v>2277</v>
      </c>
      <c r="F771" s="326" t="s">
        <v>1701</v>
      </c>
      <c r="G771" s="874">
        <v>46.585532000000001</v>
      </c>
      <c r="H771" s="875"/>
      <c r="I771" s="326" t="s">
        <v>1702</v>
      </c>
      <c r="J771" s="323">
        <v>28.8</v>
      </c>
      <c r="K771" s="323"/>
      <c r="L771" s="323"/>
      <c r="M771" s="323">
        <v>75.385531999999998</v>
      </c>
      <c r="N771" s="326" t="s">
        <v>1184</v>
      </c>
      <c r="O771" s="326" t="s">
        <v>1703</v>
      </c>
      <c r="P771" s="76" t="s">
        <v>27</v>
      </c>
      <c r="Q771" s="318">
        <v>60</v>
      </c>
      <c r="R771" s="318">
        <v>60</v>
      </c>
      <c r="S771" s="326"/>
      <c r="T771" s="323"/>
      <c r="U771" s="362"/>
      <c r="V771" s="317">
        <f>Q771</f>
        <v>60</v>
      </c>
      <c r="W771" s="317">
        <f>T771</f>
        <v>0</v>
      </c>
      <c r="X771" s="317"/>
      <c r="Y771" s="317"/>
      <c r="Z771" s="359" t="s">
        <v>671</v>
      </c>
      <c r="AA771" s="98"/>
    </row>
    <row r="772" spans="1:27" ht="36" hidden="1" customHeight="1">
      <c r="A772" s="475"/>
      <c r="B772" s="270">
        <v>11</v>
      </c>
      <c r="C772" s="342" t="s">
        <v>1704</v>
      </c>
      <c r="D772" s="429">
        <v>14127.9668</v>
      </c>
      <c r="E772" s="430" t="s">
        <v>2278</v>
      </c>
      <c r="F772" s="342" t="s">
        <v>1705</v>
      </c>
      <c r="G772" s="850">
        <v>33.246281000000003</v>
      </c>
      <c r="H772" s="851"/>
      <c r="I772" s="342" t="s">
        <v>1705</v>
      </c>
      <c r="J772" s="325">
        <v>23.49</v>
      </c>
      <c r="K772" s="144"/>
      <c r="L772" s="144"/>
      <c r="M772" s="325">
        <f>SUM(G772,J772,L772)</f>
        <v>56.736281000000005</v>
      </c>
      <c r="N772" s="138"/>
      <c r="O772" s="138"/>
      <c r="P772" s="138"/>
      <c r="Q772" s="139"/>
      <c r="R772" s="139"/>
      <c r="S772" s="138"/>
      <c r="T772" s="144"/>
      <c r="U772" s="276"/>
      <c r="V772" s="140"/>
      <c r="W772" s="140"/>
      <c r="X772" s="140"/>
      <c r="Y772" s="140"/>
      <c r="Z772" s="342" t="s">
        <v>1706</v>
      </c>
      <c r="AA772" s="98"/>
    </row>
    <row r="773" spans="1:27" ht="15" hidden="1" customHeight="1">
      <c r="A773" s="475"/>
      <c r="B773" s="270">
        <v>12</v>
      </c>
      <c r="C773" s="342" t="s">
        <v>2027</v>
      </c>
      <c r="D773" s="429">
        <v>9881.94</v>
      </c>
      <c r="E773" s="431" t="s">
        <v>2279</v>
      </c>
      <c r="F773" s="342" t="s">
        <v>1707</v>
      </c>
      <c r="G773" s="325">
        <v>34.272742999999998</v>
      </c>
      <c r="H773" s="325">
        <v>0.35</v>
      </c>
      <c r="I773" s="342"/>
      <c r="J773" s="325"/>
      <c r="K773" s="325"/>
      <c r="L773" s="325"/>
      <c r="M773" s="325">
        <f>SUM(G773,H773,J773,L773)</f>
        <v>34.622743</v>
      </c>
      <c r="N773" s="342"/>
      <c r="O773" s="130"/>
      <c r="P773" s="130"/>
      <c r="Q773" s="137"/>
      <c r="R773" s="137"/>
      <c r="S773" s="130"/>
      <c r="T773" s="129"/>
      <c r="U773" s="266"/>
      <c r="V773" s="277"/>
      <c r="W773" s="277"/>
      <c r="X773" s="277"/>
      <c r="Y773" s="277"/>
      <c r="Z773" s="342" t="s">
        <v>540</v>
      </c>
      <c r="AA773" s="98"/>
    </row>
    <row r="774" spans="1:27" ht="24" hidden="1" customHeight="1">
      <c r="A774" s="475" t="s">
        <v>1827</v>
      </c>
      <c r="B774" s="866">
        <v>1</v>
      </c>
      <c r="C774" s="868" t="s">
        <v>2309</v>
      </c>
      <c r="D774" s="868">
        <v>55879.785400000001</v>
      </c>
      <c r="E774" s="868" t="s">
        <v>2310</v>
      </c>
      <c r="F774" s="868" t="s">
        <v>1513</v>
      </c>
      <c r="G774" s="832">
        <v>114.57664200000001</v>
      </c>
      <c r="H774" s="832"/>
      <c r="I774" s="868" t="s">
        <v>245</v>
      </c>
      <c r="J774" s="868">
        <v>40</v>
      </c>
      <c r="K774" s="868" t="s">
        <v>162</v>
      </c>
      <c r="L774" s="868">
        <v>16.2804</v>
      </c>
      <c r="M774" s="868">
        <f>SUM(G774,H774,J774,L774)</f>
        <v>170.85704199999998</v>
      </c>
      <c r="N774" s="356" t="s">
        <v>1710</v>
      </c>
      <c r="O774" s="356" t="s">
        <v>2311</v>
      </c>
      <c r="P774" s="76" t="s">
        <v>27</v>
      </c>
      <c r="Q774" s="434">
        <v>1.7862</v>
      </c>
      <c r="R774" s="434">
        <v>3.0015000000000001</v>
      </c>
      <c r="S774" s="356" t="s">
        <v>2312</v>
      </c>
      <c r="T774" s="432">
        <v>1.7862</v>
      </c>
      <c r="U774" s="5">
        <f>T774/Q774</f>
        <v>1</v>
      </c>
      <c r="V774" s="873">
        <f>SUM(Q774:Q795)</f>
        <v>109.06193100000002</v>
      </c>
      <c r="W774" s="873">
        <f>SUM(T774:T795)</f>
        <v>108.82043100000001</v>
      </c>
      <c r="X774" s="589">
        <f>W774/V774</f>
        <v>0.99778566179980799</v>
      </c>
      <c r="Y774" s="589">
        <f>W774/M774</f>
        <v>0.63690925305847224</v>
      </c>
      <c r="Z774" s="863" t="s">
        <v>2313</v>
      </c>
      <c r="AA774" s="98"/>
    </row>
    <row r="775" spans="1:27" ht="24" hidden="1" customHeight="1">
      <c r="A775" s="475"/>
      <c r="B775" s="876"/>
      <c r="C775" s="872"/>
      <c r="D775" s="872"/>
      <c r="E775" s="872"/>
      <c r="F775" s="872"/>
      <c r="G775" s="833"/>
      <c r="H775" s="833"/>
      <c r="I775" s="872"/>
      <c r="J775" s="872"/>
      <c r="K775" s="872"/>
      <c r="L775" s="872"/>
      <c r="M775" s="872"/>
      <c r="N775" s="356" t="s">
        <v>1711</v>
      </c>
      <c r="O775" s="356" t="s">
        <v>2314</v>
      </c>
      <c r="P775" s="76" t="s">
        <v>27</v>
      </c>
      <c r="Q775" s="434">
        <v>0.05</v>
      </c>
      <c r="R775" s="434">
        <v>0.1226</v>
      </c>
      <c r="S775" s="356" t="s">
        <v>2315</v>
      </c>
      <c r="T775" s="432">
        <v>0.05</v>
      </c>
      <c r="U775" s="5">
        <f t="shared" ref="U775:U795" si="61">T775/Q775</f>
        <v>1</v>
      </c>
      <c r="V775" s="591"/>
      <c r="W775" s="591"/>
      <c r="X775" s="592"/>
      <c r="Y775" s="592"/>
      <c r="Z775" s="864"/>
      <c r="AA775" s="98"/>
    </row>
    <row r="776" spans="1:27" ht="24" hidden="1" customHeight="1">
      <c r="A776" s="475"/>
      <c r="B776" s="876"/>
      <c r="C776" s="872"/>
      <c r="D776" s="872">
        <v>55879.785400000001</v>
      </c>
      <c r="E776" s="872" t="s">
        <v>2280</v>
      </c>
      <c r="F776" s="872"/>
      <c r="G776" s="833"/>
      <c r="H776" s="833"/>
      <c r="I776" s="872"/>
      <c r="J776" s="872"/>
      <c r="K776" s="872"/>
      <c r="L776" s="872"/>
      <c r="M776" s="872"/>
      <c r="N776" s="356" t="s">
        <v>1712</v>
      </c>
      <c r="O776" s="356" t="s">
        <v>2316</v>
      </c>
      <c r="P776" s="76" t="s">
        <v>27</v>
      </c>
      <c r="Q776" s="434">
        <v>3.8100000000000002E-2</v>
      </c>
      <c r="R776" s="434">
        <v>6.0999999999999999E-2</v>
      </c>
      <c r="S776" s="356" t="s">
        <v>2317</v>
      </c>
      <c r="T776" s="432">
        <v>3.8100000000000002E-2</v>
      </c>
      <c r="U776" s="5">
        <f t="shared" si="61"/>
        <v>1</v>
      </c>
      <c r="V776" s="591"/>
      <c r="W776" s="591"/>
      <c r="X776" s="592"/>
      <c r="Y776" s="592"/>
      <c r="Z776" s="864"/>
      <c r="AA776" s="98"/>
    </row>
    <row r="777" spans="1:27" ht="24" hidden="1" customHeight="1">
      <c r="A777" s="475"/>
      <c r="B777" s="876"/>
      <c r="C777" s="872"/>
      <c r="D777" s="872"/>
      <c r="E777" s="872"/>
      <c r="F777" s="872"/>
      <c r="G777" s="833"/>
      <c r="H777" s="833"/>
      <c r="I777" s="872"/>
      <c r="J777" s="872"/>
      <c r="K777" s="872"/>
      <c r="L777" s="872"/>
      <c r="M777" s="872"/>
      <c r="N777" s="356" t="s">
        <v>1713</v>
      </c>
      <c r="O777" s="356" t="s">
        <v>1714</v>
      </c>
      <c r="P777" s="76" t="s">
        <v>27</v>
      </c>
      <c r="Q777" s="434">
        <v>0.84130000000000005</v>
      </c>
      <c r="R777" s="434">
        <v>1.3784000000000001</v>
      </c>
      <c r="S777" s="356" t="s">
        <v>2318</v>
      </c>
      <c r="T777" s="432">
        <v>0.84130000000000005</v>
      </c>
      <c r="U777" s="5">
        <f t="shared" si="61"/>
        <v>1</v>
      </c>
      <c r="V777" s="591"/>
      <c r="W777" s="591"/>
      <c r="X777" s="592"/>
      <c r="Y777" s="592"/>
      <c r="Z777" s="864"/>
      <c r="AA777" s="98"/>
    </row>
    <row r="778" spans="1:27" ht="15" hidden="1" customHeight="1">
      <c r="A778" s="475"/>
      <c r="B778" s="876"/>
      <c r="C778" s="872"/>
      <c r="D778" s="872"/>
      <c r="E778" s="872"/>
      <c r="F778" s="872"/>
      <c r="G778" s="833"/>
      <c r="H778" s="833"/>
      <c r="I778" s="872"/>
      <c r="J778" s="872"/>
      <c r="K778" s="872"/>
      <c r="L778" s="872"/>
      <c r="M778" s="872"/>
      <c r="N778" s="356" t="s">
        <v>1715</v>
      </c>
      <c r="O778" s="356" t="s">
        <v>2319</v>
      </c>
      <c r="P778" s="76" t="s">
        <v>27</v>
      </c>
      <c r="Q778" s="434">
        <v>2.8090999999999999</v>
      </c>
      <c r="R778" s="434">
        <v>4.9386999999999999</v>
      </c>
      <c r="S778" s="356" t="s">
        <v>2320</v>
      </c>
      <c r="T778" s="432">
        <v>2.8090999999999999</v>
      </c>
      <c r="U778" s="5">
        <f t="shared" si="61"/>
        <v>1</v>
      </c>
      <c r="V778" s="591"/>
      <c r="W778" s="591"/>
      <c r="X778" s="592"/>
      <c r="Y778" s="592"/>
      <c r="Z778" s="864"/>
      <c r="AA778" s="98"/>
    </row>
    <row r="779" spans="1:27" ht="15" hidden="1" customHeight="1">
      <c r="A779" s="475"/>
      <c r="B779" s="876"/>
      <c r="C779" s="872"/>
      <c r="D779" s="872"/>
      <c r="E779" s="872"/>
      <c r="F779" s="872"/>
      <c r="G779" s="833"/>
      <c r="H779" s="833"/>
      <c r="I779" s="872"/>
      <c r="J779" s="872"/>
      <c r="K779" s="872"/>
      <c r="L779" s="872"/>
      <c r="M779" s="872"/>
      <c r="N779" s="356" t="s">
        <v>1716</v>
      </c>
      <c r="O779" s="356" t="s">
        <v>1717</v>
      </c>
      <c r="P779" s="76" t="s">
        <v>27</v>
      </c>
      <c r="Q779" s="434">
        <v>1.0880000000000001</v>
      </c>
      <c r="R779" s="434">
        <v>1.4237</v>
      </c>
      <c r="S779" s="356" t="s">
        <v>2321</v>
      </c>
      <c r="T779" s="432">
        <v>1.0880000000000001</v>
      </c>
      <c r="U779" s="5">
        <f t="shared" si="61"/>
        <v>1</v>
      </c>
      <c r="V779" s="591"/>
      <c r="W779" s="591"/>
      <c r="X779" s="592"/>
      <c r="Y779" s="592"/>
      <c r="Z779" s="864"/>
      <c r="AA779" s="98"/>
    </row>
    <row r="780" spans="1:27" ht="15" hidden="1" customHeight="1">
      <c r="A780" s="475"/>
      <c r="B780" s="876"/>
      <c r="C780" s="872"/>
      <c r="D780" s="872"/>
      <c r="E780" s="872"/>
      <c r="F780" s="872"/>
      <c r="G780" s="833"/>
      <c r="H780" s="833"/>
      <c r="I780" s="872"/>
      <c r="J780" s="872"/>
      <c r="K780" s="872"/>
      <c r="L780" s="872"/>
      <c r="M780" s="872"/>
      <c r="N780" s="342" t="s">
        <v>1718</v>
      </c>
      <c r="O780" s="342" t="s">
        <v>2322</v>
      </c>
      <c r="P780" s="76" t="s">
        <v>27</v>
      </c>
      <c r="Q780" s="347">
        <v>0.11</v>
      </c>
      <c r="R780" s="347">
        <v>0.14280000000000001</v>
      </c>
      <c r="S780" s="342" t="s">
        <v>2323</v>
      </c>
      <c r="T780" s="433">
        <v>0.11</v>
      </c>
      <c r="U780" s="5">
        <f t="shared" si="61"/>
        <v>1</v>
      </c>
      <c r="V780" s="591"/>
      <c r="W780" s="591"/>
      <c r="X780" s="592"/>
      <c r="Y780" s="592"/>
      <c r="Z780" s="864"/>
      <c r="AA780" s="98"/>
    </row>
    <row r="781" spans="1:27" ht="24" hidden="1" customHeight="1">
      <c r="A781" s="475"/>
      <c r="B781" s="876"/>
      <c r="C781" s="872"/>
      <c r="D781" s="872"/>
      <c r="E781" s="872"/>
      <c r="F781" s="872"/>
      <c r="G781" s="833"/>
      <c r="H781" s="833"/>
      <c r="I781" s="872"/>
      <c r="J781" s="872"/>
      <c r="K781" s="872"/>
      <c r="L781" s="872"/>
      <c r="M781" s="872"/>
      <c r="N781" s="356" t="s">
        <v>2324</v>
      </c>
      <c r="O781" s="356" t="s">
        <v>2325</v>
      </c>
      <c r="P781" s="76" t="s">
        <v>27</v>
      </c>
      <c r="Q781" s="434">
        <v>1.4603999999999999</v>
      </c>
      <c r="R781" s="434">
        <v>1.8257000000000001</v>
      </c>
      <c r="S781" s="356" t="s">
        <v>407</v>
      </c>
      <c r="T781" s="432">
        <v>1.4603999999999999</v>
      </c>
      <c r="U781" s="5">
        <f t="shared" si="61"/>
        <v>1</v>
      </c>
      <c r="V781" s="591"/>
      <c r="W781" s="591"/>
      <c r="X781" s="592"/>
      <c r="Y781" s="592"/>
      <c r="Z781" s="864"/>
      <c r="AA781" s="98"/>
    </row>
    <row r="782" spans="1:27" ht="15" hidden="1" customHeight="1">
      <c r="A782" s="475"/>
      <c r="B782" s="876"/>
      <c r="C782" s="872"/>
      <c r="D782" s="872"/>
      <c r="E782" s="872"/>
      <c r="F782" s="872"/>
      <c r="G782" s="833"/>
      <c r="H782" s="833"/>
      <c r="I782" s="872"/>
      <c r="J782" s="872"/>
      <c r="K782" s="872"/>
      <c r="L782" s="872"/>
      <c r="M782" s="872"/>
      <c r="N782" s="356" t="s">
        <v>2326</v>
      </c>
      <c r="O782" s="356" t="s">
        <v>2327</v>
      </c>
      <c r="P782" s="76" t="s">
        <v>27</v>
      </c>
      <c r="Q782" s="434">
        <v>0.2356</v>
      </c>
      <c r="R782" s="434">
        <v>0.90229999999999999</v>
      </c>
      <c r="S782" s="356" t="s">
        <v>2328</v>
      </c>
      <c r="T782" s="432">
        <v>0.2356</v>
      </c>
      <c r="U782" s="5">
        <f t="shared" si="61"/>
        <v>1</v>
      </c>
      <c r="V782" s="591"/>
      <c r="W782" s="591"/>
      <c r="X782" s="592"/>
      <c r="Y782" s="592"/>
      <c r="Z782" s="864"/>
      <c r="AA782" s="98"/>
    </row>
    <row r="783" spans="1:27" ht="24" hidden="1" customHeight="1">
      <c r="A783" s="475"/>
      <c r="B783" s="876"/>
      <c r="C783" s="872"/>
      <c r="D783" s="872"/>
      <c r="E783" s="872"/>
      <c r="F783" s="872"/>
      <c r="G783" s="833"/>
      <c r="H783" s="833"/>
      <c r="I783" s="872"/>
      <c r="J783" s="872"/>
      <c r="K783" s="872"/>
      <c r="L783" s="872"/>
      <c r="M783" s="872"/>
      <c r="N783" s="356" t="s">
        <v>2329</v>
      </c>
      <c r="O783" s="356" t="s">
        <v>2330</v>
      </c>
      <c r="P783" s="76" t="s">
        <v>27</v>
      </c>
      <c r="Q783" s="434">
        <v>0.1183</v>
      </c>
      <c r="R783" s="434">
        <v>0.17460000000000001</v>
      </c>
      <c r="S783" s="356" t="s">
        <v>2331</v>
      </c>
      <c r="T783" s="432">
        <v>0.1183</v>
      </c>
      <c r="U783" s="5">
        <f t="shared" si="61"/>
        <v>1</v>
      </c>
      <c r="V783" s="591"/>
      <c r="W783" s="591"/>
      <c r="X783" s="592"/>
      <c r="Y783" s="592"/>
      <c r="Z783" s="864"/>
      <c r="AA783" s="98"/>
    </row>
    <row r="784" spans="1:27" ht="15" hidden="1" customHeight="1">
      <c r="A784" s="475"/>
      <c r="B784" s="876"/>
      <c r="C784" s="872"/>
      <c r="D784" s="872"/>
      <c r="E784" s="872"/>
      <c r="F784" s="872"/>
      <c r="G784" s="833"/>
      <c r="H784" s="833"/>
      <c r="I784" s="872"/>
      <c r="J784" s="872"/>
      <c r="K784" s="872"/>
      <c r="L784" s="872"/>
      <c r="M784" s="872"/>
      <c r="N784" s="356" t="s">
        <v>2332</v>
      </c>
      <c r="O784" s="356" t="s">
        <v>2333</v>
      </c>
      <c r="P784" s="76" t="s">
        <v>27</v>
      </c>
      <c r="Q784" s="434">
        <v>3.3597000000000001</v>
      </c>
      <c r="R784" s="434">
        <v>4.3772000000000002</v>
      </c>
      <c r="S784" s="356" t="s">
        <v>2334</v>
      </c>
      <c r="T784" s="432">
        <v>3.3597000000000001</v>
      </c>
      <c r="U784" s="5">
        <f t="shared" si="61"/>
        <v>1</v>
      </c>
      <c r="V784" s="591"/>
      <c r="W784" s="591"/>
      <c r="X784" s="592"/>
      <c r="Y784" s="592"/>
      <c r="Z784" s="864"/>
      <c r="AA784" s="98"/>
    </row>
    <row r="785" spans="1:27" ht="24" hidden="1" customHeight="1">
      <c r="A785" s="475"/>
      <c r="B785" s="876"/>
      <c r="C785" s="872"/>
      <c r="D785" s="872"/>
      <c r="E785" s="872"/>
      <c r="F785" s="872"/>
      <c r="G785" s="833"/>
      <c r="H785" s="833"/>
      <c r="I785" s="872"/>
      <c r="J785" s="872"/>
      <c r="K785" s="872"/>
      <c r="L785" s="872"/>
      <c r="M785" s="872"/>
      <c r="N785" s="356" t="s">
        <v>2335</v>
      </c>
      <c r="O785" s="356" t="s">
        <v>2336</v>
      </c>
      <c r="P785" s="76" t="s">
        <v>27</v>
      </c>
      <c r="Q785" s="434">
        <v>4.3788309999999999</v>
      </c>
      <c r="R785" s="434">
        <v>4.5148999999999999</v>
      </c>
      <c r="S785" s="356" t="s">
        <v>321</v>
      </c>
      <c r="T785" s="432">
        <v>4.3788309999999999</v>
      </c>
      <c r="U785" s="5">
        <f t="shared" si="61"/>
        <v>1</v>
      </c>
      <c r="V785" s="591"/>
      <c r="W785" s="591"/>
      <c r="X785" s="592"/>
      <c r="Y785" s="592"/>
      <c r="Z785" s="864"/>
      <c r="AA785" s="98"/>
    </row>
    <row r="786" spans="1:27" ht="24" hidden="1" customHeight="1">
      <c r="A786" s="475"/>
      <c r="B786" s="876"/>
      <c r="C786" s="872"/>
      <c r="D786" s="872"/>
      <c r="E786" s="872"/>
      <c r="F786" s="872"/>
      <c r="G786" s="833"/>
      <c r="H786" s="833"/>
      <c r="I786" s="872"/>
      <c r="J786" s="872"/>
      <c r="K786" s="872"/>
      <c r="L786" s="872"/>
      <c r="M786" s="872"/>
      <c r="N786" s="356" t="s">
        <v>2337</v>
      </c>
      <c r="O786" s="356" t="s">
        <v>2338</v>
      </c>
      <c r="P786" s="76" t="s">
        <v>27</v>
      </c>
      <c r="Q786" s="434">
        <v>0.05</v>
      </c>
      <c r="R786" s="434">
        <v>0.1244</v>
      </c>
      <c r="S786" s="356" t="s">
        <v>561</v>
      </c>
      <c r="T786" s="432">
        <v>0.05</v>
      </c>
      <c r="U786" s="5">
        <f t="shared" si="61"/>
        <v>1</v>
      </c>
      <c r="V786" s="591"/>
      <c r="W786" s="591"/>
      <c r="X786" s="592"/>
      <c r="Y786" s="592"/>
      <c r="Z786" s="864"/>
      <c r="AA786" s="98"/>
    </row>
    <row r="787" spans="1:27" ht="24" hidden="1" customHeight="1">
      <c r="A787" s="475"/>
      <c r="B787" s="876"/>
      <c r="C787" s="872"/>
      <c r="D787" s="872"/>
      <c r="E787" s="872"/>
      <c r="F787" s="872"/>
      <c r="G787" s="833"/>
      <c r="H787" s="833"/>
      <c r="I787" s="872"/>
      <c r="J787" s="872"/>
      <c r="K787" s="872"/>
      <c r="L787" s="872"/>
      <c r="M787" s="872"/>
      <c r="N787" s="356" t="s">
        <v>2339</v>
      </c>
      <c r="O787" s="356" t="s">
        <v>2340</v>
      </c>
      <c r="P787" s="76" t="s">
        <v>27</v>
      </c>
      <c r="Q787" s="434">
        <v>0.85050000000000003</v>
      </c>
      <c r="R787" s="434">
        <v>1.2302</v>
      </c>
      <c r="S787" s="356" t="s">
        <v>2341</v>
      </c>
      <c r="T787" s="432">
        <v>0.85050000000000003</v>
      </c>
      <c r="U787" s="5">
        <f t="shared" si="61"/>
        <v>1</v>
      </c>
      <c r="V787" s="591"/>
      <c r="W787" s="591"/>
      <c r="X787" s="592"/>
      <c r="Y787" s="592"/>
      <c r="Z787" s="864"/>
      <c r="AA787" s="98"/>
    </row>
    <row r="788" spans="1:27" ht="24" hidden="1" customHeight="1">
      <c r="A788" s="475"/>
      <c r="B788" s="876"/>
      <c r="C788" s="872"/>
      <c r="D788" s="872"/>
      <c r="E788" s="872"/>
      <c r="F788" s="872"/>
      <c r="G788" s="833"/>
      <c r="H788" s="833"/>
      <c r="I788" s="872"/>
      <c r="J788" s="872"/>
      <c r="K788" s="872"/>
      <c r="L788" s="872"/>
      <c r="M788" s="872"/>
      <c r="N788" s="356" t="s">
        <v>2342</v>
      </c>
      <c r="O788" s="356" t="s">
        <v>2343</v>
      </c>
      <c r="P788" s="76" t="s">
        <v>27</v>
      </c>
      <c r="Q788" s="434">
        <v>9.7799999999999994</v>
      </c>
      <c r="R788" s="434">
        <v>10.445399999999999</v>
      </c>
      <c r="S788" s="356" t="s">
        <v>2344</v>
      </c>
      <c r="T788" s="432">
        <v>9.7799999999999994</v>
      </c>
      <c r="U788" s="5">
        <f t="shared" si="61"/>
        <v>1</v>
      </c>
      <c r="V788" s="591"/>
      <c r="W788" s="591"/>
      <c r="X788" s="592"/>
      <c r="Y788" s="592"/>
      <c r="Z788" s="864"/>
      <c r="AA788" s="98"/>
    </row>
    <row r="789" spans="1:27" ht="24" hidden="1" customHeight="1">
      <c r="A789" s="475"/>
      <c r="B789" s="876"/>
      <c r="C789" s="872"/>
      <c r="D789" s="872"/>
      <c r="E789" s="872"/>
      <c r="F789" s="872"/>
      <c r="G789" s="833"/>
      <c r="H789" s="833"/>
      <c r="I789" s="872"/>
      <c r="J789" s="872"/>
      <c r="K789" s="872"/>
      <c r="L789" s="872"/>
      <c r="M789" s="872"/>
      <c r="N789" s="356" t="s">
        <v>2345</v>
      </c>
      <c r="O789" s="356" t="s">
        <v>2346</v>
      </c>
      <c r="P789" s="76" t="s">
        <v>27</v>
      </c>
      <c r="Q789" s="434">
        <v>1.3171999999999999</v>
      </c>
      <c r="R789" s="434">
        <v>1.7746999999999999</v>
      </c>
      <c r="S789" s="356" t="s">
        <v>2347</v>
      </c>
      <c r="T789" s="432">
        <v>1.3171999999999999</v>
      </c>
      <c r="U789" s="5">
        <f t="shared" si="61"/>
        <v>1</v>
      </c>
      <c r="V789" s="591"/>
      <c r="W789" s="591"/>
      <c r="X789" s="592"/>
      <c r="Y789" s="592"/>
      <c r="Z789" s="864"/>
      <c r="AA789" s="98"/>
    </row>
    <row r="790" spans="1:27" ht="24" hidden="1" customHeight="1">
      <c r="A790" s="475"/>
      <c r="B790" s="876"/>
      <c r="C790" s="872"/>
      <c r="D790" s="872"/>
      <c r="E790" s="872"/>
      <c r="F790" s="872"/>
      <c r="G790" s="833"/>
      <c r="H790" s="833"/>
      <c r="I790" s="872"/>
      <c r="J790" s="872"/>
      <c r="K790" s="872"/>
      <c r="L790" s="872"/>
      <c r="M790" s="872"/>
      <c r="N790" s="356" t="s">
        <v>2348</v>
      </c>
      <c r="O790" s="356" t="s">
        <v>2349</v>
      </c>
      <c r="P790" s="76" t="s">
        <v>27</v>
      </c>
      <c r="Q790" s="434">
        <v>0.63</v>
      </c>
      <c r="R790" s="434">
        <v>0.8548</v>
      </c>
      <c r="S790" s="356" t="s">
        <v>2350</v>
      </c>
      <c r="T790" s="432">
        <v>0.63</v>
      </c>
      <c r="U790" s="5">
        <f t="shared" si="61"/>
        <v>1</v>
      </c>
      <c r="V790" s="591"/>
      <c r="W790" s="591"/>
      <c r="X790" s="592"/>
      <c r="Y790" s="592"/>
      <c r="Z790" s="864"/>
      <c r="AA790" s="98"/>
    </row>
    <row r="791" spans="1:27" ht="24" hidden="1" customHeight="1">
      <c r="A791" s="475"/>
      <c r="B791" s="876"/>
      <c r="C791" s="872"/>
      <c r="D791" s="872"/>
      <c r="E791" s="872"/>
      <c r="F791" s="872"/>
      <c r="G791" s="833"/>
      <c r="H791" s="833"/>
      <c r="I791" s="872"/>
      <c r="J791" s="872"/>
      <c r="K791" s="872"/>
      <c r="L791" s="872"/>
      <c r="M791" s="872"/>
      <c r="N791" s="356" t="s">
        <v>335</v>
      </c>
      <c r="O791" s="356" t="s">
        <v>2351</v>
      </c>
      <c r="P791" s="76" t="s">
        <v>27</v>
      </c>
      <c r="Q791" s="434">
        <v>0.51780000000000004</v>
      </c>
      <c r="R791" s="434">
        <v>0.65300000000000002</v>
      </c>
      <c r="S791" s="356" t="s">
        <v>2352</v>
      </c>
      <c r="T791" s="432">
        <v>0.51780000000000004</v>
      </c>
      <c r="U791" s="5">
        <f t="shared" si="61"/>
        <v>1</v>
      </c>
      <c r="V791" s="591"/>
      <c r="W791" s="591"/>
      <c r="X791" s="592"/>
      <c r="Y791" s="592"/>
      <c r="Z791" s="864"/>
      <c r="AA791" s="98"/>
    </row>
    <row r="792" spans="1:27" ht="24" hidden="1" customHeight="1">
      <c r="A792" s="475"/>
      <c r="B792" s="876"/>
      <c r="C792" s="872"/>
      <c r="D792" s="872"/>
      <c r="E792" s="872"/>
      <c r="F792" s="872"/>
      <c r="G792" s="833"/>
      <c r="H792" s="833"/>
      <c r="I792" s="872"/>
      <c r="J792" s="872"/>
      <c r="K792" s="872"/>
      <c r="L792" s="872"/>
      <c r="M792" s="872"/>
      <c r="N792" s="356" t="s">
        <v>2353</v>
      </c>
      <c r="O792" s="356" t="s">
        <v>1719</v>
      </c>
      <c r="P792" s="76" t="s">
        <v>27</v>
      </c>
      <c r="Q792" s="434">
        <v>0.50080000000000002</v>
      </c>
      <c r="R792" s="434">
        <v>0.754</v>
      </c>
      <c r="S792" s="356" t="s">
        <v>2354</v>
      </c>
      <c r="T792" s="432">
        <v>0.50080000000000002</v>
      </c>
      <c r="U792" s="5">
        <f t="shared" si="61"/>
        <v>1</v>
      </c>
      <c r="V792" s="591"/>
      <c r="W792" s="591"/>
      <c r="X792" s="592"/>
      <c r="Y792" s="592"/>
      <c r="Z792" s="864"/>
      <c r="AA792" s="98"/>
    </row>
    <row r="793" spans="1:27" ht="24" hidden="1" customHeight="1">
      <c r="A793" s="475"/>
      <c r="B793" s="876"/>
      <c r="C793" s="872"/>
      <c r="D793" s="872"/>
      <c r="E793" s="872"/>
      <c r="F793" s="872"/>
      <c r="G793" s="833"/>
      <c r="H793" s="833"/>
      <c r="I793" s="872"/>
      <c r="J793" s="872"/>
      <c r="K793" s="872"/>
      <c r="L793" s="872"/>
      <c r="M793" s="872"/>
      <c r="N793" s="356" t="s">
        <v>2355</v>
      </c>
      <c r="O793" s="356" t="s">
        <v>2356</v>
      </c>
      <c r="P793" s="76" t="s">
        <v>27</v>
      </c>
      <c r="Q793" s="434">
        <v>0.51300000000000001</v>
      </c>
      <c r="R793" s="434">
        <v>0.83550000000000002</v>
      </c>
      <c r="S793" s="356" t="s">
        <v>2357</v>
      </c>
      <c r="T793" s="432">
        <v>0.51300000000000001</v>
      </c>
      <c r="U793" s="5">
        <f t="shared" si="61"/>
        <v>1</v>
      </c>
      <c r="V793" s="591"/>
      <c r="W793" s="591"/>
      <c r="X793" s="592"/>
      <c r="Y793" s="592"/>
      <c r="Z793" s="864"/>
      <c r="AA793" s="98"/>
    </row>
    <row r="794" spans="1:27" ht="36">
      <c r="A794" s="475"/>
      <c r="B794" s="876"/>
      <c r="C794" s="872"/>
      <c r="D794" s="872"/>
      <c r="E794" s="872"/>
      <c r="F794" s="872"/>
      <c r="G794" s="833"/>
      <c r="H794" s="833"/>
      <c r="I794" s="872"/>
      <c r="J794" s="872"/>
      <c r="K794" s="872"/>
      <c r="L794" s="872"/>
      <c r="M794" s="872"/>
      <c r="N794" s="342" t="s">
        <v>2358</v>
      </c>
      <c r="O794" s="356" t="s">
        <v>2359</v>
      </c>
      <c r="P794" s="76" t="s">
        <v>36</v>
      </c>
      <c r="Q794" s="434">
        <v>8.6271000000000004</v>
      </c>
      <c r="R794" s="434">
        <v>19.6417</v>
      </c>
      <c r="S794" s="356" t="s">
        <v>2360</v>
      </c>
      <c r="T794" s="432">
        <v>8.6271000000000004</v>
      </c>
      <c r="U794" s="5">
        <f t="shared" si="61"/>
        <v>1</v>
      </c>
      <c r="V794" s="591"/>
      <c r="W794" s="591"/>
      <c r="X794" s="592"/>
      <c r="Y794" s="592"/>
      <c r="Z794" s="864"/>
      <c r="AA794" s="98"/>
    </row>
    <row r="795" spans="1:27" ht="24">
      <c r="A795" s="475"/>
      <c r="B795" s="867"/>
      <c r="C795" s="869"/>
      <c r="D795" s="869"/>
      <c r="E795" s="869"/>
      <c r="F795" s="869"/>
      <c r="G795" s="834"/>
      <c r="H795" s="834"/>
      <c r="I795" s="869"/>
      <c r="J795" s="869"/>
      <c r="K795" s="869"/>
      <c r="L795" s="869"/>
      <c r="M795" s="869"/>
      <c r="N795" s="342" t="s">
        <v>2361</v>
      </c>
      <c r="O795" s="356" t="s">
        <v>2362</v>
      </c>
      <c r="P795" s="76" t="s">
        <v>36</v>
      </c>
      <c r="Q795" s="434">
        <v>70</v>
      </c>
      <c r="R795" s="434">
        <v>123.70480000000001</v>
      </c>
      <c r="S795" s="356" t="s">
        <v>2358</v>
      </c>
      <c r="T795" s="432">
        <v>69.758499999999998</v>
      </c>
      <c r="U795" s="5">
        <f t="shared" si="61"/>
        <v>0.99654999999999994</v>
      </c>
      <c r="V795" s="588"/>
      <c r="W795" s="588"/>
      <c r="X795" s="590"/>
      <c r="Y795" s="590"/>
      <c r="Z795" s="865"/>
      <c r="AA795" s="98"/>
    </row>
    <row r="796" spans="1:27" ht="24" hidden="1" customHeight="1">
      <c r="A796" s="475"/>
      <c r="B796" s="364">
        <f>B774+1</f>
        <v>2</v>
      </c>
      <c r="C796" s="17" t="s">
        <v>2363</v>
      </c>
      <c r="D796" s="17">
        <v>32359.577499999999</v>
      </c>
      <c r="E796" s="17" t="s">
        <v>2364</v>
      </c>
      <c r="F796" s="278" t="s">
        <v>241</v>
      </c>
      <c r="G796" s="313">
        <f>43.5716+176.7127</f>
        <v>220.2843</v>
      </c>
      <c r="H796" s="313">
        <v>0.70250000000000001</v>
      </c>
      <c r="I796" s="279" t="s">
        <v>17</v>
      </c>
      <c r="J796" s="279">
        <v>5.73</v>
      </c>
      <c r="K796" s="279" t="s">
        <v>163</v>
      </c>
      <c r="L796" s="279" t="s">
        <v>163</v>
      </c>
      <c r="M796" s="279">
        <v>29047.767599999999</v>
      </c>
      <c r="N796" s="279" t="s">
        <v>163</v>
      </c>
      <c r="O796" s="279" t="s">
        <v>163</v>
      </c>
      <c r="P796" s="279" t="s">
        <v>163</v>
      </c>
      <c r="Q796" s="434" t="s">
        <v>163</v>
      </c>
      <c r="R796" s="434" t="s">
        <v>163</v>
      </c>
      <c r="S796" s="279" t="s">
        <v>163</v>
      </c>
      <c r="T796" s="279" t="s">
        <v>163</v>
      </c>
      <c r="U796" s="356" t="s">
        <v>163</v>
      </c>
      <c r="V796" s="24"/>
      <c r="W796" s="24"/>
      <c r="X796" s="24"/>
      <c r="Y796" s="24"/>
      <c r="Z796" s="356" t="s">
        <v>1052</v>
      </c>
      <c r="AA796" s="98"/>
    </row>
    <row r="797" spans="1:27" ht="15" customHeight="1">
      <c r="A797" s="475"/>
      <c r="B797" s="866">
        <f>B796+1</f>
        <v>3</v>
      </c>
      <c r="C797" s="868" t="s">
        <v>2365</v>
      </c>
      <c r="D797" s="868">
        <v>64070.645100000002</v>
      </c>
      <c r="E797" s="868" t="s">
        <v>2366</v>
      </c>
      <c r="F797" s="870" t="s">
        <v>1721</v>
      </c>
      <c r="G797" s="597">
        <v>130.29079999999999</v>
      </c>
      <c r="H797" s="597"/>
      <c r="I797" s="877" t="s">
        <v>24</v>
      </c>
      <c r="J797" s="877">
        <v>50.4</v>
      </c>
      <c r="K797" s="877" t="s">
        <v>1722</v>
      </c>
      <c r="L797" s="877">
        <v>54.005299999999998</v>
      </c>
      <c r="M797" s="877">
        <f>SUM(G797,H797,J797,L797)</f>
        <v>234.6961</v>
      </c>
      <c r="N797" s="877" t="s">
        <v>1723</v>
      </c>
      <c r="O797" s="279" t="s">
        <v>1724</v>
      </c>
      <c r="P797" s="76" t="s">
        <v>36</v>
      </c>
      <c r="Q797" s="434">
        <v>15</v>
      </c>
      <c r="R797" s="434">
        <v>86</v>
      </c>
      <c r="S797" s="279" t="s">
        <v>1725</v>
      </c>
      <c r="T797" s="279">
        <v>20</v>
      </c>
      <c r="U797" s="5">
        <f t="shared" ref="U797:U805" si="62">T797/Q797</f>
        <v>1.3333333333333333</v>
      </c>
      <c r="V797" s="877">
        <f>SUM(Q797:Q798)</f>
        <v>65</v>
      </c>
      <c r="W797" s="877">
        <f>SUM(T797:T798)</f>
        <v>90.523820999999998</v>
      </c>
      <c r="X797" s="589">
        <f>W797/V797</f>
        <v>1.3926741692307691</v>
      </c>
      <c r="Y797" s="589">
        <f>W797/M797</f>
        <v>0.38570654135283883</v>
      </c>
      <c r="Z797" s="356" t="s">
        <v>246</v>
      </c>
      <c r="AA797" s="98"/>
    </row>
    <row r="798" spans="1:27" ht="15" hidden="1" customHeight="1">
      <c r="A798" s="475"/>
      <c r="B798" s="867"/>
      <c r="C798" s="869"/>
      <c r="D798" s="869">
        <v>64070.645100000002</v>
      </c>
      <c r="E798" s="869" t="s">
        <v>2281</v>
      </c>
      <c r="F798" s="871"/>
      <c r="G798" s="599"/>
      <c r="H798" s="599"/>
      <c r="I798" s="878"/>
      <c r="J798" s="878"/>
      <c r="K798" s="878"/>
      <c r="L798" s="878"/>
      <c r="M798" s="878"/>
      <c r="N798" s="878"/>
      <c r="O798" s="279" t="s">
        <v>1726</v>
      </c>
      <c r="P798" s="76" t="s">
        <v>27</v>
      </c>
      <c r="Q798" s="434">
        <v>50</v>
      </c>
      <c r="R798" s="434">
        <v>80</v>
      </c>
      <c r="S798" s="279" t="s">
        <v>2367</v>
      </c>
      <c r="T798" s="279">
        <v>70.523820999999998</v>
      </c>
      <c r="U798" s="5">
        <f t="shared" si="62"/>
        <v>1.41047642</v>
      </c>
      <c r="V798" s="588"/>
      <c r="W798" s="588"/>
      <c r="X798" s="590"/>
      <c r="Y798" s="590"/>
      <c r="Z798" s="356" t="s">
        <v>246</v>
      </c>
      <c r="AA798" s="98"/>
    </row>
    <row r="799" spans="1:27" ht="15" customHeight="1">
      <c r="A799" s="475"/>
      <c r="B799" s="866">
        <f>B797+1</f>
        <v>4</v>
      </c>
      <c r="C799" s="868" t="s">
        <v>1727</v>
      </c>
      <c r="D799" s="868">
        <v>61805.727700000003</v>
      </c>
      <c r="E799" s="868" t="s">
        <v>2368</v>
      </c>
      <c r="F799" s="879" t="s">
        <v>1728</v>
      </c>
      <c r="G799" s="832">
        <v>164</v>
      </c>
      <c r="H799" s="832">
        <v>4.2</v>
      </c>
      <c r="I799" s="882" t="s">
        <v>1728</v>
      </c>
      <c r="J799" s="882">
        <v>39.51</v>
      </c>
      <c r="K799" s="882"/>
      <c r="L799" s="882"/>
      <c r="M799" s="882">
        <f t="shared" ref="M799:M805" si="63">SUM(G799,H799,J799,L799)</f>
        <v>207.70999999999998</v>
      </c>
      <c r="N799" s="279" t="s">
        <v>1729</v>
      </c>
      <c r="O799" s="279" t="s">
        <v>1730</v>
      </c>
      <c r="P799" s="76" t="s">
        <v>36</v>
      </c>
      <c r="Q799" s="347">
        <v>13</v>
      </c>
      <c r="R799" s="434">
        <v>13</v>
      </c>
      <c r="S799" s="280" t="s">
        <v>1731</v>
      </c>
      <c r="T799" s="279">
        <v>10.36</v>
      </c>
      <c r="U799" s="16">
        <f t="shared" si="62"/>
        <v>0.79692307692307685</v>
      </c>
      <c r="V799" s="882">
        <f>SUM(Q799:Q803)</f>
        <v>216.4</v>
      </c>
      <c r="W799" s="882">
        <f>SUM(T799:T803)</f>
        <v>193.84</v>
      </c>
      <c r="X799" s="578">
        <f>W799/V799</f>
        <v>0.89574861367837333</v>
      </c>
      <c r="Y799" s="578">
        <f>W799/M799</f>
        <v>0.93322420682682594</v>
      </c>
      <c r="Z799" s="356" t="s">
        <v>21</v>
      </c>
      <c r="AA799" s="98"/>
    </row>
    <row r="800" spans="1:27">
      <c r="A800" s="475"/>
      <c r="B800" s="876"/>
      <c r="C800" s="872"/>
      <c r="D800" s="872">
        <v>61805.727700000003</v>
      </c>
      <c r="E800" s="872" t="s">
        <v>2282</v>
      </c>
      <c r="F800" s="880" t="s">
        <v>1728</v>
      </c>
      <c r="G800" s="833">
        <v>164</v>
      </c>
      <c r="H800" s="833">
        <v>4.2</v>
      </c>
      <c r="I800" s="884" t="s">
        <v>1732</v>
      </c>
      <c r="J800" s="884">
        <v>39.51</v>
      </c>
      <c r="K800" s="884"/>
      <c r="L800" s="884"/>
      <c r="M800" s="884">
        <f t="shared" si="63"/>
        <v>207.70999999999998</v>
      </c>
      <c r="N800" s="279" t="s">
        <v>1729</v>
      </c>
      <c r="O800" s="280" t="s">
        <v>2028</v>
      </c>
      <c r="P800" s="76" t="s">
        <v>36</v>
      </c>
      <c r="Q800" s="434">
        <v>18.5</v>
      </c>
      <c r="R800" s="434">
        <v>18.5</v>
      </c>
      <c r="S800" s="279" t="s">
        <v>1733</v>
      </c>
      <c r="T800" s="279">
        <v>15.54</v>
      </c>
      <c r="U800" s="16">
        <f t="shared" si="62"/>
        <v>0.84</v>
      </c>
      <c r="V800" s="576"/>
      <c r="W800" s="576"/>
      <c r="X800" s="579"/>
      <c r="Y800" s="579"/>
      <c r="Z800" s="356" t="s">
        <v>21</v>
      </c>
      <c r="AA800" s="98"/>
    </row>
    <row r="801" spans="1:27">
      <c r="A801" s="475"/>
      <c r="B801" s="876"/>
      <c r="C801" s="872"/>
      <c r="D801" s="872">
        <v>61805.727700000003</v>
      </c>
      <c r="E801" s="872" t="s">
        <v>2282</v>
      </c>
      <c r="F801" s="880" t="s">
        <v>1728</v>
      </c>
      <c r="G801" s="833">
        <v>164</v>
      </c>
      <c r="H801" s="833">
        <v>4.2</v>
      </c>
      <c r="I801" s="884" t="s">
        <v>1732</v>
      </c>
      <c r="J801" s="884">
        <v>39.51</v>
      </c>
      <c r="K801" s="884"/>
      <c r="L801" s="884"/>
      <c r="M801" s="884">
        <f t="shared" si="63"/>
        <v>207.70999999999998</v>
      </c>
      <c r="N801" s="279" t="s">
        <v>910</v>
      </c>
      <c r="O801" s="279" t="s">
        <v>1734</v>
      </c>
      <c r="P801" s="76" t="s">
        <v>36</v>
      </c>
      <c r="Q801" s="434">
        <v>13</v>
      </c>
      <c r="R801" s="434">
        <v>13</v>
      </c>
      <c r="S801" s="279" t="s">
        <v>1735</v>
      </c>
      <c r="T801" s="279">
        <v>10.23</v>
      </c>
      <c r="U801" s="16">
        <f t="shared" si="62"/>
        <v>0.78692307692307695</v>
      </c>
      <c r="V801" s="576"/>
      <c r="W801" s="576"/>
      <c r="X801" s="579"/>
      <c r="Y801" s="579"/>
      <c r="Z801" s="356" t="s">
        <v>21</v>
      </c>
      <c r="AA801" s="98"/>
    </row>
    <row r="802" spans="1:27">
      <c r="A802" s="475"/>
      <c r="B802" s="876"/>
      <c r="C802" s="872"/>
      <c r="D802" s="872">
        <v>61805.727700000003</v>
      </c>
      <c r="E802" s="872" t="s">
        <v>2282</v>
      </c>
      <c r="F802" s="880" t="s">
        <v>1728</v>
      </c>
      <c r="G802" s="833">
        <v>164</v>
      </c>
      <c r="H802" s="833">
        <v>4.2</v>
      </c>
      <c r="I802" s="884" t="s">
        <v>1732</v>
      </c>
      <c r="J802" s="884">
        <v>39.51</v>
      </c>
      <c r="K802" s="884"/>
      <c r="L802" s="884"/>
      <c r="M802" s="884">
        <f t="shared" si="63"/>
        <v>207.70999999999998</v>
      </c>
      <c r="N802" s="279" t="s">
        <v>1736</v>
      </c>
      <c r="O802" s="279" t="s">
        <v>2029</v>
      </c>
      <c r="P802" s="76" t="s">
        <v>36</v>
      </c>
      <c r="Q802" s="434">
        <v>85.9</v>
      </c>
      <c r="R802" s="434">
        <v>85.9</v>
      </c>
      <c r="S802" s="279" t="s">
        <v>1737</v>
      </c>
      <c r="T802" s="279">
        <v>80.900000000000006</v>
      </c>
      <c r="U802" s="16">
        <f t="shared" si="62"/>
        <v>0.94179278230500585</v>
      </c>
      <c r="V802" s="576"/>
      <c r="W802" s="576"/>
      <c r="X802" s="579"/>
      <c r="Y802" s="579"/>
      <c r="Z802" s="356" t="s">
        <v>21</v>
      </c>
      <c r="AA802" s="98"/>
    </row>
    <row r="803" spans="1:27">
      <c r="A803" s="475"/>
      <c r="B803" s="867"/>
      <c r="C803" s="869"/>
      <c r="D803" s="869">
        <v>61805.727700000003</v>
      </c>
      <c r="E803" s="869" t="s">
        <v>2282</v>
      </c>
      <c r="F803" s="881" t="s">
        <v>1728</v>
      </c>
      <c r="G803" s="834">
        <v>164</v>
      </c>
      <c r="H803" s="834">
        <v>4.2</v>
      </c>
      <c r="I803" s="883" t="s">
        <v>1732</v>
      </c>
      <c r="J803" s="883">
        <v>39.51</v>
      </c>
      <c r="K803" s="883"/>
      <c r="L803" s="883"/>
      <c r="M803" s="883">
        <f t="shared" si="63"/>
        <v>207.70999999999998</v>
      </c>
      <c r="N803" s="279" t="s">
        <v>1738</v>
      </c>
      <c r="O803" s="279" t="s">
        <v>1739</v>
      </c>
      <c r="P803" s="76" t="s">
        <v>36</v>
      </c>
      <c r="Q803" s="434">
        <v>86</v>
      </c>
      <c r="R803" s="434">
        <v>86</v>
      </c>
      <c r="S803" s="279" t="s">
        <v>1740</v>
      </c>
      <c r="T803" s="279">
        <v>76.81</v>
      </c>
      <c r="U803" s="16">
        <f t="shared" si="62"/>
        <v>0.893139534883721</v>
      </c>
      <c r="V803" s="577"/>
      <c r="W803" s="577"/>
      <c r="X803" s="580"/>
      <c r="Y803" s="580"/>
      <c r="Z803" s="356" t="s">
        <v>21</v>
      </c>
      <c r="AA803" s="98"/>
    </row>
    <row r="804" spans="1:27" ht="24">
      <c r="A804" s="475"/>
      <c r="B804" s="866">
        <f>B799+1</f>
        <v>5</v>
      </c>
      <c r="C804" s="868" t="s">
        <v>2369</v>
      </c>
      <c r="D804" s="868">
        <v>53713.190900000001</v>
      </c>
      <c r="E804" s="868" t="s">
        <v>2370</v>
      </c>
      <c r="F804" s="879" t="s">
        <v>466</v>
      </c>
      <c r="G804" s="832">
        <v>259.98</v>
      </c>
      <c r="H804" s="832"/>
      <c r="I804" s="882"/>
      <c r="J804" s="882"/>
      <c r="K804" s="882"/>
      <c r="L804" s="882"/>
      <c r="M804" s="882">
        <f t="shared" si="63"/>
        <v>259.98</v>
      </c>
      <c r="N804" s="279" t="s">
        <v>1742</v>
      </c>
      <c r="O804" s="279" t="s">
        <v>1743</v>
      </c>
      <c r="P804" s="76" t="s">
        <v>36</v>
      </c>
      <c r="Q804" s="434">
        <v>27</v>
      </c>
      <c r="R804" s="434">
        <f>215971.03/10000</f>
        <v>21.597103000000001</v>
      </c>
      <c r="S804" s="279" t="s">
        <v>1744</v>
      </c>
      <c r="T804" s="279">
        <f>215971.03/10000</f>
        <v>21.597103000000001</v>
      </c>
      <c r="U804" s="5">
        <f t="shared" si="62"/>
        <v>0.79989270370370369</v>
      </c>
      <c r="V804" s="877">
        <f>SUM(Q804:Q805)</f>
        <v>79</v>
      </c>
      <c r="W804" s="877">
        <f>SUM(T804:T805)</f>
        <v>61.597103000000004</v>
      </c>
      <c r="X804" s="589">
        <f>W804/V804</f>
        <v>0.77971016455696207</v>
      </c>
      <c r="Y804" s="589">
        <f>W804/M804</f>
        <v>0.23693016001230863</v>
      </c>
      <c r="Z804" s="356" t="s">
        <v>21</v>
      </c>
      <c r="AA804" s="98"/>
    </row>
    <row r="805" spans="1:27" ht="24">
      <c r="A805" s="475"/>
      <c r="B805" s="867"/>
      <c r="C805" s="869"/>
      <c r="D805" s="869">
        <v>53713.190900000001</v>
      </c>
      <c r="E805" s="869" t="s">
        <v>2283</v>
      </c>
      <c r="F805" s="881" t="s">
        <v>31</v>
      </c>
      <c r="G805" s="834"/>
      <c r="H805" s="834"/>
      <c r="I805" s="883"/>
      <c r="J805" s="883"/>
      <c r="K805" s="883"/>
      <c r="L805" s="883"/>
      <c r="M805" s="883">
        <f t="shared" si="63"/>
        <v>0</v>
      </c>
      <c r="N805" s="279" t="s">
        <v>1745</v>
      </c>
      <c r="O805" s="279" t="s">
        <v>1743</v>
      </c>
      <c r="P805" s="76" t="s">
        <v>36</v>
      </c>
      <c r="Q805" s="434">
        <v>52</v>
      </c>
      <c r="R805" s="434">
        <f>400000/10000</f>
        <v>40</v>
      </c>
      <c r="S805" s="279" t="s">
        <v>1746</v>
      </c>
      <c r="T805" s="279">
        <f>400000/10000</f>
        <v>40</v>
      </c>
      <c r="U805" s="5">
        <f t="shared" si="62"/>
        <v>0.76923076923076927</v>
      </c>
      <c r="V805" s="588"/>
      <c r="W805" s="588"/>
      <c r="X805" s="590"/>
      <c r="Y805" s="590"/>
      <c r="Z805" s="356" t="s">
        <v>21</v>
      </c>
      <c r="AA805" s="98"/>
    </row>
    <row r="806" spans="1:27" ht="48">
      <c r="A806" s="475"/>
      <c r="B806" s="364">
        <f>B804+1</f>
        <v>6</v>
      </c>
      <c r="C806" s="17" t="s">
        <v>2371</v>
      </c>
      <c r="D806" s="322">
        <v>35340.696799999998</v>
      </c>
      <c r="E806" s="322" t="s">
        <v>2372</v>
      </c>
      <c r="F806" s="278" t="s">
        <v>1250</v>
      </c>
      <c r="G806" s="313">
        <v>160.0857</v>
      </c>
      <c r="H806" s="313">
        <v>64.034300000000002</v>
      </c>
      <c r="I806" s="279" t="s">
        <v>250</v>
      </c>
      <c r="J806" s="279">
        <v>15</v>
      </c>
      <c r="K806" s="279"/>
      <c r="L806" s="279"/>
      <c r="M806" s="279">
        <f>SUM(G806,H806,J806,L806)</f>
        <v>239.12</v>
      </c>
      <c r="N806" s="279" t="s">
        <v>1747</v>
      </c>
      <c r="O806" s="279" t="s">
        <v>1748</v>
      </c>
      <c r="P806" s="76" t="s">
        <v>36</v>
      </c>
      <c r="Q806" s="434">
        <v>60</v>
      </c>
      <c r="R806" s="434">
        <v>520</v>
      </c>
      <c r="S806" s="279" t="s">
        <v>1749</v>
      </c>
      <c r="T806" s="279">
        <v>53.1</v>
      </c>
      <c r="U806" s="5">
        <f>T806/Q806</f>
        <v>0.88500000000000001</v>
      </c>
      <c r="V806" s="279">
        <f>Q806</f>
        <v>60</v>
      </c>
      <c r="W806" s="279">
        <f>T806</f>
        <v>53.1</v>
      </c>
      <c r="X806" s="27">
        <f>W806/V806</f>
        <v>0.88500000000000001</v>
      </c>
      <c r="Y806" s="27">
        <f>W806/M806</f>
        <v>0.22206423553027768</v>
      </c>
      <c r="Z806" s="356" t="s">
        <v>247</v>
      </c>
      <c r="AA806" s="98"/>
    </row>
    <row r="807" spans="1:27" ht="36" hidden="1" customHeight="1">
      <c r="A807" s="475"/>
      <c r="B807" s="364">
        <f t="shared" ref="B807:B811" si="64">B806+1</f>
        <v>7</v>
      </c>
      <c r="C807" s="17" t="s">
        <v>1750</v>
      </c>
      <c r="D807" s="322">
        <v>41773.126600000003</v>
      </c>
      <c r="E807" s="322" t="s">
        <v>2284</v>
      </c>
      <c r="F807" s="278" t="s">
        <v>1751</v>
      </c>
      <c r="G807" s="313">
        <v>229.87549999999999</v>
      </c>
      <c r="H807" s="313">
        <v>4</v>
      </c>
      <c r="I807" s="279" t="s">
        <v>241</v>
      </c>
      <c r="J807" s="279">
        <v>30.8628</v>
      </c>
      <c r="K807" s="279"/>
      <c r="L807" s="279"/>
      <c r="M807" s="279">
        <f>SUM(G807,H807,J807,L807)</f>
        <v>264.73829999999998</v>
      </c>
      <c r="N807" s="283"/>
      <c r="O807" s="283"/>
      <c r="P807" s="283"/>
      <c r="Q807" s="284"/>
      <c r="R807" s="284"/>
      <c r="S807" s="283"/>
      <c r="T807" s="283"/>
      <c r="U807" s="285"/>
      <c r="V807" s="286"/>
      <c r="W807" s="286"/>
      <c r="X807" s="286"/>
      <c r="Y807" s="286"/>
      <c r="Z807" s="285"/>
      <c r="AA807" s="98"/>
    </row>
    <row r="808" spans="1:27" ht="48" hidden="1" customHeight="1">
      <c r="A808" s="475"/>
      <c r="B808" s="364">
        <f t="shared" si="64"/>
        <v>8</v>
      </c>
      <c r="C808" s="17" t="s">
        <v>1752</v>
      </c>
      <c r="D808" s="322">
        <v>27777.1806</v>
      </c>
      <c r="E808" s="322" t="s">
        <v>2285</v>
      </c>
      <c r="F808" s="281"/>
      <c r="G808" s="282"/>
      <c r="H808" s="282"/>
      <c r="I808" s="283"/>
      <c r="J808" s="283"/>
      <c r="K808" s="283"/>
      <c r="L808" s="283"/>
      <c r="M808" s="283"/>
      <c r="N808" s="283"/>
      <c r="O808" s="283"/>
      <c r="P808" s="283"/>
      <c r="Q808" s="284"/>
      <c r="R808" s="284"/>
      <c r="S808" s="283"/>
      <c r="T808" s="283"/>
      <c r="U808" s="285"/>
      <c r="V808" s="286"/>
      <c r="W808" s="286"/>
      <c r="X808" s="286"/>
      <c r="Y808" s="286"/>
      <c r="Z808" s="285"/>
      <c r="AA808" s="98"/>
    </row>
    <row r="809" spans="1:27" ht="31.5" hidden="1" customHeight="1">
      <c r="A809" s="475"/>
      <c r="B809" s="364">
        <f t="shared" si="64"/>
        <v>9</v>
      </c>
      <c r="C809" s="17" t="s">
        <v>1753</v>
      </c>
      <c r="D809" s="322">
        <v>25750.178199999998</v>
      </c>
      <c r="E809" s="322" t="s">
        <v>2286</v>
      </c>
      <c r="F809" s="281"/>
      <c r="G809" s="282"/>
      <c r="H809" s="282"/>
      <c r="I809" s="283"/>
      <c r="J809" s="283"/>
      <c r="K809" s="283"/>
      <c r="L809" s="283"/>
      <c r="M809" s="283"/>
      <c r="N809" s="283"/>
      <c r="O809" s="283"/>
      <c r="P809" s="283"/>
      <c r="Q809" s="284"/>
      <c r="R809" s="284"/>
      <c r="S809" s="283"/>
      <c r="T809" s="283"/>
      <c r="U809" s="285"/>
      <c r="V809" s="286"/>
      <c r="W809" s="286"/>
      <c r="X809" s="286"/>
      <c r="Y809" s="286"/>
      <c r="Z809" s="285"/>
      <c r="AA809" s="98"/>
    </row>
    <row r="810" spans="1:27" ht="48" hidden="1" customHeight="1">
      <c r="A810" s="475"/>
      <c r="B810" s="364">
        <f t="shared" si="64"/>
        <v>10</v>
      </c>
      <c r="C810" s="17" t="s">
        <v>2373</v>
      </c>
      <c r="D810" s="322">
        <v>24610</v>
      </c>
      <c r="E810" s="322" t="s">
        <v>2287</v>
      </c>
      <c r="F810" s="281"/>
      <c r="G810" s="282"/>
      <c r="H810" s="282"/>
      <c r="I810" s="283"/>
      <c r="J810" s="283"/>
      <c r="K810" s="283"/>
      <c r="L810" s="283"/>
      <c r="M810" s="283"/>
      <c r="N810" s="283"/>
      <c r="O810" s="283"/>
      <c r="P810" s="283"/>
      <c r="Q810" s="284"/>
      <c r="R810" s="284"/>
      <c r="S810" s="283"/>
      <c r="T810" s="283"/>
      <c r="U810" s="285"/>
      <c r="V810" s="286"/>
      <c r="W810" s="286"/>
      <c r="X810" s="286"/>
      <c r="Y810" s="286"/>
      <c r="Z810" s="285"/>
      <c r="AA810" s="98"/>
    </row>
    <row r="811" spans="1:27" ht="96">
      <c r="A811" s="475"/>
      <c r="B811" s="866">
        <f t="shared" si="64"/>
        <v>11</v>
      </c>
      <c r="C811" s="868" t="s">
        <v>2374</v>
      </c>
      <c r="D811" s="868">
        <v>44631.908199999998</v>
      </c>
      <c r="E811" s="868" t="s">
        <v>2375</v>
      </c>
      <c r="F811" s="868" t="s">
        <v>1755</v>
      </c>
      <c r="G811" s="832">
        <v>109.5457</v>
      </c>
      <c r="H811" s="832">
        <v>3.75</v>
      </c>
      <c r="I811" s="868" t="s">
        <v>1756</v>
      </c>
      <c r="J811" s="868">
        <v>44</v>
      </c>
      <c r="K811" s="868"/>
      <c r="L811" s="868"/>
      <c r="M811" s="868">
        <f>G811+H811+J811</f>
        <v>157.29570000000001</v>
      </c>
      <c r="N811" s="279" t="s">
        <v>1757</v>
      </c>
      <c r="O811" s="279" t="s">
        <v>1758</v>
      </c>
      <c r="P811" s="76" t="s">
        <v>36</v>
      </c>
      <c r="Q811" s="434">
        <v>588.0702</v>
      </c>
      <c r="R811" s="434">
        <v>588.0702</v>
      </c>
      <c r="S811" s="279" t="s">
        <v>1759</v>
      </c>
      <c r="T811" s="279">
        <v>145.129278</v>
      </c>
      <c r="U811" s="356">
        <v>0.24678903641095909</v>
      </c>
      <c r="V811" s="877">
        <f>SUM(Q811:Q813)</f>
        <v>924.13151300000004</v>
      </c>
      <c r="W811" s="877">
        <f>SUM(T811:T813)</f>
        <v>175.42561899999998</v>
      </c>
      <c r="X811" s="589">
        <f>W811/V811</f>
        <v>0.18982754784599579</v>
      </c>
      <c r="Y811" s="589">
        <f>W811/M811</f>
        <v>1.1152601056481517</v>
      </c>
      <c r="Z811" s="356" t="s">
        <v>21</v>
      </c>
      <c r="AA811" s="98"/>
    </row>
    <row r="812" spans="1:27" ht="120">
      <c r="A812" s="475"/>
      <c r="B812" s="876"/>
      <c r="C812" s="872"/>
      <c r="D812" s="872">
        <v>44631.908199999998</v>
      </c>
      <c r="E812" s="872" t="s">
        <v>2288</v>
      </c>
      <c r="F812" s="872"/>
      <c r="G812" s="833"/>
      <c r="H812" s="833"/>
      <c r="I812" s="872"/>
      <c r="J812" s="872"/>
      <c r="K812" s="872"/>
      <c r="L812" s="872"/>
      <c r="M812" s="872"/>
      <c r="N812" s="279" t="s">
        <v>1760</v>
      </c>
      <c r="O812" s="279" t="s">
        <v>1761</v>
      </c>
      <c r="P812" s="76" t="s">
        <v>36</v>
      </c>
      <c r="Q812" s="434">
        <v>171.55230499999999</v>
      </c>
      <c r="R812" s="434">
        <v>171.55230499999999</v>
      </c>
      <c r="S812" s="279" t="s">
        <v>1762</v>
      </c>
      <c r="T812" s="279">
        <v>10.699457000000001</v>
      </c>
      <c r="U812" s="356">
        <v>6.2368482895056414E-2</v>
      </c>
      <c r="V812" s="591"/>
      <c r="W812" s="591"/>
      <c r="X812" s="592"/>
      <c r="Y812" s="592"/>
      <c r="Z812" s="356" t="s">
        <v>21</v>
      </c>
      <c r="AA812" s="98"/>
    </row>
    <row r="813" spans="1:27" ht="60">
      <c r="A813" s="475"/>
      <c r="B813" s="867"/>
      <c r="C813" s="869"/>
      <c r="D813" s="869">
        <v>44631.908199999998</v>
      </c>
      <c r="E813" s="869" t="s">
        <v>2288</v>
      </c>
      <c r="F813" s="869"/>
      <c r="G813" s="834"/>
      <c r="H813" s="834"/>
      <c r="I813" s="869"/>
      <c r="J813" s="869"/>
      <c r="K813" s="869"/>
      <c r="L813" s="869"/>
      <c r="M813" s="869"/>
      <c r="N813" s="279" t="s">
        <v>1763</v>
      </c>
      <c r="O813" s="279" t="s">
        <v>1764</v>
      </c>
      <c r="P813" s="76" t="s">
        <v>36</v>
      </c>
      <c r="Q813" s="434">
        <v>164.50900799999999</v>
      </c>
      <c r="R813" s="434">
        <v>164.50900799999999</v>
      </c>
      <c r="S813" s="279" t="s">
        <v>1762</v>
      </c>
      <c r="T813" s="279">
        <v>19.596883999999999</v>
      </c>
      <c r="U813" s="356">
        <v>0.11912347073419834</v>
      </c>
      <c r="V813" s="588"/>
      <c r="W813" s="588"/>
      <c r="X813" s="590"/>
      <c r="Y813" s="590"/>
      <c r="Z813" s="356" t="s">
        <v>21</v>
      </c>
      <c r="AA813" s="98"/>
    </row>
    <row r="814" spans="1:27" ht="36">
      <c r="A814" s="475"/>
      <c r="B814" s="364">
        <f>B811+1</f>
        <v>12</v>
      </c>
      <c r="C814" s="17" t="s">
        <v>2376</v>
      </c>
      <c r="D814" s="322">
        <v>56021.026599999997</v>
      </c>
      <c r="E814" s="322" t="s">
        <v>2377</v>
      </c>
      <c r="F814" s="278" t="s">
        <v>241</v>
      </c>
      <c r="G814" s="313">
        <v>159.4898</v>
      </c>
      <c r="H814" s="313">
        <v>0.9</v>
      </c>
      <c r="I814" s="279" t="s">
        <v>24</v>
      </c>
      <c r="J814" s="279">
        <v>62.954799999999999</v>
      </c>
      <c r="K814" s="279"/>
      <c r="L814" s="279"/>
      <c r="M814" s="279">
        <f>SUM(G814,H814,J814,L814)</f>
        <v>223.34460000000001</v>
      </c>
      <c r="N814" s="279" t="s">
        <v>1765</v>
      </c>
      <c r="O814" s="279" t="s">
        <v>1766</v>
      </c>
      <c r="P814" s="76" t="s">
        <v>36</v>
      </c>
      <c r="Q814" s="434">
        <v>6.0519999999999996</v>
      </c>
      <c r="R814" s="434">
        <v>11.200900000000001</v>
      </c>
      <c r="S814" s="279"/>
      <c r="T814" s="279"/>
      <c r="U814" s="5">
        <f>T814/Q814</f>
        <v>0</v>
      </c>
      <c r="V814" s="279">
        <f>Q814</f>
        <v>6.0519999999999996</v>
      </c>
      <c r="W814" s="279">
        <f>T814</f>
        <v>0</v>
      </c>
      <c r="X814" s="279"/>
      <c r="Y814" s="279"/>
      <c r="Z814" s="356" t="s">
        <v>511</v>
      </c>
      <c r="AA814" s="98"/>
    </row>
    <row r="815" spans="1:27" ht="15" hidden="1" customHeight="1">
      <c r="A815" s="475"/>
      <c r="B815" s="866">
        <f>B814+1</f>
        <v>13</v>
      </c>
      <c r="C815" s="868" t="s">
        <v>2378</v>
      </c>
      <c r="D815" s="868">
        <v>32727.606599999999</v>
      </c>
      <c r="E815" s="868" t="s">
        <v>2289</v>
      </c>
      <c r="F815" s="868" t="s">
        <v>466</v>
      </c>
      <c r="G815" s="832">
        <v>100.8219</v>
      </c>
      <c r="H815" s="832">
        <v>0.9</v>
      </c>
      <c r="I815" s="868" t="s">
        <v>24</v>
      </c>
      <c r="J815" s="868">
        <v>48</v>
      </c>
      <c r="K815" s="868"/>
      <c r="L815" s="868"/>
      <c r="M815" s="868">
        <v>149.72190000000001</v>
      </c>
      <c r="N815" s="279" t="s">
        <v>1767</v>
      </c>
      <c r="O815" s="279" t="s">
        <v>1768</v>
      </c>
      <c r="P815" s="76" t="s">
        <v>27</v>
      </c>
      <c r="Q815" s="434">
        <v>5</v>
      </c>
      <c r="R815" s="434">
        <v>5</v>
      </c>
      <c r="S815" s="279" t="s">
        <v>1769</v>
      </c>
      <c r="T815" s="279">
        <v>5</v>
      </c>
      <c r="U815" s="356">
        <v>1</v>
      </c>
      <c r="V815" s="877">
        <f>SUM(Q815:Q825)</f>
        <v>101.962813</v>
      </c>
      <c r="W815" s="877">
        <f>SUM(T815:T825)</f>
        <v>105.61242799999999</v>
      </c>
      <c r="X815" s="589">
        <f>W815/V815</f>
        <v>1.0357935887861391</v>
      </c>
      <c r="Y815" s="589">
        <f>W815/M815</f>
        <v>0.70539064759397252</v>
      </c>
      <c r="Z815" s="356" t="s">
        <v>21</v>
      </c>
      <c r="AA815" s="98"/>
    </row>
    <row r="816" spans="1:27" ht="15" hidden="1" customHeight="1">
      <c r="A816" s="475"/>
      <c r="B816" s="876"/>
      <c r="C816" s="872"/>
      <c r="D816" s="872">
        <v>32727.606599999999</v>
      </c>
      <c r="E816" s="872" t="s">
        <v>2290</v>
      </c>
      <c r="F816" s="872"/>
      <c r="G816" s="833"/>
      <c r="H816" s="833"/>
      <c r="I816" s="872"/>
      <c r="J816" s="872"/>
      <c r="K816" s="872"/>
      <c r="L816" s="872"/>
      <c r="M816" s="872"/>
      <c r="N816" s="279" t="s">
        <v>1770</v>
      </c>
      <c r="O816" s="279" t="s">
        <v>1768</v>
      </c>
      <c r="P816" s="76" t="s">
        <v>27</v>
      </c>
      <c r="Q816" s="434">
        <v>0.98382700000000001</v>
      </c>
      <c r="R816" s="434">
        <v>0.98382700000000001</v>
      </c>
      <c r="S816" s="279" t="s">
        <v>1771</v>
      </c>
      <c r="T816" s="279">
        <v>0.98382700000000001</v>
      </c>
      <c r="U816" s="356">
        <v>1</v>
      </c>
      <c r="V816" s="591"/>
      <c r="W816" s="591"/>
      <c r="X816" s="592"/>
      <c r="Y816" s="592"/>
      <c r="Z816" s="356" t="s">
        <v>21</v>
      </c>
      <c r="AA816" s="98"/>
    </row>
    <row r="817" spans="1:27" ht="15" hidden="1" customHeight="1">
      <c r="A817" s="475"/>
      <c r="B817" s="876"/>
      <c r="C817" s="872"/>
      <c r="D817" s="872">
        <v>32727.606599999999</v>
      </c>
      <c r="E817" s="872" t="s">
        <v>2290</v>
      </c>
      <c r="F817" s="872"/>
      <c r="G817" s="833"/>
      <c r="H817" s="833"/>
      <c r="I817" s="872"/>
      <c r="J817" s="872"/>
      <c r="K817" s="872"/>
      <c r="L817" s="872"/>
      <c r="M817" s="872"/>
      <c r="N817" s="279" t="s">
        <v>1639</v>
      </c>
      <c r="O817" s="279" t="s">
        <v>1768</v>
      </c>
      <c r="P817" s="76" t="s">
        <v>27</v>
      </c>
      <c r="Q817" s="434">
        <v>1.5975410000000001</v>
      </c>
      <c r="R817" s="434">
        <v>1.5975410000000001</v>
      </c>
      <c r="S817" s="279" t="s">
        <v>1772</v>
      </c>
      <c r="T817" s="279">
        <v>1.5975410000000001</v>
      </c>
      <c r="U817" s="356">
        <v>1</v>
      </c>
      <c r="V817" s="591"/>
      <c r="W817" s="591"/>
      <c r="X817" s="592"/>
      <c r="Y817" s="592"/>
      <c r="Z817" s="356" t="s">
        <v>21</v>
      </c>
      <c r="AA817" s="98"/>
    </row>
    <row r="818" spans="1:27" ht="15" hidden="1" customHeight="1">
      <c r="A818" s="475"/>
      <c r="B818" s="876"/>
      <c r="C818" s="872"/>
      <c r="D818" s="872">
        <v>32727.606599999999</v>
      </c>
      <c r="E818" s="872" t="s">
        <v>2290</v>
      </c>
      <c r="F818" s="872"/>
      <c r="G818" s="833"/>
      <c r="H818" s="833"/>
      <c r="I818" s="872"/>
      <c r="J818" s="872"/>
      <c r="K818" s="872"/>
      <c r="L818" s="872"/>
      <c r="M818" s="872"/>
      <c r="N818" s="279" t="s">
        <v>1773</v>
      </c>
      <c r="O818" s="279" t="s">
        <v>1768</v>
      </c>
      <c r="P818" s="76" t="s">
        <v>27</v>
      </c>
      <c r="Q818" s="434">
        <v>2.0264449999999998</v>
      </c>
      <c r="R818" s="434">
        <v>2.0264449999999998</v>
      </c>
      <c r="S818" s="279" t="s">
        <v>1774</v>
      </c>
      <c r="T818" s="279">
        <v>2.0264449999999998</v>
      </c>
      <c r="U818" s="356">
        <v>1</v>
      </c>
      <c r="V818" s="591"/>
      <c r="W818" s="591"/>
      <c r="X818" s="592"/>
      <c r="Y818" s="592"/>
      <c r="Z818" s="356" t="s">
        <v>21</v>
      </c>
      <c r="AA818" s="98"/>
    </row>
    <row r="819" spans="1:27" ht="15" hidden="1" customHeight="1">
      <c r="A819" s="475"/>
      <c r="B819" s="876"/>
      <c r="C819" s="872"/>
      <c r="D819" s="872">
        <v>32727.606599999999</v>
      </c>
      <c r="E819" s="872" t="s">
        <v>2290</v>
      </c>
      <c r="F819" s="872"/>
      <c r="G819" s="833"/>
      <c r="H819" s="833"/>
      <c r="I819" s="872"/>
      <c r="J819" s="872"/>
      <c r="K819" s="872"/>
      <c r="L819" s="872"/>
      <c r="M819" s="872"/>
      <c r="N819" s="279" t="s">
        <v>786</v>
      </c>
      <c r="O819" s="279" t="s">
        <v>1768</v>
      </c>
      <c r="P819" s="76" t="s">
        <v>27</v>
      </c>
      <c r="Q819" s="434">
        <v>50</v>
      </c>
      <c r="R819" s="434">
        <v>50</v>
      </c>
      <c r="S819" s="279" t="s">
        <v>1775</v>
      </c>
      <c r="T819" s="279">
        <v>50</v>
      </c>
      <c r="U819" s="356">
        <v>1</v>
      </c>
      <c r="V819" s="591"/>
      <c r="W819" s="591"/>
      <c r="X819" s="592"/>
      <c r="Y819" s="592"/>
      <c r="Z819" s="356" t="s">
        <v>21</v>
      </c>
      <c r="AA819" s="98"/>
    </row>
    <row r="820" spans="1:27">
      <c r="A820" s="475"/>
      <c r="B820" s="876"/>
      <c r="C820" s="872"/>
      <c r="D820" s="872">
        <v>32727.606599999999</v>
      </c>
      <c r="E820" s="872" t="s">
        <v>2290</v>
      </c>
      <c r="F820" s="872"/>
      <c r="G820" s="833"/>
      <c r="H820" s="833"/>
      <c r="I820" s="872"/>
      <c r="J820" s="872"/>
      <c r="K820" s="872"/>
      <c r="L820" s="872"/>
      <c r="M820" s="872"/>
      <c r="N820" s="279" t="s">
        <v>1776</v>
      </c>
      <c r="O820" s="279" t="s">
        <v>1777</v>
      </c>
      <c r="P820" s="76" t="s">
        <v>36</v>
      </c>
      <c r="Q820" s="434">
        <v>14.1</v>
      </c>
      <c r="R820" s="434">
        <v>13.2</v>
      </c>
      <c r="S820" s="279" t="s">
        <v>1778</v>
      </c>
      <c r="T820" s="279">
        <v>11.5</v>
      </c>
      <c r="U820" s="356">
        <v>0.81560283687943302</v>
      </c>
      <c r="V820" s="591"/>
      <c r="W820" s="591"/>
      <c r="X820" s="592"/>
      <c r="Y820" s="592"/>
      <c r="Z820" s="356" t="s">
        <v>21</v>
      </c>
      <c r="AA820" s="98"/>
    </row>
    <row r="821" spans="1:27">
      <c r="A821" s="475"/>
      <c r="B821" s="876"/>
      <c r="C821" s="872"/>
      <c r="D821" s="872">
        <v>32727.606599999999</v>
      </c>
      <c r="E821" s="872" t="s">
        <v>2290</v>
      </c>
      <c r="F821" s="872"/>
      <c r="G821" s="833"/>
      <c r="H821" s="833"/>
      <c r="I821" s="872"/>
      <c r="J821" s="872"/>
      <c r="K821" s="872"/>
      <c r="L821" s="872"/>
      <c r="M821" s="872"/>
      <c r="N821" s="279" t="s">
        <v>1077</v>
      </c>
      <c r="O821" s="279" t="s">
        <v>1779</v>
      </c>
      <c r="P821" s="76" t="s">
        <v>36</v>
      </c>
      <c r="Q821" s="434">
        <v>6</v>
      </c>
      <c r="R821" s="434">
        <v>11.7</v>
      </c>
      <c r="S821" s="279" t="s">
        <v>1780</v>
      </c>
      <c r="T821" s="279">
        <v>8.6749399999999994</v>
      </c>
      <c r="U821" s="356">
        <v>1.4458233333333299</v>
      </c>
      <c r="V821" s="591"/>
      <c r="W821" s="591"/>
      <c r="X821" s="592"/>
      <c r="Y821" s="592"/>
      <c r="Z821" s="356" t="s">
        <v>21</v>
      </c>
      <c r="AA821" s="98"/>
    </row>
    <row r="822" spans="1:27">
      <c r="A822" s="475"/>
      <c r="B822" s="876"/>
      <c r="C822" s="872"/>
      <c r="D822" s="872">
        <v>32727.606599999999</v>
      </c>
      <c r="E822" s="872" t="s">
        <v>2290</v>
      </c>
      <c r="F822" s="872"/>
      <c r="G822" s="833"/>
      <c r="H822" s="833"/>
      <c r="I822" s="872"/>
      <c r="J822" s="872"/>
      <c r="K822" s="872"/>
      <c r="L822" s="872"/>
      <c r="M822" s="872"/>
      <c r="N822" s="279" t="s">
        <v>389</v>
      </c>
      <c r="O822" s="279" t="s">
        <v>1781</v>
      </c>
      <c r="P822" s="76" t="s">
        <v>36</v>
      </c>
      <c r="Q822" s="434">
        <v>9.4949999999999992</v>
      </c>
      <c r="R822" s="434">
        <v>9.2949999999999999</v>
      </c>
      <c r="S822" s="279" t="s">
        <v>1782</v>
      </c>
      <c r="T822" s="279">
        <v>9.2953749999999999</v>
      </c>
      <c r="U822" s="356">
        <v>0.97897577672459202</v>
      </c>
      <c r="V822" s="591"/>
      <c r="W822" s="591"/>
      <c r="X822" s="592"/>
      <c r="Y822" s="592"/>
      <c r="Z822" s="356" t="s">
        <v>21</v>
      </c>
      <c r="AA822" s="98"/>
    </row>
    <row r="823" spans="1:27">
      <c r="A823" s="475"/>
      <c r="B823" s="876"/>
      <c r="C823" s="872"/>
      <c r="D823" s="872">
        <v>32727.606599999999</v>
      </c>
      <c r="E823" s="872" t="s">
        <v>2290</v>
      </c>
      <c r="F823" s="872"/>
      <c r="G823" s="833"/>
      <c r="H823" s="833"/>
      <c r="I823" s="872"/>
      <c r="J823" s="872"/>
      <c r="K823" s="872"/>
      <c r="L823" s="872"/>
      <c r="M823" s="872"/>
      <c r="N823" s="279" t="s">
        <v>1783</v>
      </c>
      <c r="O823" s="279" t="s">
        <v>1777</v>
      </c>
      <c r="P823" s="76" t="s">
        <v>36</v>
      </c>
      <c r="Q823" s="434">
        <v>5.5</v>
      </c>
      <c r="R823" s="434">
        <v>10</v>
      </c>
      <c r="S823" s="279" t="s">
        <v>1784</v>
      </c>
      <c r="T823" s="279">
        <v>8</v>
      </c>
      <c r="U823" s="356">
        <v>1.4545454545454499</v>
      </c>
      <c r="V823" s="591"/>
      <c r="W823" s="591"/>
      <c r="X823" s="592"/>
      <c r="Y823" s="592"/>
      <c r="Z823" s="356" t="s">
        <v>21</v>
      </c>
      <c r="AA823" s="98"/>
    </row>
    <row r="824" spans="1:27">
      <c r="A824" s="475"/>
      <c r="B824" s="876"/>
      <c r="C824" s="872"/>
      <c r="D824" s="872">
        <v>32727.606599999999</v>
      </c>
      <c r="E824" s="872" t="s">
        <v>2290</v>
      </c>
      <c r="F824" s="872"/>
      <c r="G824" s="833"/>
      <c r="H824" s="833"/>
      <c r="I824" s="872"/>
      <c r="J824" s="872"/>
      <c r="K824" s="872"/>
      <c r="L824" s="872"/>
      <c r="M824" s="872"/>
      <c r="N824" s="279" t="s">
        <v>1169</v>
      </c>
      <c r="O824" s="279" t="s">
        <v>1777</v>
      </c>
      <c r="P824" s="76" t="s">
        <v>36</v>
      </c>
      <c r="Q824" s="434">
        <v>5.46</v>
      </c>
      <c r="R824" s="434">
        <v>3.46</v>
      </c>
      <c r="S824" s="279" t="s">
        <v>1785</v>
      </c>
      <c r="T824" s="279">
        <v>3.4588000000000001</v>
      </c>
      <c r="U824" s="356">
        <v>0.63347985347985303</v>
      </c>
      <c r="V824" s="591"/>
      <c r="W824" s="591"/>
      <c r="X824" s="592"/>
      <c r="Y824" s="592"/>
      <c r="Z824" s="356" t="s">
        <v>21</v>
      </c>
      <c r="AA824" s="98"/>
    </row>
    <row r="825" spans="1:27">
      <c r="A825" s="475"/>
      <c r="B825" s="867"/>
      <c r="C825" s="869"/>
      <c r="D825" s="869">
        <v>32727.606599999999</v>
      </c>
      <c r="E825" s="869" t="s">
        <v>2290</v>
      </c>
      <c r="F825" s="869"/>
      <c r="G825" s="834"/>
      <c r="H825" s="834"/>
      <c r="I825" s="869"/>
      <c r="J825" s="869"/>
      <c r="K825" s="869"/>
      <c r="L825" s="869"/>
      <c r="M825" s="869"/>
      <c r="N825" s="279" t="s">
        <v>128</v>
      </c>
      <c r="O825" s="279" t="s">
        <v>1779</v>
      </c>
      <c r="P825" s="76" t="s">
        <v>36</v>
      </c>
      <c r="Q825" s="434">
        <v>1.8</v>
      </c>
      <c r="R825" s="434">
        <v>6.2</v>
      </c>
      <c r="S825" s="279" t="s">
        <v>555</v>
      </c>
      <c r="T825" s="279">
        <v>5.0754999999999999</v>
      </c>
      <c r="U825" s="356">
        <v>2.8197222222222198</v>
      </c>
      <c r="V825" s="588"/>
      <c r="W825" s="588"/>
      <c r="X825" s="590"/>
      <c r="Y825" s="590"/>
      <c r="Z825" s="356" t="s">
        <v>21</v>
      </c>
      <c r="AA825" s="98"/>
    </row>
    <row r="826" spans="1:27" ht="24" hidden="1" customHeight="1">
      <c r="A826" s="475"/>
      <c r="B826" s="364">
        <f>B815+1</f>
        <v>14</v>
      </c>
      <c r="C826" s="17" t="s">
        <v>2379</v>
      </c>
      <c r="D826" s="322">
        <v>17387.32</v>
      </c>
      <c r="E826" s="322" t="s">
        <v>2291</v>
      </c>
      <c r="F826" s="278"/>
      <c r="G826" s="313"/>
      <c r="H826" s="313"/>
      <c r="I826" s="279"/>
      <c r="J826" s="279"/>
      <c r="K826" s="279"/>
      <c r="L826" s="279"/>
      <c r="M826" s="279"/>
      <c r="N826" s="279"/>
      <c r="O826" s="279"/>
      <c r="P826" s="279"/>
      <c r="Q826" s="434"/>
      <c r="R826" s="434"/>
      <c r="S826" s="279"/>
      <c r="T826" s="279"/>
      <c r="U826" s="5"/>
      <c r="V826" s="24"/>
      <c r="W826" s="24"/>
      <c r="X826" s="24"/>
      <c r="Y826" s="24"/>
      <c r="Z826" s="356"/>
      <c r="AA826" s="98"/>
    </row>
    <row r="827" spans="1:27" ht="24" hidden="1" customHeight="1">
      <c r="A827" s="475"/>
      <c r="B827" s="364">
        <f>B826+1</f>
        <v>15</v>
      </c>
      <c r="C827" s="17" t="s">
        <v>2380</v>
      </c>
      <c r="D827" s="322">
        <v>44206.663099999998</v>
      </c>
      <c r="E827" s="322" t="s">
        <v>2292</v>
      </c>
      <c r="F827" s="278" t="s">
        <v>2381</v>
      </c>
      <c r="G827" s="313">
        <v>137</v>
      </c>
      <c r="H827" s="313">
        <v>354</v>
      </c>
      <c r="I827" s="279" t="s">
        <v>241</v>
      </c>
      <c r="J827" s="279">
        <v>61</v>
      </c>
      <c r="K827" s="279"/>
      <c r="L827" s="279"/>
      <c r="M827" s="279">
        <f>SUM(G827,H827,J827,L827)</f>
        <v>552</v>
      </c>
      <c r="N827" s="279"/>
      <c r="O827" s="279"/>
      <c r="P827" s="279"/>
      <c r="Q827" s="434"/>
      <c r="R827" s="434"/>
      <c r="S827" s="279"/>
      <c r="T827" s="279"/>
      <c r="U827" s="5"/>
      <c r="V827" s="24"/>
      <c r="W827" s="24"/>
      <c r="X827" s="24"/>
      <c r="Y827" s="24"/>
      <c r="Z827" s="356"/>
      <c r="AA827" s="98"/>
    </row>
    <row r="828" spans="1:27" ht="48" hidden="1" customHeight="1">
      <c r="A828" s="475"/>
      <c r="B828" s="364">
        <f>B827+1</f>
        <v>16</v>
      </c>
      <c r="C828" s="17" t="s">
        <v>2382</v>
      </c>
      <c r="D828" s="322">
        <v>35046</v>
      </c>
      <c r="E828" s="322" t="s">
        <v>2293</v>
      </c>
      <c r="F828" s="356" t="s">
        <v>24</v>
      </c>
      <c r="G828" s="313">
        <v>108.7567</v>
      </c>
      <c r="H828" s="313">
        <v>0.45</v>
      </c>
      <c r="I828" s="279" t="s">
        <v>1786</v>
      </c>
      <c r="J828" s="279">
        <v>35.0456</v>
      </c>
      <c r="K828" s="279"/>
      <c r="L828" s="279"/>
      <c r="M828" s="279">
        <f>SUM(G828,H828,J828,L828)</f>
        <v>144.25229999999999</v>
      </c>
      <c r="N828" s="279"/>
      <c r="O828" s="279"/>
      <c r="P828" s="279"/>
      <c r="Q828" s="434"/>
      <c r="R828" s="434"/>
      <c r="S828" s="279"/>
      <c r="T828" s="279"/>
      <c r="U828" s="5"/>
      <c r="V828" s="24"/>
      <c r="W828" s="24"/>
      <c r="X828" s="24"/>
      <c r="Y828" s="24"/>
      <c r="Z828" s="356"/>
      <c r="AA828" s="98"/>
    </row>
    <row r="829" spans="1:27" ht="108" hidden="1" customHeight="1">
      <c r="A829" s="475"/>
      <c r="B829" s="866">
        <f>B828+1</f>
        <v>17</v>
      </c>
      <c r="C829" s="863" t="s">
        <v>1787</v>
      </c>
      <c r="D829" s="863">
        <v>59447.737289999997</v>
      </c>
      <c r="E829" s="863" t="s">
        <v>2294</v>
      </c>
      <c r="F829" s="863" t="s">
        <v>1563</v>
      </c>
      <c r="G829" s="597">
        <f>924.648867/5</f>
        <v>184.92977339999999</v>
      </c>
      <c r="H829" s="597"/>
      <c r="I829" s="877" t="s">
        <v>1564</v>
      </c>
      <c r="J829" s="877">
        <f>569.8525/5</f>
        <v>113.97049999999999</v>
      </c>
      <c r="K829" s="877"/>
      <c r="L829" s="877"/>
      <c r="M829" s="877">
        <f>SUM(G829,H829,J829,L829)</f>
        <v>298.90027339999995</v>
      </c>
      <c r="N829" s="97" t="s">
        <v>1596</v>
      </c>
      <c r="O829" s="97" t="s">
        <v>1597</v>
      </c>
      <c r="P829" s="76" t="s">
        <v>27</v>
      </c>
      <c r="Q829" s="434">
        <f>6+1.02655</f>
        <v>7.0265500000000003</v>
      </c>
      <c r="R829" s="434">
        <f>6+1.02655</f>
        <v>7.0265500000000003</v>
      </c>
      <c r="S829" s="288" t="s">
        <v>1004</v>
      </c>
      <c r="T829" s="288">
        <f>6+1.1406</f>
        <v>7.1406000000000001</v>
      </c>
      <c r="U829" s="5">
        <f>T829/Q829</f>
        <v>1.0162312941628537</v>
      </c>
      <c r="V829" s="877">
        <f>SUM(Q829:Q842)</f>
        <v>133.02654999999999</v>
      </c>
      <c r="W829" s="877">
        <f>SUM(T829:T842)</f>
        <v>116.324455</v>
      </c>
      <c r="X829" s="589">
        <f>W829/V829</f>
        <v>0.87444540206447519</v>
      </c>
      <c r="Y829" s="589">
        <f>W829/M829</f>
        <v>0.38917480294281998</v>
      </c>
      <c r="Z829" s="356" t="s">
        <v>43</v>
      </c>
      <c r="AA829" s="98"/>
    </row>
    <row r="830" spans="1:27" ht="72" hidden="1" customHeight="1">
      <c r="A830" s="475"/>
      <c r="B830" s="876"/>
      <c r="C830" s="864"/>
      <c r="D830" s="864">
        <v>59447.737289999997</v>
      </c>
      <c r="E830" s="864" t="s">
        <v>2295</v>
      </c>
      <c r="F830" s="864"/>
      <c r="G830" s="598"/>
      <c r="H830" s="598"/>
      <c r="I830" s="885"/>
      <c r="J830" s="885"/>
      <c r="K830" s="885"/>
      <c r="L830" s="885"/>
      <c r="M830" s="885"/>
      <c r="N830" s="97" t="s">
        <v>2383</v>
      </c>
      <c r="O830" s="97" t="s">
        <v>2384</v>
      </c>
      <c r="P830" s="76" t="s">
        <v>27</v>
      </c>
      <c r="Q830" s="434">
        <v>1</v>
      </c>
      <c r="R830" s="434">
        <v>1</v>
      </c>
      <c r="S830" s="288" t="s">
        <v>2385</v>
      </c>
      <c r="T830" s="288">
        <v>0.122588</v>
      </c>
      <c r="U830" s="5">
        <f t="shared" ref="U830:U841" si="65">T830/Q830</f>
        <v>0.122588</v>
      </c>
      <c r="V830" s="591"/>
      <c r="W830" s="591"/>
      <c r="X830" s="592"/>
      <c r="Y830" s="592"/>
      <c r="Z830" s="356" t="s">
        <v>43</v>
      </c>
      <c r="AA830" s="98"/>
    </row>
    <row r="831" spans="1:27" ht="72" hidden="1" customHeight="1">
      <c r="A831" s="475"/>
      <c r="B831" s="876"/>
      <c r="C831" s="864"/>
      <c r="D831" s="864">
        <v>59447.737289999997</v>
      </c>
      <c r="E831" s="864" t="s">
        <v>2295</v>
      </c>
      <c r="F831" s="864"/>
      <c r="G831" s="598"/>
      <c r="H831" s="598"/>
      <c r="I831" s="885"/>
      <c r="J831" s="885"/>
      <c r="K831" s="885"/>
      <c r="L831" s="885"/>
      <c r="M831" s="885"/>
      <c r="N831" s="97" t="s">
        <v>2383</v>
      </c>
      <c r="O831" s="97" t="s">
        <v>2386</v>
      </c>
      <c r="P831" s="76" t="s">
        <v>27</v>
      </c>
      <c r="Q831" s="434">
        <v>1</v>
      </c>
      <c r="R831" s="434">
        <v>1</v>
      </c>
      <c r="S831" s="288" t="s">
        <v>2385</v>
      </c>
      <c r="T831" s="279">
        <v>0.1794</v>
      </c>
      <c r="U831" s="5">
        <f t="shared" si="65"/>
        <v>0.1794</v>
      </c>
      <c r="V831" s="591"/>
      <c r="W831" s="591"/>
      <c r="X831" s="592"/>
      <c r="Y831" s="592"/>
      <c r="Z831" s="356" t="s">
        <v>43</v>
      </c>
      <c r="AA831" s="98"/>
    </row>
    <row r="832" spans="1:27" ht="84" hidden="1" customHeight="1">
      <c r="A832" s="475"/>
      <c r="B832" s="876"/>
      <c r="C832" s="864"/>
      <c r="D832" s="864">
        <v>59447.737289999997</v>
      </c>
      <c r="E832" s="864" t="s">
        <v>2295</v>
      </c>
      <c r="F832" s="864"/>
      <c r="G832" s="598"/>
      <c r="H832" s="598"/>
      <c r="I832" s="885"/>
      <c r="J832" s="885"/>
      <c r="K832" s="885"/>
      <c r="L832" s="885"/>
      <c r="M832" s="885"/>
      <c r="N832" s="97" t="s">
        <v>1788</v>
      </c>
      <c r="O832" s="97" t="s">
        <v>2387</v>
      </c>
      <c r="P832" s="76" t="s">
        <v>27</v>
      </c>
      <c r="Q832" s="434">
        <v>1</v>
      </c>
      <c r="R832" s="434">
        <v>1</v>
      </c>
      <c r="S832" s="288" t="s">
        <v>1789</v>
      </c>
      <c r="T832" s="279">
        <v>0.75048499999999996</v>
      </c>
      <c r="U832" s="5">
        <f t="shared" si="65"/>
        <v>0.75048499999999996</v>
      </c>
      <c r="V832" s="591"/>
      <c r="W832" s="591"/>
      <c r="X832" s="592"/>
      <c r="Y832" s="592"/>
      <c r="Z832" s="356" t="s">
        <v>43</v>
      </c>
      <c r="AA832" s="98"/>
    </row>
    <row r="833" spans="1:27" ht="72" hidden="1" customHeight="1">
      <c r="A833" s="475"/>
      <c r="B833" s="876"/>
      <c r="C833" s="864"/>
      <c r="D833" s="864">
        <v>59447.737289999997</v>
      </c>
      <c r="E833" s="864" t="s">
        <v>2295</v>
      </c>
      <c r="F833" s="864"/>
      <c r="G833" s="598"/>
      <c r="H833" s="598"/>
      <c r="I833" s="885"/>
      <c r="J833" s="885"/>
      <c r="K833" s="885"/>
      <c r="L833" s="885"/>
      <c r="M833" s="885"/>
      <c r="N833" s="97" t="s">
        <v>1788</v>
      </c>
      <c r="O833" s="97" t="s">
        <v>2388</v>
      </c>
      <c r="P833" s="76" t="s">
        <v>27</v>
      </c>
      <c r="Q833" s="434">
        <v>1</v>
      </c>
      <c r="R833" s="434">
        <v>1</v>
      </c>
      <c r="S833" s="288" t="s">
        <v>1301</v>
      </c>
      <c r="T833" s="279">
        <v>0.19725400000000001</v>
      </c>
      <c r="U833" s="5">
        <f t="shared" si="65"/>
        <v>0.19725400000000001</v>
      </c>
      <c r="V833" s="591"/>
      <c r="W833" s="591"/>
      <c r="X833" s="592"/>
      <c r="Y833" s="592"/>
      <c r="Z833" s="356" t="s">
        <v>43</v>
      </c>
      <c r="AA833" s="98"/>
    </row>
    <row r="834" spans="1:27" ht="84" hidden="1" customHeight="1">
      <c r="A834" s="475"/>
      <c r="B834" s="876"/>
      <c r="C834" s="864"/>
      <c r="D834" s="864">
        <v>59447.737289999997</v>
      </c>
      <c r="E834" s="864" t="s">
        <v>2295</v>
      </c>
      <c r="F834" s="864"/>
      <c r="G834" s="598"/>
      <c r="H834" s="598"/>
      <c r="I834" s="885"/>
      <c r="J834" s="885"/>
      <c r="K834" s="885"/>
      <c r="L834" s="885"/>
      <c r="M834" s="885"/>
      <c r="N834" s="97" t="s">
        <v>2389</v>
      </c>
      <c r="O834" s="97" t="s">
        <v>1790</v>
      </c>
      <c r="P834" s="76" t="s">
        <v>27</v>
      </c>
      <c r="Q834" s="434">
        <v>3</v>
      </c>
      <c r="R834" s="434">
        <v>3</v>
      </c>
      <c r="S834" s="288" t="s">
        <v>2390</v>
      </c>
      <c r="T834" s="279">
        <v>0.15141499999999999</v>
      </c>
      <c r="U834" s="5">
        <f t="shared" si="65"/>
        <v>5.0471666666666665E-2</v>
      </c>
      <c r="V834" s="591"/>
      <c r="W834" s="591"/>
      <c r="X834" s="592"/>
      <c r="Y834" s="592"/>
      <c r="Z834" s="356" t="s">
        <v>43</v>
      </c>
      <c r="AA834" s="98"/>
    </row>
    <row r="835" spans="1:27" ht="96" hidden="1" customHeight="1">
      <c r="A835" s="475"/>
      <c r="B835" s="876"/>
      <c r="C835" s="864"/>
      <c r="D835" s="864">
        <v>59447.737289999997</v>
      </c>
      <c r="E835" s="864" t="s">
        <v>2295</v>
      </c>
      <c r="F835" s="864"/>
      <c r="G835" s="598"/>
      <c r="H835" s="598"/>
      <c r="I835" s="885"/>
      <c r="J835" s="885"/>
      <c r="K835" s="885"/>
      <c r="L835" s="885"/>
      <c r="M835" s="885"/>
      <c r="N835" s="97" t="s">
        <v>188</v>
      </c>
      <c r="O835" s="97" t="s">
        <v>1791</v>
      </c>
      <c r="P835" s="76" t="s">
        <v>27</v>
      </c>
      <c r="Q835" s="434">
        <v>8</v>
      </c>
      <c r="R835" s="434">
        <v>8</v>
      </c>
      <c r="S835" s="288" t="s">
        <v>2391</v>
      </c>
      <c r="T835" s="279">
        <v>0.59177100000000005</v>
      </c>
      <c r="U835" s="5">
        <f t="shared" si="65"/>
        <v>7.3971375000000006E-2</v>
      </c>
      <c r="V835" s="591"/>
      <c r="W835" s="591"/>
      <c r="X835" s="592"/>
      <c r="Y835" s="592"/>
      <c r="Z835" s="356" t="s">
        <v>43</v>
      </c>
      <c r="AA835" s="98"/>
    </row>
    <row r="836" spans="1:27" ht="84" hidden="1" customHeight="1">
      <c r="A836" s="475"/>
      <c r="B836" s="876"/>
      <c r="C836" s="864"/>
      <c r="D836" s="864">
        <v>59447.737289999997</v>
      </c>
      <c r="E836" s="864" t="s">
        <v>2295</v>
      </c>
      <c r="F836" s="864"/>
      <c r="G836" s="598"/>
      <c r="H836" s="598"/>
      <c r="I836" s="885"/>
      <c r="J836" s="885"/>
      <c r="K836" s="885"/>
      <c r="L836" s="885"/>
      <c r="M836" s="885"/>
      <c r="N836" s="97" t="s">
        <v>2392</v>
      </c>
      <c r="O836" s="97" t="s">
        <v>1792</v>
      </c>
      <c r="P836" s="76" t="s">
        <v>27</v>
      </c>
      <c r="Q836" s="434">
        <v>2</v>
      </c>
      <c r="R836" s="434">
        <v>2</v>
      </c>
      <c r="S836" s="288" t="s">
        <v>2393</v>
      </c>
      <c r="T836" s="279">
        <v>0.271594</v>
      </c>
      <c r="U836" s="5">
        <f t="shared" si="65"/>
        <v>0.135797</v>
      </c>
      <c r="V836" s="591"/>
      <c r="W836" s="591"/>
      <c r="X836" s="592"/>
      <c r="Y836" s="592"/>
      <c r="Z836" s="356" t="s">
        <v>43</v>
      </c>
      <c r="AA836" s="98"/>
    </row>
    <row r="837" spans="1:27" ht="96" hidden="1" customHeight="1">
      <c r="A837" s="475"/>
      <c r="B837" s="876"/>
      <c r="C837" s="864"/>
      <c r="D837" s="864">
        <v>59447.737289999997</v>
      </c>
      <c r="E837" s="864" t="s">
        <v>2295</v>
      </c>
      <c r="F837" s="864"/>
      <c r="G837" s="598"/>
      <c r="H837" s="598"/>
      <c r="I837" s="885"/>
      <c r="J837" s="885"/>
      <c r="K837" s="885"/>
      <c r="L837" s="885"/>
      <c r="M837" s="885"/>
      <c r="N837" s="97" t="s">
        <v>2394</v>
      </c>
      <c r="O837" s="97" t="s">
        <v>1793</v>
      </c>
      <c r="P837" s="76" t="s">
        <v>27</v>
      </c>
      <c r="Q837" s="434">
        <v>1</v>
      </c>
      <c r="R837" s="434">
        <v>1</v>
      </c>
      <c r="S837" s="288" t="s">
        <v>1433</v>
      </c>
      <c r="T837" s="279">
        <v>0.35262399999999999</v>
      </c>
      <c r="U837" s="5">
        <f t="shared" si="65"/>
        <v>0.35262399999999999</v>
      </c>
      <c r="V837" s="591"/>
      <c r="W837" s="591"/>
      <c r="X837" s="592"/>
      <c r="Y837" s="592"/>
      <c r="Z837" s="356" t="s">
        <v>43</v>
      </c>
      <c r="AA837" s="98"/>
    </row>
    <row r="838" spans="1:27" ht="84" hidden="1" customHeight="1">
      <c r="A838" s="475"/>
      <c r="B838" s="876"/>
      <c r="C838" s="864"/>
      <c r="D838" s="864">
        <v>59447.737289999997</v>
      </c>
      <c r="E838" s="864" t="s">
        <v>2295</v>
      </c>
      <c r="F838" s="864"/>
      <c r="G838" s="598"/>
      <c r="H838" s="598"/>
      <c r="I838" s="885"/>
      <c r="J838" s="885"/>
      <c r="K838" s="885"/>
      <c r="L838" s="885"/>
      <c r="M838" s="885"/>
      <c r="N838" s="97" t="s">
        <v>2395</v>
      </c>
      <c r="O838" s="97" t="s">
        <v>1794</v>
      </c>
      <c r="P838" s="76" t="s">
        <v>27</v>
      </c>
      <c r="Q838" s="434">
        <v>6</v>
      </c>
      <c r="R838" s="434">
        <v>6</v>
      </c>
      <c r="S838" s="288" t="s">
        <v>2396</v>
      </c>
      <c r="T838" s="279">
        <v>6.6582629999999998</v>
      </c>
      <c r="U838" s="5">
        <f t="shared" si="65"/>
        <v>1.1097105</v>
      </c>
      <c r="V838" s="591"/>
      <c r="W838" s="591"/>
      <c r="X838" s="592"/>
      <c r="Y838" s="592"/>
      <c r="Z838" s="356" t="s">
        <v>43</v>
      </c>
      <c r="AA838" s="98"/>
    </row>
    <row r="839" spans="1:27" ht="84" hidden="1" customHeight="1">
      <c r="A839" s="475"/>
      <c r="B839" s="876"/>
      <c r="C839" s="864"/>
      <c r="D839" s="864">
        <v>59447.737289999997</v>
      </c>
      <c r="E839" s="864" t="s">
        <v>2295</v>
      </c>
      <c r="F839" s="864"/>
      <c r="G839" s="598"/>
      <c r="H839" s="598"/>
      <c r="I839" s="885"/>
      <c r="J839" s="885"/>
      <c r="K839" s="885"/>
      <c r="L839" s="885"/>
      <c r="M839" s="885"/>
      <c r="N839" s="97" t="s">
        <v>2397</v>
      </c>
      <c r="O839" s="97" t="s">
        <v>2398</v>
      </c>
      <c r="P839" s="76" t="s">
        <v>27</v>
      </c>
      <c r="Q839" s="434">
        <v>12</v>
      </c>
      <c r="R839" s="434">
        <v>12</v>
      </c>
      <c r="S839" s="288" t="s">
        <v>214</v>
      </c>
      <c r="T839" s="279">
        <v>14.251566</v>
      </c>
      <c r="U839" s="5">
        <f t="shared" si="65"/>
        <v>1.1876305</v>
      </c>
      <c r="V839" s="591"/>
      <c r="W839" s="591"/>
      <c r="X839" s="592"/>
      <c r="Y839" s="592"/>
      <c r="Z839" s="356" t="s">
        <v>43</v>
      </c>
      <c r="AA839" s="98"/>
    </row>
    <row r="840" spans="1:27" ht="84" hidden="1" customHeight="1">
      <c r="A840" s="475"/>
      <c r="B840" s="876"/>
      <c r="C840" s="864"/>
      <c r="D840" s="864">
        <v>59447.737289999997</v>
      </c>
      <c r="E840" s="864" t="s">
        <v>2295</v>
      </c>
      <c r="F840" s="864"/>
      <c r="G840" s="598"/>
      <c r="H840" s="598"/>
      <c r="I840" s="885"/>
      <c r="J840" s="885"/>
      <c r="K840" s="885"/>
      <c r="L840" s="885"/>
      <c r="M840" s="885"/>
      <c r="N840" s="97" t="s">
        <v>2399</v>
      </c>
      <c r="O840" s="97" t="s">
        <v>1795</v>
      </c>
      <c r="P840" s="76" t="s">
        <v>27</v>
      </c>
      <c r="Q840" s="434">
        <v>60</v>
      </c>
      <c r="R840" s="434">
        <v>60</v>
      </c>
      <c r="S840" s="288" t="s">
        <v>1328</v>
      </c>
      <c r="T840" s="279">
        <v>60</v>
      </c>
      <c r="U840" s="5">
        <f t="shared" si="65"/>
        <v>1</v>
      </c>
      <c r="V840" s="591"/>
      <c r="W840" s="591"/>
      <c r="X840" s="592"/>
      <c r="Y840" s="592"/>
      <c r="Z840" s="356" t="s">
        <v>43</v>
      </c>
      <c r="AA840" s="98"/>
    </row>
    <row r="841" spans="1:27" ht="96" hidden="1" customHeight="1">
      <c r="A841" s="475"/>
      <c r="B841" s="876"/>
      <c r="C841" s="864"/>
      <c r="D841" s="864">
        <v>59447.737289999997</v>
      </c>
      <c r="E841" s="864" t="s">
        <v>2295</v>
      </c>
      <c r="F841" s="864"/>
      <c r="G841" s="598"/>
      <c r="H841" s="598"/>
      <c r="I841" s="885"/>
      <c r="J841" s="885"/>
      <c r="K841" s="885"/>
      <c r="L841" s="885"/>
      <c r="M841" s="885"/>
      <c r="N841" s="97" t="s">
        <v>2400</v>
      </c>
      <c r="O841" s="97" t="s">
        <v>2401</v>
      </c>
      <c r="P841" s="76" t="s">
        <v>27</v>
      </c>
      <c r="Q841" s="434">
        <v>12</v>
      </c>
      <c r="R841" s="434">
        <v>12</v>
      </c>
      <c r="S841" s="287" t="s">
        <v>2402</v>
      </c>
      <c r="T841" s="279">
        <v>7.4982369999999996</v>
      </c>
      <c r="U841" s="5">
        <f t="shared" si="65"/>
        <v>0.62485308333333334</v>
      </c>
      <c r="V841" s="591"/>
      <c r="W841" s="591"/>
      <c r="X841" s="592"/>
      <c r="Y841" s="592"/>
      <c r="Z841" s="356" t="s">
        <v>43</v>
      </c>
      <c r="AA841" s="98"/>
    </row>
    <row r="842" spans="1:27" ht="48">
      <c r="A842" s="475"/>
      <c r="B842" s="867"/>
      <c r="C842" s="865"/>
      <c r="D842" s="865">
        <v>59447.737289999997</v>
      </c>
      <c r="E842" s="865" t="s">
        <v>2295</v>
      </c>
      <c r="F842" s="865"/>
      <c r="G842" s="599"/>
      <c r="H842" s="599"/>
      <c r="I842" s="878"/>
      <c r="J842" s="878"/>
      <c r="K842" s="878"/>
      <c r="L842" s="878"/>
      <c r="M842" s="878"/>
      <c r="N842" s="97" t="s">
        <v>1796</v>
      </c>
      <c r="O842" s="97" t="s">
        <v>2403</v>
      </c>
      <c r="P842" s="76" t="s">
        <v>36</v>
      </c>
      <c r="Q842" s="434">
        <v>18</v>
      </c>
      <c r="R842" s="434">
        <v>18</v>
      </c>
      <c r="S842" s="287" t="s">
        <v>2404</v>
      </c>
      <c r="T842" s="287">
        <v>18.158657999999999</v>
      </c>
      <c r="U842" s="5">
        <v>1.0088143333333333</v>
      </c>
      <c r="V842" s="588"/>
      <c r="W842" s="588"/>
      <c r="X842" s="590"/>
      <c r="Y842" s="590"/>
      <c r="Z842" s="356" t="s">
        <v>43</v>
      </c>
      <c r="AA842" s="98"/>
    </row>
    <row r="843" spans="1:27" ht="15" hidden="1" customHeight="1">
      <c r="A843" s="475"/>
      <c r="B843" s="866">
        <f>B829+1</f>
        <v>18</v>
      </c>
      <c r="C843" s="868" t="s">
        <v>1797</v>
      </c>
      <c r="D843" s="868">
        <v>16877.899700000002</v>
      </c>
      <c r="E843" s="868" t="s">
        <v>2405</v>
      </c>
      <c r="F843" s="356"/>
      <c r="G843" s="597">
        <v>220</v>
      </c>
      <c r="H843" s="313"/>
      <c r="I843" s="279" t="s">
        <v>2406</v>
      </c>
      <c r="J843" s="877">
        <v>62.96</v>
      </c>
      <c r="K843" s="279"/>
      <c r="L843" s="279"/>
      <c r="M843" s="877">
        <f>SUM(G843,J843)</f>
        <v>282.95999999999998</v>
      </c>
      <c r="N843" s="279"/>
      <c r="O843" s="279"/>
      <c r="P843" s="76" t="s">
        <v>27</v>
      </c>
      <c r="Q843" s="434">
        <v>8.2245709999999992</v>
      </c>
      <c r="R843" s="434">
        <v>8.2245709999999992</v>
      </c>
      <c r="S843" s="279" t="s">
        <v>1798</v>
      </c>
      <c r="T843" s="279">
        <v>6.4295720000000003</v>
      </c>
      <c r="U843" s="289">
        <f t="shared" ref="U843:U851" si="66">T843/Q843</f>
        <v>0.78175165610461639</v>
      </c>
      <c r="V843" s="877">
        <f>SUM(Q843:Q844)</f>
        <v>22.522271</v>
      </c>
      <c r="W843" s="877">
        <f>SUM(T843:T844)</f>
        <v>14.052772000000001</v>
      </c>
      <c r="X843" s="589">
        <f>W843/V843</f>
        <v>0.62395004482452066</v>
      </c>
      <c r="Y843" s="589">
        <f>W843/M843</f>
        <v>4.9663457732541709E-2</v>
      </c>
      <c r="Z843" s="356" t="s">
        <v>305</v>
      </c>
      <c r="AA843" s="98"/>
    </row>
    <row r="844" spans="1:27">
      <c r="A844" s="475"/>
      <c r="B844" s="867"/>
      <c r="C844" s="869"/>
      <c r="D844" s="869">
        <v>16877.899700000002</v>
      </c>
      <c r="E844" s="869" t="s">
        <v>2074</v>
      </c>
      <c r="F844" s="356" t="s">
        <v>68</v>
      </c>
      <c r="G844" s="599"/>
      <c r="H844" s="313"/>
      <c r="I844" s="279"/>
      <c r="J844" s="878"/>
      <c r="K844" s="279"/>
      <c r="L844" s="279"/>
      <c r="M844" s="878"/>
      <c r="N844" s="279"/>
      <c r="O844" s="279"/>
      <c r="P844" s="76" t="s">
        <v>36</v>
      </c>
      <c r="Q844" s="434">
        <v>14.297700000000001</v>
      </c>
      <c r="R844" s="434">
        <v>14.297700000000001</v>
      </c>
      <c r="S844" s="279" t="s">
        <v>1799</v>
      </c>
      <c r="T844" s="279">
        <v>7.6231999999999998</v>
      </c>
      <c r="U844" s="289">
        <f t="shared" si="66"/>
        <v>0.53317666477825099</v>
      </c>
      <c r="V844" s="588"/>
      <c r="W844" s="588"/>
      <c r="X844" s="590"/>
      <c r="Y844" s="590"/>
      <c r="Z844" s="356" t="s">
        <v>305</v>
      </c>
      <c r="AA844" s="98"/>
    </row>
    <row r="845" spans="1:27" ht="15" customHeight="1">
      <c r="A845" s="475"/>
      <c r="B845" s="866">
        <f>B843+1</f>
        <v>19</v>
      </c>
      <c r="C845" s="868" t="s">
        <v>2407</v>
      </c>
      <c r="D845" s="868">
        <v>41341.8151</v>
      </c>
      <c r="E845" s="868" t="s">
        <v>2408</v>
      </c>
      <c r="F845" s="868" t="s">
        <v>2409</v>
      </c>
      <c r="G845" s="832">
        <v>182.14009999999999</v>
      </c>
      <c r="H845" s="832"/>
      <c r="I845" s="882" t="s">
        <v>2409</v>
      </c>
      <c r="J845" s="882">
        <v>60</v>
      </c>
      <c r="K845" s="882"/>
      <c r="L845" s="882"/>
      <c r="M845" s="882">
        <f>SUM(G845,H845,J845,L845)</f>
        <v>242.14009999999999</v>
      </c>
      <c r="N845" s="280" t="s">
        <v>2410</v>
      </c>
      <c r="O845" s="280" t="s">
        <v>2411</v>
      </c>
      <c r="P845" s="76" t="s">
        <v>36</v>
      </c>
      <c r="Q845" s="347">
        <v>296</v>
      </c>
      <c r="R845" s="347">
        <v>702.25130000000001</v>
      </c>
      <c r="S845" s="280"/>
      <c r="T845" s="280">
        <v>210</v>
      </c>
      <c r="U845" s="16">
        <f t="shared" si="66"/>
        <v>0.70945945945945943</v>
      </c>
      <c r="V845" s="882">
        <f>SUM(Q845:Q846)</f>
        <v>370</v>
      </c>
      <c r="W845" s="882">
        <f>SUM(T845:T846)</f>
        <v>210</v>
      </c>
      <c r="X845" s="578">
        <f>W845/V845</f>
        <v>0.56756756756756754</v>
      </c>
      <c r="Y845" s="578">
        <f>W845/M845</f>
        <v>0.86726651223816298</v>
      </c>
      <c r="Z845" s="342" t="s">
        <v>2412</v>
      </c>
      <c r="AA845" s="98"/>
    </row>
    <row r="846" spans="1:27" ht="15" customHeight="1">
      <c r="A846" s="475"/>
      <c r="B846" s="867"/>
      <c r="C846" s="869"/>
      <c r="D846" s="869">
        <v>41341.8151</v>
      </c>
      <c r="E846" s="869" t="s">
        <v>2296</v>
      </c>
      <c r="F846" s="869"/>
      <c r="G846" s="834"/>
      <c r="H846" s="834"/>
      <c r="I846" s="883"/>
      <c r="J846" s="883"/>
      <c r="K846" s="883"/>
      <c r="L846" s="883"/>
      <c r="M846" s="883"/>
      <c r="N846" s="279" t="s">
        <v>2410</v>
      </c>
      <c r="O846" s="279" t="s">
        <v>2411</v>
      </c>
      <c r="P846" s="76" t="s">
        <v>36</v>
      </c>
      <c r="Q846" s="434">
        <v>74</v>
      </c>
      <c r="R846" s="434">
        <v>181</v>
      </c>
      <c r="S846" s="279"/>
      <c r="T846" s="279"/>
      <c r="U846" s="5">
        <f t="shared" si="66"/>
        <v>0</v>
      </c>
      <c r="V846" s="577"/>
      <c r="W846" s="577"/>
      <c r="X846" s="580"/>
      <c r="Y846" s="580"/>
      <c r="Z846" s="356" t="s">
        <v>2412</v>
      </c>
      <c r="AA846" s="98"/>
    </row>
    <row r="847" spans="1:27" ht="24">
      <c r="A847" s="475"/>
      <c r="B847" s="364">
        <f>B845+1</f>
        <v>20</v>
      </c>
      <c r="C847" s="290" t="s">
        <v>2413</v>
      </c>
      <c r="D847" s="366">
        <v>70413.027900000001</v>
      </c>
      <c r="E847" s="366" t="s">
        <v>2414</v>
      </c>
      <c r="F847" s="356" t="s">
        <v>2415</v>
      </c>
      <c r="G847" s="291">
        <v>267.65570000000002</v>
      </c>
      <c r="H847" s="313">
        <v>0</v>
      </c>
      <c r="I847" s="279"/>
      <c r="J847" s="279"/>
      <c r="K847" s="279"/>
      <c r="L847" s="279"/>
      <c r="M847" s="279">
        <f>SUM(G847,H847,J847,L847)</f>
        <v>267.65570000000002</v>
      </c>
      <c r="N847" s="279" t="s">
        <v>2416</v>
      </c>
      <c r="O847" s="279" t="s">
        <v>2417</v>
      </c>
      <c r="P847" s="76" t="s">
        <v>36</v>
      </c>
      <c r="Q847" s="434">
        <v>50</v>
      </c>
      <c r="R847" s="434">
        <v>158.58000000000001</v>
      </c>
      <c r="S847" s="279" t="s">
        <v>2418</v>
      </c>
      <c r="T847" s="279">
        <v>52.383099999999999</v>
      </c>
      <c r="U847" s="5">
        <f t="shared" si="66"/>
        <v>1.0476619999999999</v>
      </c>
      <c r="V847" s="279">
        <f>Q847</f>
        <v>50</v>
      </c>
      <c r="W847" s="279">
        <f>T847</f>
        <v>52.383099999999999</v>
      </c>
      <c r="X847" s="27">
        <f>W847/V847</f>
        <v>1.0476619999999999</v>
      </c>
      <c r="Y847" s="27">
        <f>W847/M847</f>
        <v>0.19571075826145304</v>
      </c>
      <c r="Z847" s="356" t="s">
        <v>2412</v>
      </c>
      <c r="AA847" s="98"/>
    </row>
    <row r="848" spans="1:27" ht="24">
      <c r="A848" s="475"/>
      <c r="B848" s="866">
        <f>B847+1</f>
        <v>21</v>
      </c>
      <c r="C848" s="863" t="s">
        <v>1802</v>
      </c>
      <c r="D848" s="863">
        <v>56086.243900000001</v>
      </c>
      <c r="E848" s="863" t="s">
        <v>2297</v>
      </c>
      <c r="F848" s="863" t="s">
        <v>2419</v>
      </c>
      <c r="G848" s="597">
        <v>147.24440000000001</v>
      </c>
      <c r="H848" s="597">
        <v>5</v>
      </c>
      <c r="I848" s="877" t="s">
        <v>2420</v>
      </c>
      <c r="J848" s="877">
        <v>49.466194999999999</v>
      </c>
      <c r="K848" s="877"/>
      <c r="L848" s="877"/>
      <c r="M848" s="877">
        <f>SUM(G848,H848,J848,L848)</f>
        <v>201.71059500000001</v>
      </c>
      <c r="N848" s="279" t="s">
        <v>212</v>
      </c>
      <c r="O848" s="279" t="s">
        <v>2421</v>
      </c>
      <c r="P848" s="76" t="s">
        <v>36</v>
      </c>
      <c r="Q848" s="434">
        <v>30</v>
      </c>
      <c r="R848" s="434">
        <v>251</v>
      </c>
      <c r="S848" s="279" t="s">
        <v>353</v>
      </c>
      <c r="T848" s="279">
        <v>54.997599999999998</v>
      </c>
      <c r="U848" s="5">
        <f t="shared" si="66"/>
        <v>1.8332533333333332</v>
      </c>
      <c r="V848" s="877">
        <f>SUM(Q848:Q851)</f>
        <v>40</v>
      </c>
      <c r="W848" s="877">
        <f>SUM(T848:T851)</f>
        <v>82.375499999999988</v>
      </c>
      <c r="X848" s="589">
        <f>W848/V848</f>
        <v>2.0593874999999997</v>
      </c>
      <c r="Y848" s="589">
        <f>W848/M848</f>
        <v>0.40838459675358146</v>
      </c>
      <c r="Z848" s="356" t="s">
        <v>215</v>
      </c>
      <c r="AA848" s="98"/>
    </row>
    <row r="849" spans="1:27" ht="24">
      <c r="A849" s="475"/>
      <c r="B849" s="876"/>
      <c r="C849" s="864"/>
      <c r="D849" s="864">
        <v>56086.243900000001</v>
      </c>
      <c r="E849" s="864" t="s">
        <v>2298</v>
      </c>
      <c r="F849" s="864"/>
      <c r="G849" s="598"/>
      <c r="H849" s="598"/>
      <c r="I849" s="885"/>
      <c r="J849" s="885"/>
      <c r="K849" s="885"/>
      <c r="L849" s="885"/>
      <c r="M849" s="885"/>
      <c r="N849" s="279" t="s">
        <v>216</v>
      </c>
      <c r="O849" s="279" t="s">
        <v>2421</v>
      </c>
      <c r="P849" s="76" t="s">
        <v>36</v>
      </c>
      <c r="Q849" s="434">
        <v>1</v>
      </c>
      <c r="R849" s="434">
        <v>50</v>
      </c>
      <c r="S849" s="279" t="s">
        <v>353</v>
      </c>
      <c r="T849" s="279">
        <v>3.0331999999999999</v>
      </c>
      <c r="U849" s="5">
        <f t="shared" si="66"/>
        <v>3.0331999999999999</v>
      </c>
      <c r="V849" s="591"/>
      <c r="W849" s="591"/>
      <c r="X849" s="592"/>
      <c r="Y849" s="592"/>
      <c r="Z849" s="356" t="s">
        <v>215</v>
      </c>
      <c r="AA849" s="98"/>
    </row>
    <row r="850" spans="1:27" ht="24">
      <c r="A850" s="475"/>
      <c r="B850" s="876"/>
      <c r="C850" s="864"/>
      <c r="D850" s="864">
        <v>56086.243900000001</v>
      </c>
      <c r="E850" s="864" t="s">
        <v>2298</v>
      </c>
      <c r="F850" s="864"/>
      <c r="G850" s="598"/>
      <c r="H850" s="598"/>
      <c r="I850" s="885"/>
      <c r="J850" s="885"/>
      <c r="K850" s="885"/>
      <c r="L850" s="885"/>
      <c r="M850" s="885"/>
      <c r="N850" s="279" t="s">
        <v>2422</v>
      </c>
      <c r="O850" s="279" t="s">
        <v>2421</v>
      </c>
      <c r="P850" s="76" t="s">
        <v>36</v>
      </c>
      <c r="Q850" s="434">
        <v>7</v>
      </c>
      <c r="R850" s="434">
        <v>28</v>
      </c>
      <c r="S850" s="279" t="s">
        <v>353</v>
      </c>
      <c r="T850" s="279">
        <v>19.197199999999999</v>
      </c>
      <c r="U850" s="5">
        <f t="shared" si="66"/>
        <v>2.7424571428571425</v>
      </c>
      <c r="V850" s="591"/>
      <c r="W850" s="591"/>
      <c r="X850" s="592"/>
      <c r="Y850" s="592"/>
      <c r="Z850" s="356" t="s">
        <v>215</v>
      </c>
      <c r="AA850" s="98"/>
    </row>
    <row r="851" spans="1:27" ht="24">
      <c r="A851" s="475"/>
      <c r="B851" s="867"/>
      <c r="C851" s="865"/>
      <c r="D851" s="865">
        <v>56086.243900000001</v>
      </c>
      <c r="E851" s="865" t="s">
        <v>2298</v>
      </c>
      <c r="F851" s="865"/>
      <c r="G851" s="599"/>
      <c r="H851" s="599"/>
      <c r="I851" s="878"/>
      <c r="J851" s="878"/>
      <c r="K851" s="878"/>
      <c r="L851" s="878"/>
      <c r="M851" s="878"/>
      <c r="N851" s="279" t="s">
        <v>218</v>
      </c>
      <c r="O851" s="279" t="s">
        <v>2421</v>
      </c>
      <c r="P851" s="76" t="s">
        <v>36</v>
      </c>
      <c r="Q851" s="434">
        <v>2</v>
      </c>
      <c r="R851" s="434">
        <v>30</v>
      </c>
      <c r="S851" s="279" t="s">
        <v>353</v>
      </c>
      <c r="T851" s="279">
        <v>5.1475</v>
      </c>
      <c r="U851" s="5">
        <f t="shared" si="66"/>
        <v>2.57375</v>
      </c>
      <c r="V851" s="588"/>
      <c r="W851" s="588"/>
      <c r="X851" s="590"/>
      <c r="Y851" s="590"/>
      <c r="Z851" s="356" t="s">
        <v>215</v>
      </c>
      <c r="AA851" s="98"/>
    </row>
    <row r="852" spans="1:27" ht="15" customHeight="1">
      <c r="A852" s="475"/>
      <c r="B852" s="866">
        <f>B848+1</f>
        <v>22</v>
      </c>
      <c r="C852" s="868" t="s">
        <v>1803</v>
      </c>
      <c r="D852" s="868">
        <v>59151.8626</v>
      </c>
      <c r="E852" s="868" t="s">
        <v>2299</v>
      </c>
      <c r="F852" s="868" t="s">
        <v>2423</v>
      </c>
      <c r="G852" s="832">
        <v>155.30000000000001</v>
      </c>
      <c r="H852" s="832"/>
      <c r="I852" s="882" t="s">
        <v>2423</v>
      </c>
      <c r="J852" s="882">
        <v>52.173894509999997</v>
      </c>
      <c r="K852" s="882"/>
      <c r="L852" s="882"/>
      <c r="M852" s="882">
        <f>G852+H852+J852+L852</f>
        <v>207.47389451000001</v>
      </c>
      <c r="N852" s="279" t="s">
        <v>2424</v>
      </c>
      <c r="O852" s="279" t="s">
        <v>2425</v>
      </c>
      <c r="P852" s="76" t="s">
        <v>36</v>
      </c>
      <c r="Q852" s="434" t="s">
        <v>2426</v>
      </c>
      <c r="R852" s="434">
        <v>10.934799999999999</v>
      </c>
      <c r="S852" s="279" t="s">
        <v>2427</v>
      </c>
      <c r="T852" s="279">
        <v>5.9348000000000001</v>
      </c>
      <c r="U852" s="5" t="s">
        <v>2426</v>
      </c>
      <c r="V852" s="877">
        <f>SUM(Q852:Q859)</f>
        <v>52.510300000000001</v>
      </c>
      <c r="W852" s="877">
        <f>SUM(T852:T859)</f>
        <v>161.97579999999999</v>
      </c>
      <c r="X852" s="589">
        <f>W852/V852</f>
        <v>3.084648154742974</v>
      </c>
      <c r="Y852" s="589">
        <f>W852/M852</f>
        <v>0.78070448517171365</v>
      </c>
      <c r="Z852" s="356" t="s">
        <v>215</v>
      </c>
      <c r="AA852" s="98"/>
    </row>
    <row r="853" spans="1:27" ht="15" customHeight="1">
      <c r="A853" s="475"/>
      <c r="B853" s="876"/>
      <c r="C853" s="872"/>
      <c r="D853" s="872">
        <v>59151.8626</v>
      </c>
      <c r="E853" s="872" t="s">
        <v>2300</v>
      </c>
      <c r="F853" s="872"/>
      <c r="G853" s="833"/>
      <c r="H853" s="833"/>
      <c r="I853" s="884"/>
      <c r="J853" s="884"/>
      <c r="K853" s="884"/>
      <c r="L853" s="884"/>
      <c r="M853" s="884"/>
      <c r="N853" s="279" t="s">
        <v>212</v>
      </c>
      <c r="O853" s="279" t="s">
        <v>2428</v>
      </c>
      <c r="P853" s="76" t="s">
        <v>36</v>
      </c>
      <c r="Q853" s="434">
        <v>1</v>
      </c>
      <c r="R853" s="434">
        <v>5.9318999999999997</v>
      </c>
      <c r="S853" s="279" t="s">
        <v>2429</v>
      </c>
      <c r="T853" s="279">
        <v>5.3548</v>
      </c>
      <c r="U853" s="5">
        <f t="shared" ref="U853:U858" si="67">T853/Q853</f>
        <v>5.3548</v>
      </c>
      <c r="V853" s="591"/>
      <c r="W853" s="591"/>
      <c r="X853" s="592"/>
      <c r="Y853" s="592"/>
      <c r="Z853" s="356" t="s">
        <v>215</v>
      </c>
      <c r="AA853" s="98"/>
    </row>
    <row r="854" spans="1:27" ht="15" customHeight="1">
      <c r="A854" s="475"/>
      <c r="B854" s="876"/>
      <c r="C854" s="872"/>
      <c r="D854" s="872">
        <v>59151.8626</v>
      </c>
      <c r="E854" s="872" t="s">
        <v>2300</v>
      </c>
      <c r="F854" s="872"/>
      <c r="G854" s="833"/>
      <c r="H854" s="833"/>
      <c r="I854" s="884"/>
      <c r="J854" s="884"/>
      <c r="K854" s="884"/>
      <c r="L854" s="884"/>
      <c r="M854" s="884"/>
      <c r="N854" s="279" t="s">
        <v>216</v>
      </c>
      <c r="O854" s="279" t="s">
        <v>2428</v>
      </c>
      <c r="P854" s="76" t="s">
        <v>36</v>
      </c>
      <c r="Q854" s="434">
        <v>3.5506000000000002</v>
      </c>
      <c r="R854" s="434">
        <v>21.7501</v>
      </c>
      <c r="S854" s="279" t="s">
        <v>2429</v>
      </c>
      <c r="T854" s="279">
        <v>19.8001</v>
      </c>
      <c r="U854" s="5">
        <f t="shared" si="67"/>
        <v>5.5765504421787861</v>
      </c>
      <c r="V854" s="591"/>
      <c r="W854" s="591"/>
      <c r="X854" s="592"/>
      <c r="Y854" s="592"/>
      <c r="Z854" s="356" t="s">
        <v>215</v>
      </c>
      <c r="AA854" s="98"/>
    </row>
    <row r="855" spans="1:27" ht="15" customHeight="1">
      <c r="A855" s="475"/>
      <c r="B855" s="876"/>
      <c r="C855" s="872"/>
      <c r="D855" s="872">
        <v>59151.8626</v>
      </c>
      <c r="E855" s="872" t="s">
        <v>2300</v>
      </c>
      <c r="F855" s="872"/>
      <c r="G855" s="833"/>
      <c r="H855" s="833"/>
      <c r="I855" s="884"/>
      <c r="J855" s="884"/>
      <c r="K855" s="884"/>
      <c r="L855" s="884"/>
      <c r="M855" s="884"/>
      <c r="N855" s="279" t="s">
        <v>2422</v>
      </c>
      <c r="O855" s="279" t="s">
        <v>2428</v>
      </c>
      <c r="P855" s="76" t="s">
        <v>36</v>
      </c>
      <c r="Q855" s="434">
        <v>6.0496999999999996</v>
      </c>
      <c r="R855" s="434">
        <v>47.220199999999998</v>
      </c>
      <c r="S855" s="279" t="s">
        <v>2429</v>
      </c>
      <c r="T855" s="279">
        <v>42.498100000000001</v>
      </c>
      <c r="U855" s="5">
        <f t="shared" si="67"/>
        <v>7.0248276774054919</v>
      </c>
      <c r="V855" s="591"/>
      <c r="W855" s="591"/>
      <c r="X855" s="592"/>
      <c r="Y855" s="592"/>
      <c r="Z855" s="356" t="s">
        <v>215</v>
      </c>
      <c r="AA855" s="98"/>
    </row>
    <row r="856" spans="1:27" ht="15" customHeight="1">
      <c r="A856" s="475"/>
      <c r="B856" s="876"/>
      <c r="C856" s="872"/>
      <c r="D856" s="872">
        <v>59151.8626</v>
      </c>
      <c r="E856" s="872" t="s">
        <v>2300</v>
      </c>
      <c r="F856" s="872"/>
      <c r="G856" s="833"/>
      <c r="H856" s="833"/>
      <c r="I856" s="884"/>
      <c r="J856" s="884"/>
      <c r="K856" s="884"/>
      <c r="L856" s="884"/>
      <c r="M856" s="884"/>
      <c r="N856" s="279" t="s">
        <v>218</v>
      </c>
      <c r="O856" s="279" t="s">
        <v>2428</v>
      </c>
      <c r="P856" s="76" t="s">
        <v>36</v>
      </c>
      <c r="Q856" s="434">
        <v>7.31</v>
      </c>
      <c r="R856" s="434">
        <v>57.051099999999998</v>
      </c>
      <c r="S856" s="279" t="s">
        <v>2429</v>
      </c>
      <c r="T856" s="279">
        <v>51.590299999999999</v>
      </c>
      <c r="U856" s="5">
        <f t="shared" si="67"/>
        <v>7.0574965800273599</v>
      </c>
      <c r="V856" s="591"/>
      <c r="W856" s="591"/>
      <c r="X856" s="592"/>
      <c r="Y856" s="592"/>
      <c r="Z856" s="356" t="s">
        <v>215</v>
      </c>
      <c r="AA856" s="98"/>
    </row>
    <row r="857" spans="1:27" ht="15" customHeight="1">
      <c r="A857" s="475"/>
      <c r="B857" s="876"/>
      <c r="C857" s="872"/>
      <c r="D857" s="872">
        <v>59151.8626</v>
      </c>
      <c r="E857" s="872" t="s">
        <v>2300</v>
      </c>
      <c r="F857" s="872"/>
      <c r="G857" s="833"/>
      <c r="H857" s="833"/>
      <c r="I857" s="884"/>
      <c r="J857" s="884"/>
      <c r="K857" s="884"/>
      <c r="L857" s="884"/>
      <c r="M857" s="884"/>
      <c r="N857" s="279" t="s">
        <v>2430</v>
      </c>
      <c r="O857" s="279" t="s">
        <v>2431</v>
      </c>
      <c r="P857" s="76" t="s">
        <v>36</v>
      </c>
      <c r="Q857" s="434">
        <v>15.6</v>
      </c>
      <c r="R857" s="434">
        <v>30.450163</v>
      </c>
      <c r="S857" s="279" t="s">
        <v>2429</v>
      </c>
      <c r="T857" s="279">
        <v>20.450099999999999</v>
      </c>
      <c r="U857" s="5">
        <f t="shared" si="67"/>
        <v>1.310903846153846</v>
      </c>
      <c r="V857" s="591"/>
      <c r="W857" s="591"/>
      <c r="X857" s="592"/>
      <c r="Y857" s="592"/>
      <c r="Z857" s="356" t="s">
        <v>215</v>
      </c>
      <c r="AA857" s="98"/>
    </row>
    <row r="858" spans="1:27" ht="24">
      <c r="A858" s="475"/>
      <c r="B858" s="876"/>
      <c r="C858" s="872"/>
      <c r="D858" s="872">
        <v>59151.8626</v>
      </c>
      <c r="E858" s="872" t="s">
        <v>2300</v>
      </c>
      <c r="F858" s="872"/>
      <c r="G858" s="833"/>
      <c r="H858" s="833"/>
      <c r="I858" s="884"/>
      <c r="J858" s="884"/>
      <c r="K858" s="884"/>
      <c r="L858" s="884"/>
      <c r="M858" s="884"/>
      <c r="N858" s="279" t="s">
        <v>2430</v>
      </c>
      <c r="O858" s="279" t="s">
        <v>2432</v>
      </c>
      <c r="P858" s="76" t="s">
        <v>36</v>
      </c>
      <c r="Q858" s="434">
        <v>19</v>
      </c>
      <c r="R858" s="434">
        <v>10.408799999999999</v>
      </c>
      <c r="S858" s="279" t="s">
        <v>2429</v>
      </c>
      <c r="T858" s="279">
        <v>9.8835999999999995</v>
      </c>
      <c r="U858" s="5">
        <f t="shared" si="67"/>
        <v>0.52018947368421053</v>
      </c>
      <c r="V858" s="591"/>
      <c r="W858" s="591"/>
      <c r="X858" s="592"/>
      <c r="Y858" s="592"/>
      <c r="Z858" s="356" t="s">
        <v>215</v>
      </c>
      <c r="AA858" s="98"/>
    </row>
    <row r="859" spans="1:27" ht="24">
      <c r="A859" s="475"/>
      <c r="B859" s="867"/>
      <c r="C859" s="869"/>
      <c r="D859" s="869">
        <v>59151.8626</v>
      </c>
      <c r="E859" s="869" t="s">
        <v>2300</v>
      </c>
      <c r="F859" s="869"/>
      <c r="G859" s="834"/>
      <c r="H859" s="834"/>
      <c r="I859" s="883"/>
      <c r="J859" s="883"/>
      <c r="K859" s="883"/>
      <c r="L859" s="883"/>
      <c r="M859" s="883"/>
      <c r="N859" s="279" t="s">
        <v>2433</v>
      </c>
      <c r="O859" s="279" t="s">
        <v>2428</v>
      </c>
      <c r="P859" s="76" t="s">
        <v>36</v>
      </c>
      <c r="Q859" s="434" t="s">
        <v>2426</v>
      </c>
      <c r="R859" s="434">
        <v>8.6852800000000006</v>
      </c>
      <c r="S859" s="279" t="s">
        <v>2434</v>
      </c>
      <c r="T859" s="279">
        <v>6.4640000000000004</v>
      </c>
      <c r="U859" s="5" t="s">
        <v>2426</v>
      </c>
      <c r="V859" s="588"/>
      <c r="W859" s="588"/>
      <c r="X859" s="590"/>
      <c r="Y859" s="590"/>
      <c r="Z859" s="356" t="s">
        <v>215</v>
      </c>
      <c r="AA859" s="98"/>
    </row>
    <row r="860" spans="1:27" ht="24" hidden="1" customHeight="1">
      <c r="A860" s="475"/>
      <c r="B860" s="364">
        <f>B852+1</f>
        <v>23</v>
      </c>
      <c r="C860" s="17" t="s">
        <v>2435</v>
      </c>
      <c r="D860" s="322">
        <v>24467.8367</v>
      </c>
      <c r="E860" s="322" t="s">
        <v>2436</v>
      </c>
      <c r="F860" s="278" t="s">
        <v>810</v>
      </c>
      <c r="G860" s="313">
        <v>26.1205</v>
      </c>
      <c r="H860" s="313"/>
      <c r="I860" s="279" t="s">
        <v>1804</v>
      </c>
      <c r="J860" s="279">
        <v>40.734900000000003</v>
      </c>
      <c r="K860" s="279"/>
      <c r="L860" s="279"/>
      <c r="M860" s="279">
        <v>66.855400000000003</v>
      </c>
      <c r="N860" s="279"/>
      <c r="O860" s="279"/>
      <c r="P860" s="279"/>
      <c r="Q860" s="434"/>
      <c r="R860" s="434"/>
      <c r="S860" s="279"/>
      <c r="T860" s="279"/>
      <c r="U860" s="5"/>
      <c r="V860" s="24"/>
      <c r="W860" s="24"/>
      <c r="X860" s="24"/>
      <c r="Y860" s="24"/>
      <c r="Z860" s="356"/>
      <c r="AA860" s="98"/>
    </row>
    <row r="861" spans="1:27" ht="24">
      <c r="A861" s="475"/>
      <c r="B861" s="866">
        <f>B860+1</f>
        <v>24</v>
      </c>
      <c r="C861" s="868" t="s">
        <v>2437</v>
      </c>
      <c r="D861" s="868">
        <v>48006.4614</v>
      </c>
      <c r="E861" s="868" t="s">
        <v>2301</v>
      </c>
      <c r="F861" s="868" t="s">
        <v>2438</v>
      </c>
      <c r="G861" s="832">
        <v>111.57769999999999</v>
      </c>
      <c r="H861" s="832"/>
      <c r="I861" s="868" t="s">
        <v>2439</v>
      </c>
      <c r="J861" s="868">
        <v>92.157300000000006</v>
      </c>
      <c r="K861" s="868"/>
      <c r="L861" s="868"/>
      <c r="M861" s="868">
        <v>203.73500000000001</v>
      </c>
      <c r="N861" s="279" t="s">
        <v>1806</v>
      </c>
      <c r="O861" s="279" t="s">
        <v>1807</v>
      </c>
      <c r="P861" s="76" t="s">
        <v>36</v>
      </c>
      <c r="Q861" s="434">
        <v>47.8202</v>
      </c>
      <c r="R861" s="434">
        <v>50</v>
      </c>
      <c r="S861" s="279" t="s">
        <v>1808</v>
      </c>
      <c r="T861" s="279">
        <v>38.865299999999998</v>
      </c>
      <c r="U861" s="5">
        <f>T861/Q861</f>
        <v>0.81273813158456043</v>
      </c>
      <c r="V861" s="877">
        <f>SUM(Q861:Q862)</f>
        <v>147.8202</v>
      </c>
      <c r="W861" s="877">
        <f>SUM(T861:T862)</f>
        <v>98.865299999999991</v>
      </c>
      <c r="X861" s="589">
        <f>W861/V861</f>
        <v>0.66882131129574973</v>
      </c>
      <c r="Y861" s="589">
        <f>W861/M861</f>
        <v>0.48526419122880204</v>
      </c>
      <c r="Z861" s="356" t="s">
        <v>43</v>
      </c>
      <c r="AA861" s="98"/>
    </row>
    <row r="862" spans="1:27" ht="15" hidden="1" customHeight="1">
      <c r="A862" s="475"/>
      <c r="B862" s="867"/>
      <c r="C862" s="869"/>
      <c r="D862" s="869">
        <v>48006.4614</v>
      </c>
      <c r="E862" s="869" t="s">
        <v>2302</v>
      </c>
      <c r="F862" s="869"/>
      <c r="G862" s="834"/>
      <c r="H862" s="834"/>
      <c r="I862" s="869"/>
      <c r="J862" s="869"/>
      <c r="K862" s="869"/>
      <c r="L862" s="869"/>
      <c r="M862" s="869"/>
      <c r="N862" s="279" t="s">
        <v>1809</v>
      </c>
      <c r="O862" s="279" t="s">
        <v>1810</v>
      </c>
      <c r="P862" s="76" t="s">
        <v>27</v>
      </c>
      <c r="Q862" s="434">
        <v>100</v>
      </c>
      <c r="R862" s="434">
        <v>120</v>
      </c>
      <c r="S862" s="279" t="s">
        <v>1811</v>
      </c>
      <c r="T862" s="279">
        <v>60</v>
      </c>
      <c r="U862" s="5">
        <f>T862/Q862</f>
        <v>0.6</v>
      </c>
      <c r="V862" s="588"/>
      <c r="W862" s="588"/>
      <c r="X862" s="590"/>
      <c r="Y862" s="590"/>
      <c r="Z862" s="356" t="s">
        <v>43</v>
      </c>
      <c r="AA862" s="98"/>
    </row>
    <row r="863" spans="1:27" ht="24" hidden="1" customHeight="1">
      <c r="A863" s="475"/>
      <c r="B863" s="364">
        <f>B861+1</f>
        <v>25</v>
      </c>
      <c r="C863" s="17" t="s">
        <v>2440</v>
      </c>
      <c r="D863" s="322">
        <v>27767.25</v>
      </c>
      <c r="E863" s="322" t="s">
        <v>2303</v>
      </c>
      <c r="F863" s="278" t="s">
        <v>250</v>
      </c>
      <c r="G863" s="313">
        <f>22353*0.003</f>
        <v>67.058999999999997</v>
      </c>
      <c r="H863" s="313">
        <f>200*0.004</f>
        <v>0.8</v>
      </c>
      <c r="I863" s="279" t="s">
        <v>250</v>
      </c>
      <c r="J863" s="279">
        <v>45</v>
      </c>
      <c r="K863" s="279" t="s">
        <v>1812</v>
      </c>
      <c r="L863" s="279">
        <v>45</v>
      </c>
      <c r="M863" s="279">
        <v>22643</v>
      </c>
      <c r="N863" s="279"/>
      <c r="O863" s="279"/>
      <c r="P863" s="279"/>
      <c r="Q863" s="434"/>
      <c r="R863" s="434"/>
      <c r="S863" s="279"/>
      <c r="T863" s="279"/>
      <c r="U863" s="356"/>
      <c r="V863" s="24"/>
      <c r="W863" s="24"/>
      <c r="X863" s="24"/>
      <c r="Y863" s="24"/>
      <c r="Z863" s="356"/>
      <c r="AA863" s="98"/>
    </row>
    <row r="864" spans="1:27" ht="108">
      <c r="A864" s="475"/>
      <c r="B864" s="775">
        <f>B863+1</f>
        <v>26</v>
      </c>
      <c r="C864" s="797" t="s">
        <v>1813</v>
      </c>
      <c r="D864" s="863">
        <v>54279.9281560538</v>
      </c>
      <c r="E864" s="863" t="s">
        <v>2304</v>
      </c>
      <c r="F864" s="797" t="s">
        <v>39</v>
      </c>
      <c r="G864" s="886">
        <v>308.66980000000001</v>
      </c>
      <c r="H864" s="597"/>
      <c r="I864" s="797" t="s">
        <v>668</v>
      </c>
      <c r="J864" s="889">
        <v>35.093400000000003</v>
      </c>
      <c r="K864" s="797" t="s">
        <v>1108</v>
      </c>
      <c r="L864" s="797" t="s">
        <v>1108</v>
      </c>
      <c r="M864" s="889">
        <f>J864+G864</f>
        <v>343.76319999999998</v>
      </c>
      <c r="N864" s="356" t="s">
        <v>1634</v>
      </c>
      <c r="O864" s="356" t="s">
        <v>2030</v>
      </c>
      <c r="P864" s="76" t="s">
        <v>36</v>
      </c>
      <c r="Q864" s="434">
        <v>7</v>
      </c>
      <c r="R864" s="434">
        <v>12.2</v>
      </c>
      <c r="S864" s="356" t="s">
        <v>1814</v>
      </c>
      <c r="T864" s="356">
        <v>6.9</v>
      </c>
      <c r="U864" s="5">
        <f>T864/Q864</f>
        <v>0.98571428571428577</v>
      </c>
      <c r="V864" s="587">
        <f>SUM(Q864:Q871)</f>
        <v>31.5</v>
      </c>
      <c r="W864" s="587">
        <f>SUM(T864:T871)</f>
        <v>8.1203000000000003</v>
      </c>
      <c r="X864" s="589">
        <f>W864/V864</f>
        <v>0.25778730158730162</v>
      </c>
      <c r="Y864" s="589">
        <f>W864/M864</f>
        <v>2.3621783832591739E-2</v>
      </c>
      <c r="Z864" s="356" t="s">
        <v>43</v>
      </c>
      <c r="AA864" s="98"/>
    </row>
    <row r="865" spans="1:27" ht="48">
      <c r="A865" s="475"/>
      <c r="B865" s="775"/>
      <c r="C865" s="797"/>
      <c r="D865" s="864"/>
      <c r="E865" s="864" t="s">
        <v>2304</v>
      </c>
      <c r="F865" s="797"/>
      <c r="G865" s="887"/>
      <c r="H865" s="598"/>
      <c r="I865" s="797"/>
      <c r="J865" s="889"/>
      <c r="K865" s="797"/>
      <c r="L865" s="797"/>
      <c r="M865" s="889"/>
      <c r="N865" s="356" t="s">
        <v>1815</v>
      </c>
      <c r="O865" s="356" t="s">
        <v>2031</v>
      </c>
      <c r="P865" s="76" t="s">
        <v>36</v>
      </c>
      <c r="Q865" s="434">
        <v>1.2</v>
      </c>
      <c r="R865" s="434">
        <v>6.5</v>
      </c>
      <c r="S865" s="356" t="s">
        <v>1816</v>
      </c>
      <c r="T865" s="356" t="s">
        <v>1816</v>
      </c>
      <c r="U865" s="356"/>
      <c r="V865" s="591"/>
      <c r="W865" s="591"/>
      <c r="X865" s="592"/>
      <c r="Y865" s="592"/>
      <c r="Z865" s="356" t="s">
        <v>43</v>
      </c>
      <c r="AA865" s="98"/>
    </row>
    <row r="866" spans="1:27" ht="48">
      <c r="A866" s="475"/>
      <c r="B866" s="775"/>
      <c r="C866" s="797"/>
      <c r="D866" s="864"/>
      <c r="E866" s="864" t="s">
        <v>2304</v>
      </c>
      <c r="F866" s="797"/>
      <c r="G866" s="887"/>
      <c r="H866" s="598"/>
      <c r="I866" s="797"/>
      <c r="J866" s="889"/>
      <c r="K866" s="797"/>
      <c r="L866" s="797"/>
      <c r="M866" s="889"/>
      <c r="N866" s="356" t="s">
        <v>1817</v>
      </c>
      <c r="O866" s="356" t="s">
        <v>2032</v>
      </c>
      <c r="P866" s="76" t="s">
        <v>36</v>
      </c>
      <c r="Q866" s="434">
        <v>4</v>
      </c>
      <c r="R866" s="434">
        <v>7</v>
      </c>
      <c r="S866" s="356" t="s">
        <v>1816</v>
      </c>
      <c r="T866" s="356" t="s">
        <v>1816</v>
      </c>
      <c r="U866" s="356"/>
      <c r="V866" s="591"/>
      <c r="W866" s="591"/>
      <c r="X866" s="592"/>
      <c r="Y866" s="592"/>
      <c r="Z866" s="356" t="s">
        <v>43</v>
      </c>
      <c r="AA866" s="98"/>
    </row>
    <row r="867" spans="1:27" ht="60">
      <c r="A867" s="475"/>
      <c r="B867" s="775"/>
      <c r="C867" s="797"/>
      <c r="D867" s="864"/>
      <c r="E867" s="864" t="s">
        <v>2304</v>
      </c>
      <c r="F867" s="797"/>
      <c r="G867" s="887"/>
      <c r="H867" s="598"/>
      <c r="I867" s="797"/>
      <c r="J867" s="889"/>
      <c r="K867" s="797"/>
      <c r="L867" s="797"/>
      <c r="M867" s="889"/>
      <c r="N867" s="356" t="s">
        <v>1240</v>
      </c>
      <c r="O867" s="356" t="s">
        <v>2033</v>
      </c>
      <c r="P867" s="76" t="s">
        <v>36</v>
      </c>
      <c r="Q867" s="434">
        <v>2.5</v>
      </c>
      <c r="R867" s="434">
        <v>5</v>
      </c>
      <c r="S867" s="356" t="s">
        <v>1816</v>
      </c>
      <c r="T867" s="356" t="s">
        <v>1816</v>
      </c>
      <c r="U867" s="356"/>
      <c r="V867" s="591"/>
      <c r="W867" s="591"/>
      <c r="X867" s="592"/>
      <c r="Y867" s="592"/>
      <c r="Z867" s="356" t="s">
        <v>43</v>
      </c>
      <c r="AA867" s="98"/>
    </row>
    <row r="868" spans="1:27" ht="15" customHeight="1">
      <c r="A868" s="475"/>
      <c r="B868" s="775"/>
      <c r="C868" s="797"/>
      <c r="D868" s="864"/>
      <c r="E868" s="864" t="s">
        <v>2304</v>
      </c>
      <c r="F868" s="797"/>
      <c r="G868" s="887"/>
      <c r="H868" s="598"/>
      <c r="I868" s="797"/>
      <c r="J868" s="889"/>
      <c r="K868" s="797"/>
      <c r="L868" s="797"/>
      <c r="M868" s="889"/>
      <c r="N868" s="797" t="s">
        <v>1817</v>
      </c>
      <c r="O868" s="797" t="s">
        <v>1818</v>
      </c>
      <c r="P868" s="76" t="s">
        <v>36</v>
      </c>
      <c r="Q868" s="434">
        <v>1.8</v>
      </c>
      <c r="R868" s="434">
        <v>2.4</v>
      </c>
      <c r="S868" s="356" t="s">
        <v>1814</v>
      </c>
      <c r="T868" s="356">
        <v>1.2202999999999999</v>
      </c>
      <c r="U868" s="5">
        <f>T868/Q868</f>
        <v>0.67794444444444435</v>
      </c>
      <c r="V868" s="591"/>
      <c r="W868" s="591"/>
      <c r="X868" s="592"/>
      <c r="Y868" s="592"/>
      <c r="Z868" s="356" t="s">
        <v>43</v>
      </c>
      <c r="AA868" s="98"/>
    </row>
    <row r="869" spans="1:27" ht="15" hidden="1" customHeight="1">
      <c r="A869" s="475"/>
      <c r="B869" s="775"/>
      <c r="C869" s="797"/>
      <c r="D869" s="864"/>
      <c r="E869" s="864" t="s">
        <v>2304</v>
      </c>
      <c r="F869" s="797"/>
      <c r="G869" s="887"/>
      <c r="H869" s="598"/>
      <c r="I869" s="797"/>
      <c r="J869" s="889"/>
      <c r="K869" s="797"/>
      <c r="L869" s="797"/>
      <c r="M869" s="889"/>
      <c r="N869" s="863"/>
      <c r="O869" s="863"/>
      <c r="P869" s="76" t="s">
        <v>27</v>
      </c>
      <c r="Q869" s="434"/>
      <c r="R869" s="434">
        <v>2.4</v>
      </c>
      <c r="S869" s="356" t="s">
        <v>1816</v>
      </c>
      <c r="T869" s="356" t="s">
        <v>1816</v>
      </c>
      <c r="U869" s="356"/>
      <c r="V869" s="591"/>
      <c r="W869" s="591"/>
      <c r="X869" s="592"/>
      <c r="Y869" s="592"/>
      <c r="Z869" s="356" t="s">
        <v>43</v>
      </c>
      <c r="AA869" s="98"/>
    </row>
    <row r="870" spans="1:27" ht="15" customHeight="1">
      <c r="A870" s="475"/>
      <c r="B870" s="775"/>
      <c r="C870" s="797"/>
      <c r="D870" s="864"/>
      <c r="E870" s="864" t="s">
        <v>2304</v>
      </c>
      <c r="F870" s="797"/>
      <c r="G870" s="887"/>
      <c r="H870" s="598"/>
      <c r="I870" s="797"/>
      <c r="J870" s="889"/>
      <c r="K870" s="797"/>
      <c r="L870" s="797"/>
      <c r="M870" s="889"/>
      <c r="N870" s="797" t="s">
        <v>1819</v>
      </c>
      <c r="O870" s="797" t="s">
        <v>1820</v>
      </c>
      <c r="P870" s="76" t="s">
        <v>36</v>
      </c>
      <c r="Q870" s="434">
        <v>15</v>
      </c>
      <c r="R870" s="434">
        <v>22.3</v>
      </c>
      <c r="S870" s="356" t="s">
        <v>1816</v>
      </c>
      <c r="T870" s="356" t="s">
        <v>1816</v>
      </c>
      <c r="U870" s="356"/>
      <c r="V870" s="591"/>
      <c r="W870" s="591"/>
      <c r="X870" s="592"/>
      <c r="Y870" s="592"/>
      <c r="Z870" s="356" t="s">
        <v>43</v>
      </c>
      <c r="AA870" s="98"/>
    </row>
    <row r="871" spans="1:27" ht="15" hidden="1" customHeight="1">
      <c r="A871" s="475"/>
      <c r="B871" s="775"/>
      <c r="C871" s="797"/>
      <c r="D871" s="865"/>
      <c r="E871" s="865" t="s">
        <v>2304</v>
      </c>
      <c r="F871" s="797"/>
      <c r="G871" s="888"/>
      <c r="H871" s="599"/>
      <c r="I871" s="797"/>
      <c r="J871" s="889"/>
      <c r="K871" s="797"/>
      <c r="L871" s="797"/>
      <c r="M871" s="889"/>
      <c r="N871" s="797"/>
      <c r="O871" s="863"/>
      <c r="P871" s="76" t="s">
        <v>27</v>
      </c>
      <c r="Q871" s="434"/>
      <c r="R871" s="434">
        <v>8.5</v>
      </c>
      <c r="S871" s="356" t="s">
        <v>1816</v>
      </c>
      <c r="T871" s="356" t="s">
        <v>1816</v>
      </c>
      <c r="U871" s="356"/>
      <c r="V871" s="588"/>
      <c r="W871" s="588"/>
      <c r="X871" s="590"/>
      <c r="Y871" s="590"/>
      <c r="Z871" s="356" t="s">
        <v>43</v>
      </c>
      <c r="AA871" s="98"/>
    </row>
    <row r="872" spans="1:27" ht="24" hidden="1" customHeight="1">
      <c r="A872" s="475"/>
      <c r="B872" s="364">
        <f>B864+1</f>
        <v>27</v>
      </c>
      <c r="C872" s="17" t="s">
        <v>2441</v>
      </c>
      <c r="D872" s="365">
        <v>58101.191599999998</v>
      </c>
      <c r="E872" s="365" t="s">
        <v>2305</v>
      </c>
      <c r="F872" s="278"/>
      <c r="G872" s="313"/>
      <c r="H872" s="313"/>
      <c r="I872" s="356" t="s">
        <v>2442</v>
      </c>
      <c r="J872" s="356">
        <v>26</v>
      </c>
      <c r="K872" s="279"/>
      <c r="L872" s="279"/>
      <c r="M872" s="279"/>
      <c r="N872" s="279"/>
      <c r="O872" s="279"/>
      <c r="P872" s="279"/>
      <c r="Q872" s="434"/>
      <c r="R872" s="434"/>
      <c r="S872" s="279"/>
      <c r="T872" s="279"/>
      <c r="U872" s="356"/>
      <c r="V872" s="24"/>
      <c r="W872" s="24"/>
      <c r="X872" s="24"/>
      <c r="Y872" s="24"/>
      <c r="Z872" s="356"/>
      <c r="AA872" s="98"/>
    </row>
    <row r="873" spans="1:27" ht="24" hidden="1" customHeight="1">
      <c r="A873" s="475"/>
      <c r="B873" s="364">
        <f>B872+1</f>
        <v>28</v>
      </c>
      <c r="C873" s="17" t="s">
        <v>2443</v>
      </c>
      <c r="D873" s="365">
        <v>70330.009699999995</v>
      </c>
      <c r="E873" s="365" t="s">
        <v>2306</v>
      </c>
      <c r="F873" s="278"/>
      <c r="G873" s="313"/>
      <c r="H873" s="313"/>
      <c r="I873" s="356" t="s">
        <v>245</v>
      </c>
      <c r="J873" s="356">
        <v>17.902100000000001</v>
      </c>
      <c r="K873" s="279"/>
      <c r="L873" s="279"/>
      <c r="M873" s="279"/>
      <c r="N873" s="279"/>
      <c r="O873" s="279"/>
      <c r="P873" s="279"/>
      <c r="Q873" s="434"/>
      <c r="R873" s="434"/>
      <c r="S873" s="279"/>
      <c r="T873" s="279"/>
      <c r="U873" s="356"/>
      <c r="V873" s="24"/>
      <c r="W873" s="24"/>
      <c r="X873" s="24"/>
      <c r="Y873" s="24"/>
      <c r="Z873" s="356"/>
      <c r="AA873" s="98"/>
    </row>
    <row r="874" spans="1:27" ht="24">
      <c r="A874" s="475"/>
      <c r="B874" s="866">
        <f>B873+1</f>
        <v>29</v>
      </c>
      <c r="C874" s="868" t="s">
        <v>1821</v>
      </c>
      <c r="D874" s="868">
        <v>83045.33</v>
      </c>
      <c r="E874" s="868" t="s">
        <v>2307</v>
      </c>
      <c r="F874" s="868" t="s">
        <v>2444</v>
      </c>
      <c r="G874" s="832">
        <v>219.8064</v>
      </c>
      <c r="H874" s="832"/>
      <c r="I874" s="868" t="s">
        <v>2445</v>
      </c>
      <c r="J874" s="868">
        <v>182</v>
      </c>
      <c r="K874" s="868"/>
      <c r="L874" s="868"/>
      <c r="M874" s="868">
        <v>401.8064</v>
      </c>
      <c r="N874" s="279" t="s">
        <v>1283</v>
      </c>
      <c r="O874" s="279" t="s">
        <v>1822</v>
      </c>
      <c r="P874" s="76" t="s">
        <v>36</v>
      </c>
      <c r="Q874" s="434">
        <v>209.40791800000002</v>
      </c>
      <c r="R874" s="434">
        <v>2094.0791800000002</v>
      </c>
      <c r="S874" s="279" t="s">
        <v>1823</v>
      </c>
      <c r="T874" s="279">
        <v>181.64209656899999</v>
      </c>
      <c r="U874" s="356">
        <v>0.86740796768248263</v>
      </c>
      <c r="V874" s="877">
        <f>SUM(Q874:Q875)</f>
        <v>1109.4079180000001</v>
      </c>
      <c r="W874" s="877">
        <f>SUM(T874:T875)</f>
        <v>386.45375156900002</v>
      </c>
      <c r="X874" s="589">
        <f>W874/V874</f>
        <v>0.34834234126044877</v>
      </c>
      <c r="Y874" s="589">
        <f>W874/M874</f>
        <v>0.96179093107775293</v>
      </c>
      <c r="Z874" s="356" t="s">
        <v>148</v>
      </c>
      <c r="AA874" s="98"/>
    </row>
    <row r="875" spans="1:27" ht="15" customHeight="1">
      <c r="A875" s="475"/>
      <c r="B875" s="867"/>
      <c r="C875" s="869"/>
      <c r="D875" s="869">
        <v>52003.839999999997</v>
      </c>
      <c r="E875" s="869" t="s">
        <v>2307</v>
      </c>
      <c r="F875" s="869"/>
      <c r="G875" s="834"/>
      <c r="H875" s="834"/>
      <c r="I875" s="869"/>
      <c r="J875" s="869"/>
      <c r="K875" s="869"/>
      <c r="L875" s="869"/>
      <c r="M875" s="869"/>
      <c r="N875" s="279" t="s">
        <v>1824</v>
      </c>
      <c r="O875" s="279" t="s">
        <v>1825</v>
      </c>
      <c r="P875" s="76" t="s">
        <v>36</v>
      </c>
      <c r="Q875" s="434">
        <v>900</v>
      </c>
      <c r="R875" s="434">
        <v>2322.9193593044697</v>
      </c>
      <c r="S875" s="279" t="s">
        <v>1649</v>
      </c>
      <c r="T875" s="279">
        <v>204.811655</v>
      </c>
      <c r="U875" s="356">
        <v>0.22756850555555555</v>
      </c>
      <c r="V875" s="588"/>
      <c r="W875" s="588"/>
      <c r="X875" s="590"/>
      <c r="Y875" s="590"/>
      <c r="Z875" s="356" t="s">
        <v>148</v>
      </c>
      <c r="AA875" s="98"/>
    </row>
    <row r="876" spans="1:27" ht="36">
      <c r="A876" s="475"/>
      <c r="B876" s="364">
        <f>B874+1</f>
        <v>30</v>
      </c>
      <c r="C876" s="17" t="s">
        <v>1826</v>
      </c>
      <c r="D876" s="17">
        <v>52003.839999999997</v>
      </c>
      <c r="E876" s="17" t="s">
        <v>2307</v>
      </c>
      <c r="F876" s="356" t="s">
        <v>245</v>
      </c>
      <c r="G876" s="313">
        <v>137</v>
      </c>
      <c r="H876" s="313"/>
      <c r="I876" s="356"/>
      <c r="J876" s="356"/>
      <c r="K876" s="434"/>
      <c r="L876" s="356"/>
      <c r="M876" s="356">
        <f>SUM(G876,H876,J876,L876)</f>
        <v>137</v>
      </c>
      <c r="N876" s="434" t="s">
        <v>2446</v>
      </c>
      <c r="O876" s="356" t="s">
        <v>2447</v>
      </c>
      <c r="P876" s="76" t="s">
        <v>36</v>
      </c>
      <c r="Q876" s="434">
        <v>120</v>
      </c>
      <c r="R876" s="434">
        <v>206</v>
      </c>
      <c r="S876" s="356" t="s">
        <v>2448</v>
      </c>
      <c r="T876" s="356">
        <v>206</v>
      </c>
      <c r="U876" s="5">
        <f>T876/Q876</f>
        <v>1.7166666666666666</v>
      </c>
      <c r="V876" s="24">
        <f>Q876</f>
        <v>120</v>
      </c>
      <c r="W876" s="24">
        <f>T876</f>
        <v>206</v>
      </c>
      <c r="X876" s="27">
        <f>W876/V876</f>
        <v>1.7166666666666666</v>
      </c>
      <c r="Y876" s="27">
        <f>W876/M876</f>
        <v>1.5036496350364963</v>
      </c>
      <c r="Z876" s="356" t="s">
        <v>488</v>
      </c>
      <c r="AA876" s="98"/>
    </row>
    <row r="877" spans="1:27" ht="15" hidden="1" customHeight="1">
      <c r="A877" s="475"/>
      <c r="B877" s="866">
        <f>B876+1</f>
        <v>31</v>
      </c>
      <c r="C877" s="868" t="s">
        <v>2449</v>
      </c>
      <c r="D877" s="868">
        <v>57251.410900000003</v>
      </c>
      <c r="E877" s="868" t="s">
        <v>2308</v>
      </c>
      <c r="F877" s="868"/>
      <c r="G877" s="832"/>
      <c r="H877" s="832"/>
      <c r="I877" s="868" t="s">
        <v>241</v>
      </c>
      <c r="J877" s="868">
        <f>674.91/4</f>
        <v>168.72749999999999</v>
      </c>
      <c r="K877" s="868"/>
      <c r="L877" s="868"/>
      <c r="M877" s="868">
        <f>SUM(L877,J877,G877,H877)</f>
        <v>168.72749999999999</v>
      </c>
      <c r="N877" s="356" t="s">
        <v>2450</v>
      </c>
      <c r="O877" s="356" t="s">
        <v>2451</v>
      </c>
      <c r="P877" s="76" t="s">
        <v>27</v>
      </c>
      <c r="Q877" s="434">
        <v>0.84183799999999998</v>
      </c>
      <c r="R877" s="434">
        <v>0.84183799999999998</v>
      </c>
      <c r="S877" s="356"/>
      <c r="T877" s="356"/>
      <c r="U877" s="356"/>
      <c r="V877" s="597">
        <f>SUM(Q877:Q886)</f>
        <v>12.167706000000001</v>
      </c>
      <c r="W877" s="597">
        <f>SUM(T877:T886)</f>
        <v>5.9320509999999995</v>
      </c>
      <c r="X877" s="589">
        <f>W877/V877</f>
        <v>0.48752418902955075</v>
      </c>
      <c r="Y877" s="589">
        <f>W877/M877</f>
        <v>3.515758249248048E-2</v>
      </c>
      <c r="Z877" s="356" t="s">
        <v>159</v>
      </c>
      <c r="AA877" s="98"/>
    </row>
    <row r="878" spans="1:27" ht="15" hidden="1" customHeight="1">
      <c r="A878" s="475"/>
      <c r="B878" s="876"/>
      <c r="C878" s="872"/>
      <c r="D878" s="872">
        <v>57251.410900000003</v>
      </c>
      <c r="E878" s="872" t="s">
        <v>2054</v>
      </c>
      <c r="F878" s="872"/>
      <c r="G878" s="833"/>
      <c r="H878" s="833"/>
      <c r="I878" s="872"/>
      <c r="J878" s="872"/>
      <c r="K878" s="872"/>
      <c r="L878" s="872"/>
      <c r="M878" s="872"/>
      <c r="N878" s="356" t="s">
        <v>2450</v>
      </c>
      <c r="O878" s="356" t="s">
        <v>2452</v>
      </c>
      <c r="P878" s="76" t="s">
        <v>27</v>
      </c>
      <c r="Q878" s="434">
        <v>0.49677700000000002</v>
      </c>
      <c r="R878" s="434">
        <v>0.49677700000000002</v>
      </c>
      <c r="S878" s="356"/>
      <c r="T878" s="356"/>
      <c r="U878" s="356"/>
      <c r="V878" s="598"/>
      <c r="W878" s="598"/>
      <c r="X878" s="592"/>
      <c r="Y878" s="592"/>
      <c r="Z878" s="356" t="s">
        <v>159</v>
      </c>
      <c r="AA878" s="98"/>
    </row>
    <row r="879" spans="1:27" ht="15" hidden="1" customHeight="1">
      <c r="A879" s="475"/>
      <c r="B879" s="876"/>
      <c r="C879" s="872"/>
      <c r="D879" s="872">
        <v>57251.410900000003</v>
      </c>
      <c r="E879" s="872" t="s">
        <v>2054</v>
      </c>
      <c r="F879" s="872"/>
      <c r="G879" s="833"/>
      <c r="H879" s="833"/>
      <c r="I879" s="872"/>
      <c r="J879" s="872"/>
      <c r="K879" s="872"/>
      <c r="L879" s="872"/>
      <c r="M879" s="872"/>
      <c r="N879" s="356" t="s">
        <v>2450</v>
      </c>
      <c r="O879" s="356" t="s">
        <v>2453</v>
      </c>
      <c r="P879" s="76" t="s">
        <v>27</v>
      </c>
      <c r="Q879" s="434">
        <v>0.67023599999999994</v>
      </c>
      <c r="R879" s="434">
        <v>0.67023599999999994</v>
      </c>
      <c r="S879" s="356"/>
      <c r="T879" s="356"/>
      <c r="U879" s="356"/>
      <c r="V879" s="598"/>
      <c r="W879" s="598"/>
      <c r="X879" s="592"/>
      <c r="Y879" s="592"/>
      <c r="Z879" s="356" t="s">
        <v>159</v>
      </c>
      <c r="AA879" s="98"/>
    </row>
    <row r="880" spans="1:27" ht="15" hidden="1" customHeight="1">
      <c r="A880" s="475"/>
      <c r="B880" s="876"/>
      <c r="C880" s="872"/>
      <c r="D880" s="872">
        <v>57251.410900000003</v>
      </c>
      <c r="E880" s="872" t="s">
        <v>2054</v>
      </c>
      <c r="F880" s="872"/>
      <c r="G880" s="833"/>
      <c r="H880" s="833"/>
      <c r="I880" s="872"/>
      <c r="J880" s="872"/>
      <c r="K880" s="872"/>
      <c r="L880" s="872"/>
      <c r="M880" s="872"/>
      <c r="N880" s="356" t="s">
        <v>2450</v>
      </c>
      <c r="O880" s="356" t="s">
        <v>2454</v>
      </c>
      <c r="P880" s="76" t="s">
        <v>27</v>
      </c>
      <c r="Q880" s="434">
        <v>1.1298549999999998</v>
      </c>
      <c r="R880" s="434">
        <v>1.1298549999999998</v>
      </c>
      <c r="S880" s="356"/>
      <c r="T880" s="356"/>
      <c r="U880" s="356"/>
      <c r="V880" s="598"/>
      <c r="W880" s="598"/>
      <c r="X880" s="592"/>
      <c r="Y880" s="592"/>
      <c r="Z880" s="356" t="s">
        <v>159</v>
      </c>
      <c r="AA880" s="98"/>
    </row>
    <row r="881" spans="1:27" ht="15" hidden="1" customHeight="1">
      <c r="A881" s="475"/>
      <c r="B881" s="876"/>
      <c r="C881" s="872"/>
      <c r="D881" s="872">
        <v>57251.410900000003</v>
      </c>
      <c r="E881" s="872" t="s">
        <v>2054</v>
      </c>
      <c r="F881" s="872"/>
      <c r="G881" s="833"/>
      <c r="H881" s="833"/>
      <c r="I881" s="872"/>
      <c r="J881" s="872"/>
      <c r="K881" s="872"/>
      <c r="L881" s="872"/>
      <c r="M881" s="872"/>
      <c r="N881" s="356" t="s">
        <v>2450</v>
      </c>
      <c r="O881" s="356" t="s">
        <v>2455</v>
      </c>
      <c r="P881" s="76" t="s">
        <v>27</v>
      </c>
      <c r="Q881" s="434">
        <v>0.79769999999999996</v>
      </c>
      <c r="R881" s="434">
        <v>0.79769999999999996</v>
      </c>
      <c r="S881" s="356"/>
      <c r="T881" s="356"/>
      <c r="U881" s="356"/>
      <c r="V881" s="598"/>
      <c r="W881" s="598"/>
      <c r="X881" s="592"/>
      <c r="Y881" s="592"/>
      <c r="Z881" s="356" t="s">
        <v>159</v>
      </c>
      <c r="AA881" s="98"/>
    </row>
    <row r="882" spans="1:27" ht="15" hidden="1" customHeight="1">
      <c r="A882" s="475"/>
      <c r="B882" s="876"/>
      <c r="C882" s="872"/>
      <c r="D882" s="872">
        <v>57251.410900000003</v>
      </c>
      <c r="E882" s="872" t="s">
        <v>2054</v>
      </c>
      <c r="F882" s="872"/>
      <c r="G882" s="833"/>
      <c r="H882" s="833"/>
      <c r="I882" s="872"/>
      <c r="J882" s="872"/>
      <c r="K882" s="872"/>
      <c r="L882" s="872"/>
      <c r="M882" s="872"/>
      <c r="N882" s="356" t="s">
        <v>2456</v>
      </c>
      <c r="O882" s="356" t="s">
        <v>2457</v>
      </c>
      <c r="P882" s="76" t="s">
        <v>27</v>
      </c>
      <c r="Q882" s="434">
        <v>5.9382000000000001</v>
      </c>
      <c r="R882" s="434">
        <v>5.9382000000000001</v>
      </c>
      <c r="S882" s="356" t="s">
        <v>221</v>
      </c>
      <c r="T882" s="356">
        <v>4.9599849999999996</v>
      </c>
      <c r="U882" s="356"/>
      <c r="V882" s="598"/>
      <c r="W882" s="598"/>
      <c r="X882" s="592"/>
      <c r="Y882" s="592"/>
      <c r="Z882" s="356" t="s">
        <v>159</v>
      </c>
      <c r="AA882" s="98"/>
    </row>
    <row r="883" spans="1:27" ht="15" hidden="1" customHeight="1">
      <c r="A883" s="475"/>
      <c r="B883" s="876"/>
      <c r="C883" s="872"/>
      <c r="D883" s="872">
        <v>57251.410900000003</v>
      </c>
      <c r="E883" s="872" t="s">
        <v>2054</v>
      </c>
      <c r="F883" s="872"/>
      <c r="G883" s="833"/>
      <c r="H883" s="833"/>
      <c r="I883" s="872"/>
      <c r="J883" s="872"/>
      <c r="K883" s="872"/>
      <c r="L883" s="872"/>
      <c r="M883" s="872"/>
      <c r="N883" s="356" t="s">
        <v>216</v>
      </c>
      <c r="O883" s="356" t="s">
        <v>2458</v>
      </c>
      <c r="P883" s="76" t="s">
        <v>27</v>
      </c>
      <c r="Q883" s="434">
        <v>1.1017999999999999</v>
      </c>
      <c r="R883" s="434">
        <v>1.1017999999999999</v>
      </c>
      <c r="S883" s="356" t="s">
        <v>2459</v>
      </c>
      <c r="T883" s="356">
        <v>0.97206599999999999</v>
      </c>
      <c r="U883" s="356"/>
      <c r="V883" s="598"/>
      <c r="W883" s="598"/>
      <c r="X883" s="592"/>
      <c r="Y883" s="592"/>
      <c r="Z883" s="356" t="s">
        <v>159</v>
      </c>
      <c r="AA883" s="98"/>
    </row>
    <row r="884" spans="1:27" ht="15" hidden="1" customHeight="1">
      <c r="A884" s="475"/>
      <c r="B884" s="876"/>
      <c r="C884" s="872"/>
      <c r="D884" s="872">
        <v>57251.410900000003</v>
      </c>
      <c r="E884" s="872" t="s">
        <v>2054</v>
      </c>
      <c r="F884" s="872"/>
      <c r="G884" s="833"/>
      <c r="H884" s="833"/>
      <c r="I884" s="872"/>
      <c r="J884" s="872"/>
      <c r="K884" s="872"/>
      <c r="L884" s="872"/>
      <c r="M884" s="872"/>
      <c r="N884" s="356" t="s">
        <v>2460</v>
      </c>
      <c r="O884" s="356" t="s">
        <v>2457</v>
      </c>
      <c r="P884" s="76" t="s">
        <v>27</v>
      </c>
      <c r="Q884" s="434">
        <v>0</v>
      </c>
      <c r="R884" s="434">
        <v>0</v>
      </c>
      <c r="S884" s="356"/>
      <c r="T884" s="356"/>
      <c r="U884" s="356"/>
      <c r="V884" s="598"/>
      <c r="W884" s="598"/>
      <c r="X884" s="592"/>
      <c r="Y884" s="592"/>
      <c r="Z884" s="356" t="s">
        <v>159</v>
      </c>
      <c r="AA884" s="98"/>
    </row>
    <row r="885" spans="1:27" ht="15" hidden="1" customHeight="1">
      <c r="A885" s="475"/>
      <c r="B885" s="876"/>
      <c r="C885" s="872"/>
      <c r="D885" s="872">
        <v>57251.410900000003</v>
      </c>
      <c r="E885" s="872" t="s">
        <v>2054</v>
      </c>
      <c r="F885" s="872"/>
      <c r="G885" s="833"/>
      <c r="H885" s="833"/>
      <c r="I885" s="872"/>
      <c r="J885" s="872"/>
      <c r="K885" s="872"/>
      <c r="L885" s="872"/>
      <c r="M885" s="872"/>
      <c r="N885" s="356" t="s">
        <v>2461</v>
      </c>
      <c r="O885" s="356" t="s">
        <v>2462</v>
      </c>
      <c r="P885" s="76" t="s">
        <v>27</v>
      </c>
      <c r="Q885" s="434">
        <v>0</v>
      </c>
      <c r="R885" s="434">
        <v>0</v>
      </c>
      <c r="S885" s="356"/>
      <c r="T885" s="356"/>
      <c r="U885" s="356"/>
      <c r="V885" s="598"/>
      <c r="W885" s="598"/>
      <c r="X885" s="592"/>
      <c r="Y885" s="592"/>
      <c r="Z885" s="356" t="s">
        <v>159</v>
      </c>
      <c r="AA885" s="98"/>
    </row>
    <row r="886" spans="1:27" ht="24" hidden="1" customHeight="1">
      <c r="A886" s="475"/>
      <c r="B886" s="867"/>
      <c r="C886" s="869"/>
      <c r="D886" s="869">
        <v>57251.410900000003</v>
      </c>
      <c r="E886" s="869" t="s">
        <v>2054</v>
      </c>
      <c r="F886" s="869"/>
      <c r="G886" s="834"/>
      <c r="H886" s="834"/>
      <c r="I886" s="869"/>
      <c r="J886" s="869"/>
      <c r="K886" s="869"/>
      <c r="L886" s="869"/>
      <c r="M886" s="869"/>
      <c r="N886" s="356" t="s">
        <v>2463</v>
      </c>
      <c r="O886" s="356" t="s">
        <v>2464</v>
      </c>
      <c r="P886" s="76" t="s">
        <v>27</v>
      </c>
      <c r="Q886" s="434">
        <v>1.1913</v>
      </c>
      <c r="R886" s="434">
        <v>1.1913</v>
      </c>
      <c r="S886" s="356"/>
      <c r="T886" s="356"/>
      <c r="U886" s="356"/>
      <c r="V886" s="599"/>
      <c r="W886" s="599"/>
      <c r="X886" s="590"/>
      <c r="Y886" s="590"/>
      <c r="Z886" s="356" t="s">
        <v>159</v>
      </c>
      <c r="AA886" s="98"/>
    </row>
    <row r="888" spans="1:27">
      <c r="C888" s="73" t="s">
        <v>1864</v>
      </c>
      <c r="D888" s="77"/>
      <c r="E888" s="77"/>
      <c r="O888" s="73" t="s">
        <v>1865</v>
      </c>
    </row>
  </sheetData>
  <autoFilter ref="A4:AA886">
    <filterColumn colId="5" showButton="0"/>
    <filterColumn colId="6" showButton="0"/>
    <filterColumn colId="8" showButton="0"/>
    <filterColumn colId="10" showButton="0"/>
    <filterColumn colId="15">
      <filters>
        <filter val="工程一切险"/>
      </filters>
    </filterColumn>
  </autoFilter>
  <mergeCells count="1300">
    <mergeCell ref="B877:B886"/>
    <mergeCell ref="C877:C886"/>
    <mergeCell ref="D877:D886"/>
    <mergeCell ref="E877:E886"/>
    <mergeCell ref="F877:F886"/>
    <mergeCell ref="G877:G886"/>
    <mergeCell ref="H874:H875"/>
    <mergeCell ref="I874:I875"/>
    <mergeCell ref="J874:J875"/>
    <mergeCell ref="K874:K875"/>
    <mergeCell ref="L874:L875"/>
    <mergeCell ref="M874:M875"/>
    <mergeCell ref="B874:B875"/>
    <mergeCell ref="C874:C875"/>
    <mergeCell ref="D874:D875"/>
    <mergeCell ref="E874:E875"/>
    <mergeCell ref="F874:F875"/>
    <mergeCell ref="G874:G875"/>
    <mergeCell ref="N868:N869"/>
    <mergeCell ref="O868:O869"/>
    <mergeCell ref="N870:N871"/>
    <mergeCell ref="O870:O871"/>
    <mergeCell ref="H864:H871"/>
    <mergeCell ref="I864:I871"/>
    <mergeCell ref="J864:J871"/>
    <mergeCell ref="K864:K871"/>
    <mergeCell ref="L864:L871"/>
    <mergeCell ref="M864:M871"/>
    <mergeCell ref="V861:V862"/>
    <mergeCell ref="W861:W862"/>
    <mergeCell ref="X861:X862"/>
    <mergeCell ref="Y861:Y862"/>
    <mergeCell ref="V877:V886"/>
    <mergeCell ref="W877:W886"/>
    <mergeCell ref="X877:X886"/>
    <mergeCell ref="Y877:Y886"/>
    <mergeCell ref="H877:H886"/>
    <mergeCell ref="I877:I886"/>
    <mergeCell ref="J877:J886"/>
    <mergeCell ref="K877:K886"/>
    <mergeCell ref="L877:L886"/>
    <mergeCell ref="M877:M886"/>
    <mergeCell ref="V874:V875"/>
    <mergeCell ref="W874:W875"/>
    <mergeCell ref="X874:X875"/>
    <mergeCell ref="Y874:Y875"/>
    <mergeCell ref="B864:B871"/>
    <mergeCell ref="C864:C871"/>
    <mergeCell ref="D864:D871"/>
    <mergeCell ref="E864:E871"/>
    <mergeCell ref="F864:F871"/>
    <mergeCell ref="G864:G871"/>
    <mergeCell ref="H861:H862"/>
    <mergeCell ref="I861:I862"/>
    <mergeCell ref="J861:J862"/>
    <mergeCell ref="K861:K862"/>
    <mergeCell ref="L861:L862"/>
    <mergeCell ref="M861:M862"/>
    <mergeCell ref="V852:V859"/>
    <mergeCell ref="W852:W859"/>
    <mergeCell ref="X852:X859"/>
    <mergeCell ref="Y852:Y859"/>
    <mergeCell ref="B861:B862"/>
    <mergeCell ref="C861:C862"/>
    <mergeCell ref="D861:D862"/>
    <mergeCell ref="E861:E862"/>
    <mergeCell ref="F861:F862"/>
    <mergeCell ref="G861:G862"/>
    <mergeCell ref="H852:H859"/>
    <mergeCell ref="I852:I859"/>
    <mergeCell ref="J852:J859"/>
    <mergeCell ref="K852:K859"/>
    <mergeCell ref="L852:L859"/>
    <mergeCell ref="M852:M859"/>
    <mergeCell ref="V864:V871"/>
    <mergeCell ref="W864:W871"/>
    <mergeCell ref="X864:X871"/>
    <mergeCell ref="Y864:Y871"/>
    <mergeCell ref="V848:V851"/>
    <mergeCell ref="W848:W851"/>
    <mergeCell ref="X848:X851"/>
    <mergeCell ref="Y848:Y851"/>
    <mergeCell ref="B852:B859"/>
    <mergeCell ref="C852:C859"/>
    <mergeCell ref="D852:D859"/>
    <mergeCell ref="E852:E859"/>
    <mergeCell ref="F852:F859"/>
    <mergeCell ref="G852:G859"/>
    <mergeCell ref="H848:H851"/>
    <mergeCell ref="I848:I851"/>
    <mergeCell ref="J848:J851"/>
    <mergeCell ref="K848:K851"/>
    <mergeCell ref="L848:L851"/>
    <mergeCell ref="M848:M851"/>
    <mergeCell ref="V845:V846"/>
    <mergeCell ref="W845:W846"/>
    <mergeCell ref="X845:X846"/>
    <mergeCell ref="Y845:Y846"/>
    <mergeCell ref="B848:B851"/>
    <mergeCell ref="C848:C851"/>
    <mergeCell ref="D848:D851"/>
    <mergeCell ref="E848:E851"/>
    <mergeCell ref="F848:F851"/>
    <mergeCell ref="G848:G851"/>
    <mergeCell ref="H845:H846"/>
    <mergeCell ref="I845:I846"/>
    <mergeCell ref="J845:J846"/>
    <mergeCell ref="K845:K846"/>
    <mergeCell ref="L845:L846"/>
    <mergeCell ref="M845:M846"/>
    <mergeCell ref="M843:M844"/>
    <mergeCell ref="V843:V844"/>
    <mergeCell ref="W843:W844"/>
    <mergeCell ref="X843:X844"/>
    <mergeCell ref="Y843:Y844"/>
    <mergeCell ref="M829:M842"/>
    <mergeCell ref="V829:V842"/>
    <mergeCell ref="W829:W842"/>
    <mergeCell ref="X829:X842"/>
    <mergeCell ref="Y829:Y842"/>
    <mergeCell ref="B843:B844"/>
    <mergeCell ref="C843:C844"/>
    <mergeCell ref="D843:D844"/>
    <mergeCell ref="E843:E844"/>
    <mergeCell ref="G843:G844"/>
    <mergeCell ref="G829:G842"/>
    <mergeCell ref="H829:H842"/>
    <mergeCell ref="I829:I842"/>
    <mergeCell ref="J829:J842"/>
    <mergeCell ref="K829:K842"/>
    <mergeCell ref="L829:L842"/>
    <mergeCell ref="C815:C825"/>
    <mergeCell ref="D815:D825"/>
    <mergeCell ref="E815:E825"/>
    <mergeCell ref="F815:F825"/>
    <mergeCell ref="G811:G813"/>
    <mergeCell ref="H811:H813"/>
    <mergeCell ref="I811:I813"/>
    <mergeCell ref="J811:J813"/>
    <mergeCell ref="K811:K813"/>
    <mergeCell ref="L811:L813"/>
    <mergeCell ref="B845:B846"/>
    <mergeCell ref="C845:C846"/>
    <mergeCell ref="D845:D846"/>
    <mergeCell ref="E845:E846"/>
    <mergeCell ref="F845:F846"/>
    <mergeCell ref="G845:G846"/>
    <mergeCell ref="J843:J844"/>
    <mergeCell ref="C804:C805"/>
    <mergeCell ref="D804:D805"/>
    <mergeCell ref="E804:E805"/>
    <mergeCell ref="F804:F805"/>
    <mergeCell ref="G799:G803"/>
    <mergeCell ref="H799:H803"/>
    <mergeCell ref="I799:I803"/>
    <mergeCell ref="J799:J803"/>
    <mergeCell ref="K799:K803"/>
    <mergeCell ref="L799:L803"/>
    <mergeCell ref="M815:M825"/>
    <mergeCell ref="V815:V825"/>
    <mergeCell ref="W815:W825"/>
    <mergeCell ref="X815:X825"/>
    <mergeCell ref="Y815:Y825"/>
    <mergeCell ref="B829:B842"/>
    <mergeCell ref="C829:C842"/>
    <mergeCell ref="D829:D842"/>
    <mergeCell ref="E829:E842"/>
    <mergeCell ref="F829:F842"/>
    <mergeCell ref="G815:G825"/>
    <mergeCell ref="H815:H825"/>
    <mergeCell ref="I815:I825"/>
    <mergeCell ref="J815:J825"/>
    <mergeCell ref="K815:K825"/>
    <mergeCell ref="L815:L825"/>
    <mergeCell ref="M811:M813"/>
    <mergeCell ref="V811:V813"/>
    <mergeCell ref="W811:W813"/>
    <mergeCell ref="X811:X813"/>
    <mergeCell ref="Y811:Y813"/>
    <mergeCell ref="B815:B825"/>
    <mergeCell ref="F799:F803"/>
    <mergeCell ref="H797:H798"/>
    <mergeCell ref="I797:I798"/>
    <mergeCell ref="J797:J798"/>
    <mergeCell ref="K797:K798"/>
    <mergeCell ref="L797:L798"/>
    <mergeCell ref="M797:M798"/>
    <mergeCell ref="W774:W795"/>
    <mergeCell ref="X774:X795"/>
    <mergeCell ref="Y774:Y795"/>
    <mergeCell ref="M804:M805"/>
    <mergeCell ref="V804:V805"/>
    <mergeCell ref="W804:W805"/>
    <mergeCell ref="X804:X805"/>
    <mergeCell ref="Y804:Y805"/>
    <mergeCell ref="B811:B813"/>
    <mergeCell ref="C811:C813"/>
    <mergeCell ref="D811:D813"/>
    <mergeCell ref="E811:E813"/>
    <mergeCell ref="F811:F813"/>
    <mergeCell ref="G804:G805"/>
    <mergeCell ref="H804:H805"/>
    <mergeCell ref="I804:I805"/>
    <mergeCell ref="J804:J805"/>
    <mergeCell ref="K804:K805"/>
    <mergeCell ref="L804:L805"/>
    <mergeCell ref="M799:M803"/>
    <mergeCell ref="V799:V803"/>
    <mergeCell ref="W799:W803"/>
    <mergeCell ref="X799:X803"/>
    <mergeCell ref="Y799:Y803"/>
    <mergeCell ref="B804:B805"/>
    <mergeCell ref="Z774:Z795"/>
    <mergeCell ref="B797:B798"/>
    <mergeCell ref="C797:C798"/>
    <mergeCell ref="D797:D798"/>
    <mergeCell ref="E797:E798"/>
    <mergeCell ref="F797:F798"/>
    <mergeCell ref="G797:G798"/>
    <mergeCell ref="I774:I795"/>
    <mergeCell ref="J774:J795"/>
    <mergeCell ref="K774:K795"/>
    <mergeCell ref="L774:L795"/>
    <mergeCell ref="M774:M795"/>
    <mergeCell ref="V774:V795"/>
    <mergeCell ref="G771:H771"/>
    <mergeCell ref="G772:H772"/>
    <mergeCell ref="A774:A886"/>
    <mergeCell ref="B774:B795"/>
    <mergeCell ref="C774:C795"/>
    <mergeCell ref="D774:D795"/>
    <mergeCell ref="E774:E795"/>
    <mergeCell ref="F774:F795"/>
    <mergeCell ref="G774:G795"/>
    <mergeCell ref="H774:H795"/>
    <mergeCell ref="N797:N798"/>
    <mergeCell ref="V797:V798"/>
    <mergeCell ref="W797:W798"/>
    <mergeCell ref="X797:X798"/>
    <mergeCell ref="Y797:Y798"/>
    <mergeCell ref="B799:B803"/>
    <mergeCell ref="C799:C803"/>
    <mergeCell ref="D799:D803"/>
    <mergeCell ref="E799:E803"/>
    <mergeCell ref="L759:L770"/>
    <mergeCell ref="M759:M770"/>
    <mergeCell ref="V759:V770"/>
    <mergeCell ref="W759:W770"/>
    <mergeCell ref="X759:X770"/>
    <mergeCell ref="Y759:Y770"/>
    <mergeCell ref="Y752:Y758"/>
    <mergeCell ref="B759:B770"/>
    <mergeCell ref="C759:C770"/>
    <mergeCell ref="D759:D770"/>
    <mergeCell ref="E759:E770"/>
    <mergeCell ref="F759:F770"/>
    <mergeCell ref="G759:H770"/>
    <mergeCell ref="I759:I770"/>
    <mergeCell ref="J759:J770"/>
    <mergeCell ref="K759:K770"/>
    <mergeCell ref="K752:K758"/>
    <mergeCell ref="L752:L758"/>
    <mergeCell ref="M752:M758"/>
    <mergeCell ref="V752:V758"/>
    <mergeCell ref="W752:W758"/>
    <mergeCell ref="X752:X758"/>
    <mergeCell ref="Y737:Y749"/>
    <mergeCell ref="G750:H750"/>
    <mergeCell ref="B752:B758"/>
    <mergeCell ref="C752:C758"/>
    <mergeCell ref="D752:D758"/>
    <mergeCell ref="E752:E758"/>
    <mergeCell ref="F752:F758"/>
    <mergeCell ref="G752:H758"/>
    <mergeCell ref="I752:I758"/>
    <mergeCell ref="J752:J758"/>
    <mergeCell ref="K737:K749"/>
    <mergeCell ref="L737:L749"/>
    <mergeCell ref="M737:M749"/>
    <mergeCell ref="V737:V749"/>
    <mergeCell ref="W737:W749"/>
    <mergeCell ref="X737:X749"/>
    <mergeCell ref="Y733:Y736"/>
    <mergeCell ref="B737:B749"/>
    <mergeCell ref="C737:C749"/>
    <mergeCell ref="D737:D749"/>
    <mergeCell ref="E737:E749"/>
    <mergeCell ref="F737:F749"/>
    <mergeCell ref="G737:G749"/>
    <mergeCell ref="H737:H749"/>
    <mergeCell ref="I737:I749"/>
    <mergeCell ref="J737:J749"/>
    <mergeCell ref="S733:S735"/>
    <mergeCell ref="T733:T735"/>
    <mergeCell ref="U733:U735"/>
    <mergeCell ref="V733:V736"/>
    <mergeCell ref="W733:W736"/>
    <mergeCell ref="X733:X736"/>
    <mergeCell ref="H733:H736"/>
    <mergeCell ref="I733:I736"/>
    <mergeCell ref="J733:J736"/>
    <mergeCell ref="K733:K736"/>
    <mergeCell ref="L733:L736"/>
    <mergeCell ref="M733:M736"/>
    <mergeCell ref="B733:B736"/>
    <mergeCell ref="C733:C736"/>
    <mergeCell ref="D733:D736"/>
    <mergeCell ref="E733:E736"/>
    <mergeCell ref="F733:F736"/>
    <mergeCell ref="G733:G736"/>
    <mergeCell ref="M714:M732"/>
    <mergeCell ref="V714:V732"/>
    <mergeCell ref="W714:W732"/>
    <mergeCell ref="X714:X732"/>
    <mergeCell ref="Y714:Y732"/>
    <mergeCell ref="D717:D732"/>
    <mergeCell ref="E717:E732"/>
    <mergeCell ref="Y698:Y713"/>
    <mergeCell ref="B714:B732"/>
    <mergeCell ref="C714:C732"/>
    <mergeCell ref="F714:F732"/>
    <mergeCell ref="G714:H732"/>
    <mergeCell ref="I714:I732"/>
    <mergeCell ref="J714:J732"/>
    <mergeCell ref="K714:K732"/>
    <mergeCell ref="L714:L732"/>
    <mergeCell ref="J698:J713"/>
    <mergeCell ref="K698:K713"/>
    <mergeCell ref="L698:L713"/>
    <mergeCell ref="M698:M713"/>
    <mergeCell ref="V698:V713"/>
    <mergeCell ref="W698:W713"/>
    <mergeCell ref="W682:W697"/>
    <mergeCell ref="X682:X697"/>
    <mergeCell ref="Y682:Y697"/>
    <mergeCell ref="B698:B713"/>
    <mergeCell ref="C698:C713"/>
    <mergeCell ref="D698:D713"/>
    <mergeCell ref="E698:E713"/>
    <mergeCell ref="F698:F713"/>
    <mergeCell ref="G698:H713"/>
    <mergeCell ref="I698:I713"/>
    <mergeCell ref="I682:I697"/>
    <mergeCell ref="J682:J697"/>
    <mergeCell ref="K682:K697"/>
    <mergeCell ref="L682:L697"/>
    <mergeCell ref="M682:M697"/>
    <mergeCell ref="V682:V697"/>
    <mergeCell ref="G675:H675"/>
    <mergeCell ref="G676:H676"/>
    <mergeCell ref="A682:A773"/>
    <mergeCell ref="B682:B697"/>
    <mergeCell ref="C682:C697"/>
    <mergeCell ref="D682:D697"/>
    <mergeCell ref="E682:E697"/>
    <mergeCell ref="F682:F697"/>
    <mergeCell ref="G682:H697"/>
    <mergeCell ref="L665:L668"/>
    <mergeCell ref="M665:M668"/>
    <mergeCell ref="V665:V668"/>
    <mergeCell ref="W665:W668"/>
    <mergeCell ref="X665:X668"/>
    <mergeCell ref="Y665:Y668"/>
    <mergeCell ref="Y661:Y664"/>
    <mergeCell ref="B665:B668"/>
    <mergeCell ref="C665:C668"/>
    <mergeCell ref="D665:D668"/>
    <mergeCell ref="E665:E668"/>
    <mergeCell ref="F665:F668"/>
    <mergeCell ref="G665:H668"/>
    <mergeCell ref="I665:I668"/>
    <mergeCell ref="J665:J668"/>
    <mergeCell ref="K665:K668"/>
    <mergeCell ref="K661:K664"/>
    <mergeCell ref="L661:L664"/>
    <mergeCell ref="M661:M664"/>
    <mergeCell ref="V661:V664"/>
    <mergeCell ref="W661:W664"/>
    <mergeCell ref="X661:X664"/>
    <mergeCell ref="X698:X713"/>
    <mergeCell ref="B661:B664"/>
    <mergeCell ref="C661:C664"/>
    <mergeCell ref="D661:D664"/>
    <mergeCell ref="E661:E664"/>
    <mergeCell ref="F661:F664"/>
    <mergeCell ref="G661:G664"/>
    <mergeCell ref="H661:H664"/>
    <mergeCell ref="I661:I664"/>
    <mergeCell ref="J661:J664"/>
    <mergeCell ref="K655:K660"/>
    <mergeCell ref="L655:L660"/>
    <mergeCell ref="M655:M660"/>
    <mergeCell ref="V655:V660"/>
    <mergeCell ref="W655:W660"/>
    <mergeCell ref="X655:X660"/>
    <mergeCell ref="Y650:Y651"/>
    <mergeCell ref="G674:H674"/>
    <mergeCell ref="Z650:Z651"/>
    <mergeCell ref="B655:B660"/>
    <mergeCell ref="C655:C660"/>
    <mergeCell ref="D655:D660"/>
    <mergeCell ref="E655:E660"/>
    <mergeCell ref="F655:F660"/>
    <mergeCell ref="G655:H660"/>
    <mergeCell ref="I655:I660"/>
    <mergeCell ref="J655:J660"/>
    <mergeCell ref="K650:K651"/>
    <mergeCell ref="L650:L651"/>
    <mergeCell ref="M650:M651"/>
    <mergeCell ref="V650:V651"/>
    <mergeCell ref="W650:W651"/>
    <mergeCell ref="X650:X651"/>
    <mergeCell ref="Y639:Y649"/>
    <mergeCell ref="B650:B651"/>
    <mergeCell ref="C650:C651"/>
    <mergeCell ref="D650:D651"/>
    <mergeCell ref="E650:E651"/>
    <mergeCell ref="F650:F651"/>
    <mergeCell ref="G650:G651"/>
    <mergeCell ref="H650:H651"/>
    <mergeCell ref="I650:I651"/>
    <mergeCell ref="J650:J651"/>
    <mergeCell ref="K639:K649"/>
    <mergeCell ref="L639:L649"/>
    <mergeCell ref="M639:M649"/>
    <mergeCell ref="V639:V649"/>
    <mergeCell ref="W639:W649"/>
    <mergeCell ref="X639:X649"/>
    <mergeCell ref="Y655:Y660"/>
    <mergeCell ref="X620:X638"/>
    <mergeCell ref="Y620:Y638"/>
    <mergeCell ref="B639:B649"/>
    <mergeCell ref="C639:C649"/>
    <mergeCell ref="D639:D649"/>
    <mergeCell ref="E639:E649"/>
    <mergeCell ref="F639:F649"/>
    <mergeCell ref="G639:H649"/>
    <mergeCell ref="I639:I649"/>
    <mergeCell ref="J639:J649"/>
    <mergeCell ref="J620:J638"/>
    <mergeCell ref="K620:K638"/>
    <mergeCell ref="L620:L638"/>
    <mergeCell ref="M620:M638"/>
    <mergeCell ref="V620:V638"/>
    <mergeCell ref="W620:W638"/>
    <mergeCell ref="X618:X619"/>
    <mergeCell ref="Y618:Y619"/>
    <mergeCell ref="B620:B638"/>
    <mergeCell ref="C620:C638"/>
    <mergeCell ref="D620:D638"/>
    <mergeCell ref="E620:E638"/>
    <mergeCell ref="F620:F638"/>
    <mergeCell ref="G620:G638"/>
    <mergeCell ref="H620:H638"/>
    <mergeCell ref="I620:I638"/>
    <mergeCell ref="J618:J619"/>
    <mergeCell ref="K618:K619"/>
    <mergeCell ref="L618:L619"/>
    <mergeCell ref="M618:M619"/>
    <mergeCell ref="V618:V619"/>
    <mergeCell ref="W618:W619"/>
    <mergeCell ref="W595:W617"/>
    <mergeCell ref="X595:X617"/>
    <mergeCell ref="Y595:Y617"/>
    <mergeCell ref="B618:B619"/>
    <mergeCell ref="C618:C619"/>
    <mergeCell ref="D618:D619"/>
    <mergeCell ref="E618:E619"/>
    <mergeCell ref="F618:F619"/>
    <mergeCell ref="G618:H619"/>
    <mergeCell ref="I618:I619"/>
    <mergeCell ref="I595:I617"/>
    <mergeCell ref="J595:J617"/>
    <mergeCell ref="K595:K617"/>
    <mergeCell ref="L595:L617"/>
    <mergeCell ref="M595:M617"/>
    <mergeCell ref="V595:V617"/>
    <mergeCell ref="W593:W594"/>
    <mergeCell ref="X593:X594"/>
    <mergeCell ref="Y593:Y594"/>
    <mergeCell ref="A595:A681"/>
    <mergeCell ref="B595:B617"/>
    <mergeCell ref="C595:C617"/>
    <mergeCell ref="D595:D617"/>
    <mergeCell ref="E595:E617"/>
    <mergeCell ref="F595:F617"/>
    <mergeCell ref="G595:H617"/>
    <mergeCell ref="I593:I594"/>
    <mergeCell ref="J593:J594"/>
    <mergeCell ref="K593:K594"/>
    <mergeCell ref="L593:L594"/>
    <mergeCell ref="M593:M594"/>
    <mergeCell ref="V593:V594"/>
    <mergeCell ref="X586:X592"/>
    <mergeCell ref="Y586:Y592"/>
    <mergeCell ref="Z586:Z592"/>
    <mergeCell ref="B593:B594"/>
    <mergeCell ref="C593:C594"/>
    <mergeCell ref="D593:D594"/>
    <mergeCell ref="E593:E594"/>
    <mergeCell ref="F593:F594"/>
    <mergeCell ref="G593:G594"/>
    <mergeCell ref="H593:H594"/>
    <mergeCell ref="J586:J592"/>
    <mergeCell ref="K586:K592"/>
    <mergeCell ref="L586:L592"/>
    <mergeCell ref="M586:M592"/>
    <mergeCell ref="V586:V592"/>
    <mergeCell ref="W586:W592"/>
    <mergeCell ref="D586:D592"/>
    <mergeCell ref="E586:E592"/>
    <mergeCell ref="F586:F592"/>
    <mergeCell ref="G586:G592"/>
    <mergeCell ref="H586:H592"/>
    <mergeCell ref="I586:I592"/>
    <mergeCell ref="M578:M581"/>
    <mergeCell ref="V578:V581"/>
    <mergeCell ref="W578:W581"/>
    <mergeCell ref="X578:X581"/>
    <mergeCell ref="Y578:Y581"/>
    <mergeCell ref="V582:V584"/>
    <mergeCell ref="W582:W584"/>
    <mergeCell ref="X582:X584"/>
    <mergeCell ref="Y582:Y584"/>
    <mergeCell ref="G578:G581"/>
    <mergeCell ref="H578:H581"/>
    <mergeCell ref="I578:I581"/>
    <mergeCell ref="J578:J581"/>
    <mergeCell ref="K578:K581"/>
    <mergeCell ref="L578:L581"/>
    <mergeCell ref="F578:F581"/>
    <mergeCell ref="G573:G575"/>
    <mergeCell ref="H573:H575"/>
    <mergeCell ref="I573:I575"/>
    <mergeCell ref="J573:J575"/>
    <mergeCell ref="K573:K575"/>
    <mergeCell ref="L573:L575"/>
    <mergeCell ref="M569:M570"/>
    <mergeCell ref="V569:V570"/>
    <mergeCell ref="W569:W570"/>
    <mergeCell ref="X569:X570"/>
    <mergeCell ref="Y569:Y570"/>
    <mergeCell ref="B573:B575"/>
    <mergeCell ref="C573:C575"/>
    <mergeCell ref="D573:D575"/>
    <mergeCell ref="E573:E575"/>
    <mergeCell ref="F573:F575"/>
    <mergeCell ref="G569:G570"/>
    <mergeCell ref="H569:H570"/>
    <mergeCell ref="I569:I570"/>
    <mergeCell ref="J569:J570"/>
    <mergeCell ref="K569:K570"/>
    <mergeCell ref="L569:L570"/>
    <mergeCell ref="A569:A594"/>
    <mergeCell ref="B569:B570"/>
    <mergeCell ref="C569:C570"/>
    <mergeCell ref="D569:D570"/>
    <mergeCell ref="E569:E570"/>
    <mergeCell ref="F569:F570"/>
    <mergeCell ref="D583:D585"/>
    <mergeCell ref="E583:E585"/>
    <mergeCell ref="B586:B592"/>
    <mergeCell ref="C586:C592"/>
    <mergeCell ref="X537:X540"/>
    <mergeCell ref="Y537:Y540"/>
    <mergeCell ref="B541:B547"/>
    <mergeCell ref="D541:D547"/>
    <mergeCell ref="E541:E547"/>
    <mergeCell ref="O541:O542"/>
    <mergeCell ref="H537:H540"/>
    <mergeCell ref="I537:I540"/>
    <mergeCell ref="J537:J540"/>
    <mergeCell ref="M537:M540"/>
    <mergeCell ref="V537:V540"/>
    <mergeCell ref="W537:W540"/>
    <mergeCell ref="A410:A568"/>
    <mergeCell ref="M573:M575"/>
    <mergeCell ref="V573:V575"/>
    <mergeCell ref="W573:W575"/>
    <mergeCell ref="X573:X575"/>
    <mergeCell ref="Y573:Y575"/>
    <mergeCell ref="B578:B581"/>
    <mergeCell ref="C578:C581"/>
    <mergeCell ref="D578:D581"/>
    <mergeCell ref="E578:E581"/>
    <mergeCell ref="V529:V530"/>
    <mergeCell ref="W529:W530"/>
    <mergeCell ref="X529:X530"/>
    <mergeCell ref="Y529:Y530"/>
    <mergeCell ref="B537:B540"/>
    <mergeCell ref="C537:C540"/>
    <mergeCell ref="D537:D540"/>
    <mergeCell ref="E537:E540"/>
    <mergeCell ref="F537:F540"/>
    <mergeCell ref="G537:G540"/>
    <mergeCell ref="W527:W528"/>
    <mergeCell ref="X527:X528"/>
    <mergeCell ref="Y527:Y528"/>
    <mergeCell ref="B529:B530"/>
    <mergeCell ref="C529:C530"/>
    <mergeCell ref="D529:D530"/>
    <mergeCell ref="E529:E530"/>
    <mergeCell ref="F529:F530"/>
    <mergeCell ref="G529:G530"/>
    <mergeCell ref="M529:M530"/>
    <mergeCell ref="W520:W525"/>
    <mergeCell ref="X520:X525"/>
    <mergeCell ref="Y520:Y525"/>
    <mergeCell ref="B527:B528"/>
    <mergeCell ref="C527:C528"/>
    <mergeCell ref="D527:D528"/>
    <mergeCell ref="E527:E528"/>
    <mergeCell ref="I527:I528"/>
    <mergeCell ref="M527:M528"/>
    <mergeCell ref="V527:V528"/>
    <mergeCell ref="Y514:Y517"/>
    <mergeCell ref="B520:B525"/>
    <mergeCell ref="C520:C525"/>
    <mergeCell ref="D520:D525"/>
    <mergeCell ref="E520:E525"/>
    <mergeCell ref="F520:F525"/>
    <mergeCell ref="G520:G525"/>
    <mergeCell ref="I520:I525"/>
    <mergeCell ref="J520:J525"/>
    <mergeCell ref="V520:V525"/>
    <mergeCell ref="G514:G517"/>
    <mergeCell ref="H514:H517"/>
    <mergeCell ref="M514:M517"/>
    <mergeCell ref="V514:V517"/>
    <mergeCell ref="W514:W517"/>
    <mergeCell ref="X514:X517"/>
    <mergeCell ref="M508:M512"/>
    <mergeCell ref="V508:V512"/>
    <mergeCell ref="W508:W512"/>
    <mergeCell ref="X508:X512"/>
    <mergeCell ref="Y508:Y512"/>
    <mergeCell ref="B514:B517"/>
    <mergeCell ref="C514:C517"/>
    <mergeCell ref="D514:D517"/>
    <mergeCell ref="E514:E517"/>
    <mergeCell ref="F514:F517"/>
    <mergeCell ref="Y506:Y507"/>
    <mergeCell ref="B508:B512"/>
    <mergeCell ref="C508:C512"/>
    <mergeCell ref="D508:D512"/>
    <mergeCell ref="E508:E512"/>
    <mergeCell ref="F508:F512"/>
    <mergeCell ref="G508:G512"/>
    <mergeCell ref="H508:H512"/>
    <mergeCell ref="I508:I512"/>
    <mergeCell ref="J508:J512"/>
    <mergeCell ref="K506:K507"/>
    <mergeCell ref="L506:L507"/>
    <mergeCell ref="M506:M507"/>
    <mergeCell ref="V506:V507"/>
    <mergeCell ref="W506:W507"/>
    <mergeCell ref="X506:X507"/>
    <mergeCell ref="B506:B507"/>
    <mergeCell ref="C506:C507"/>
    <mergeCell ref="D506:D507"/>
    <mergeCell ref="E506:E507"/>
    <mergeCell ref="I506:I507"/>
    <mergeCell ref="J506:J507"/>
    <mergeCell ref="J500:J505"/>
    <mergeCell ref="M500:M505"/>
    <mergeCell ref="V500:V505"/>
    <mergeCell ref="W500:W505"/>
    <mergeCell ref="X500:X505"/>
    <mergeCell ref="Y500:Y505"/>
    <mergeCell ref="X498:X499"/>
    <mergeCell ref="Y498:Y499"/>
    <mergeCell ref="B500:B505"/>
    <mergeCell ref="C500:C505"/>
    <mergeCell ref="D500:D505"/>
    <mergeCell ref="E500:E505"/>
    <mergeCell ref="F500:F505"/>
    <mergeCell ref="G500:G505"/>
    <mergeCell ref="H500:H505"/>
    <mergeCell ref="I500:I505"/>
    <mergeCell ref="J498:J499"/>
    <mergeCell ref="K498:K499"/>
    <mergeCell ref="L498:L499"/>
    <mergeCell ref="M498:M499"/>
    <mergeCell ref="V498:V499"/>
    <mergeCell ref="W498:W499"/>
    <mergeCell ref="X493:X495"/>
    <mergeCell ref="Y493:Y495"/>
    <mergeCell ref="B498:B499"/>
    <mergeCell ref="C498:C499"/>
    <mergeCell ref="D498:D499"/>
    <mergeCell ref="E498:E499"/>
    <mergeCell ref="F498:F499"/>
    <mergeCell ref="G498:G499"/>
    <mergeCell ref="H498:H499"/>
    <mergeCell ref="I498:I499"/>
    <mergeCell ref="X488:X491"/>
    <mergeCell ref="Y488:Y491"/>
    <mergeCell ref="B493:B495"/>
    <mergeCell ref="D493:D495"/>
    <mergeCell ref="E493:E495"/>
    <mergeCell ref="G493:G495"/>
    <mergeCell ref="H493:H495"/>
    <mergeCell ref="M493:M495"/>
    <mergeCell ref="V493:V495"/>
    <mergeCell ref="W493:W495"/>
    <mergeCell ref="H488:H491"/>
    <mergeCell ref="I488:I491"/>
    <mergeCell ref="J488:J491"/>
    <mergeCell ref="M488:M491"/>
    <mergeCell ref="V488:V491"/>
    <mergeCell ref="W488:W491"/>
    <mergeCell ref="B488:B491"/>
    <mergeCell ref="C488:C491"/>
    <mergeCell ref="D488:D491"/>
    <mergeCell ref="E488:E491"/>
    <mergeCell ref="F488:F491"/>
    <mergeCell ref="G488:G491"/>
    <mergeCell ref="J483:J487"/>
    <mergeCell ref="M483:M487"/>
    <mergeCell ref="V483:V487"/>
    <mergeCell ref="W483:W487"/>
    <mergeCell ref="X483:X487"/>
    <mergeCell ref="Y483:Y487"/>
    <mergeCell ref="X469:X481"/>
    <mergeCell ref="Y469:Y481"/>
    <mergeCell ref="B483:B487"/>
    <mergeCell ref="C483:C487"/>
    <mergeCell ref="D483:D487"/>
    <mergeCell ref="E483:E487"/>
    <mergeCell ref="F483:F487"/>
    <mergeCell ref="G483:G487"/>
    <mergeCell ref="H483:H487"/>
    <mergeCell ref="I483:I487"/>
    <mergeCell ref="I469:I481"/>
    <mergeCell ref="J469:J481"/>
    <mergeCell ref="K469:K481"/>
    <mergeCell ref="L469:L481"/>
    <mergeCell ref="V469:V481"/>
    <mergeCell ref="W469:W481"/>
    <mergeCell ref="W467:W468"/>
    <mergeCell ref="X467:X468"/>
    <mergeCell ref="Y467:Y468"/>
    <mergeCell ref="B469:B481"/>
    <mergeCell ref="C469:C481"/>
    <mergeCell ref="D469:D481"/>
    <mergeCell ref="E469:E481"/>
    <mergeCell ref="F469:F481"/>
    <mergeCell ref="G469:G481"/>
    <mergeCell ref="H469:H481"/>
    <mergeCell ref="G467:G468"/>
    <mergeCell ref="H467:H468"/>
    <mergeCell ref="I467:I468"/>
    <mergeCell ref="J467:J468"/>
    <mergeCell ref="M467:M468"/>
    <mergeCell ref="V467:V468"/>
    <mergeCell ref="M446:M447"/>
    <mergeCell ref="V446:V466"/>
    <mergeCell ref="W446:W466"/>
    <mergeCell ref="X446:X466"/>
    <mergeCell ref="Y446:Y466"/>
    <mergeCell ref="B467:B468"/>
    <mergeCell ref="C467:C468"/>
    <mergeCell ref="D467:D468"/>
    <mergeCell ref="E467:E468"/>
    <mergeCell ref="F467:F468"/>
    <mergeCell ref="W433:W444"/>
    <mergeCell ref="X433:X444"/>
    <mergeCell ref="Y433:Y444"/>
    <mergeCell ref="B446:B466"/>
    <mergeCell ref="C446:C466"/>
    <mergeCell ref="D446:D466"/>
    <mergeCell ref="E446:E466"/>
    <mergeCell ref="F446:F466"/>
    <mergeCell ref="G446:G466"/>
    <mergeCell ref="H446:H466"/>
    <mergeCell ref="G433:G444"/>
    <mergeCell ref="H433:H444"/>
    <mergeCell ref="I433:I444"/>
    <mergeCell ref="J433:J444"/>
    <mergeCell ref="M433:M444"/>
    <mergeCell ref="V433:V444"/>
    <mergeCell ref="M420:M432"/>
    <mergeCell ref="V420:V432"/>
    <mergeCell ref="W420:W432"/>
    <mergeCell ref="X420:X432"/>
    <mergeCell ref="Y420:Y432"/>
    <mergeCell ref="B433:B444"/>
    <mergeCell ref="C433:C444"/>
    <mergeCell ref="D433:D444"/>
    <mergeCell ref="E433:E444"/>
    <mergeCell ref="F433:F444"/>
    <mergeCell ref="G420:G432"/>
    <mergeCell ref="H420:H432"/>
    <mergeCell ref="I420:I432"/>
    <mergeCell ref="J420:J432"/>
    <mergeCell ref="K420:K432"/>
    <mergeCell ref="L420:L432"/>
    <mergeCell ref="M415:M419"/>
    <mergeCell ref="V415:V419"/>
    <mergeCell ref="W415:W419"/>
    <mergeCell ref="X415:X419"/>
    <mergeCell ref="Y415:Y419"/>
    <mergeCell ref="B420:B432"/>
    <mergeCell ref="C420:C432"/>
    <mergeCell ref="D420:D432"/>
    <mergeCell ref="E420:E432"/>
    <mergeCell ref="F420:F432"/>
    <mergeCell ref="G415:G419"/>
    <mergeCell ref="H415:H419"/>
    <mergeCell ref="I415:I419"/>
    <mergeCell ref="J415:J419"/>
    <mergeCell ref="K415:K419"/>
    <mergeCell ref="L415:L419"/>
    <mergeCell ref="V394:V396"/>
    <mergeCell ref="W394:W396"/>
    <mergeCell ref="X394:X396"/>
    <mergeCell ref="Y394:Y396"/>
    <mergeCell ref="B415:B419"/>
    <mergeCell ref="C415:C419"/>
    <mergeCell ref="D415:D419"/>
    <mergeCell ref="E415:E419"/>
    <mergeCell ref="F415:F419"/>
    <mergeCell ref="V380:V382"/>
    <mergeCell ref="W380:W382"/>
    <mergeCell ref="X380:X382"/>
    <mergeCell ref="Y380:Y382"/>
    <mergeCell ref="V384:V393"/>
    <mergeCell ref="W384:W393"/>
    <mergeCell ref="X384:X393"/>
    <mergeCell ref="Y384:Y393"/>
    <mergeCell ref="V365:V377"/>
    <mergeCell ref="W365:W377"/>
    <mergeCell ref="X365:X377"/>
    <mergeCell ref="Y365:Y377"/>
    <mergeCell ref="V378:V379"/>
    <mergeCell ref="W378:W379"/>
    <mergeCell ref="X378:X379"/>
    <mergeCell ref="Y378:Y379"/>
    <mergeCell ref="V349:V358"/>
    <mergeCell ref="W349:W358"/>
    <mergeCell ref="X349:X358"/>
    <mergeCell ref="Y349:Y358"/>
    <mergeCell ref="V359:V362"/>
    <mergeCell ref="W359:W362"/>
    <mergeCell ref="X359:X362"/>
    <mergeCell ref="Y359:Y362"/>
    <mergeCell ref="J329:J330"/>
    <mergeCell ref="K329:K330"/>
    <mergeCell ref="L329:L330"/>
    <mergeCell ref="M329:M330"/>
    <mergeCell ref="Z329:Z330"/>
    <mergeCell ref="A345:A409"/>
    <mergeCell ref="V345:V348"/>
    <mergeCell ref="W345:W348"/>
    <mergeCell ref="X345:X348"/>
    <mergeCell ref="Y345:Y348"/>
    <mergeCell ref="B321:B322"/>
    <mergeCell ref="C321:C322"/>
    <mergeCell ref="D321:D322"/>
    <mergeCell ref="E321:E322"/>
    <mergeCell ref="Z321:Z322"/>
    <mergeCell ref="B329:B330"/>
    <mergeCell ref="F329:F330"/>
    <mergeCell ref="G329:G330"/>
    <mergeCell ref="H329:H330"/>
    <mergeCell ref="I329:I330"/>
    <mergeCell ref="M319:M322"/>
    <mergeCell ref="V319:V322"/>
    <mergeCell ref="W319:W322"/>
    <mergeCell ref="X319:X322"/>
    <mergeCell ref="Y319:Y322"/>
    <mergeCell ref="Z319:Z320"/>
    <mergeCell ref="G319:G322"/>
    <mergeCell ref="H319:H322"/>
    <mergeCell ref="I319:I322"/>
    <mergeCell ref="J319:J322"/>
    <mergeCell ref="K319:K322"/>
    <mergeCell ref="L319:L322"/>
    <mergeCell ref="V312:V313"/>
    <mergeCell ref="W312:W313"/>
    <mergeCell ref="X312:X313"/>
    <mergeCell ref="Y312:Y313"/>
    <mergeCell ref="Z312:Z313"/>
    <mergeCell ref="B319:B320"/>
    <mergeCell ref="C319:C320"/>
    <mergeCell ref="D319:D320"/>
    <mergeCell ref="E319:E320"/>
    <mergeCell ref="F319:F322"/>
    <mergeCell ref="H312:H313"/>
    <mergeCell ref="I312:I313"/>
    <mergeCell ref="J312:J313"/>
    <mergeCell ref="K312:K313"/>
    <mergeCell ref="L312:L313"/>
    <mergeCell ref="M312:M313"/>
    <mergeCell ref="B312:B313"/>
    <mergeCell ref="C312:C313"/>
    <mergeCell ref="D312:D313"/>
    <mergeCell ref="E312:E313"/>
    <mergeCell ref="F312:F313"/>
    <mergeCell ref="G312:G313"/>
    <mergeCell ref="A295:A344"/>
    <mergeCell ref="B299:B300"/>
    <mergeCell ref="C299:C300"/>
    <mergeCell ref="D299:D300"/>
    <mergeCell ref="E299:E300"/>
    <mergeCell ref="F299:F300"/>
    <mergeCell ref="B304:B306"/>
    <mergeCell ref="C304:C306"/>
    <mergeCell ref="D304:D306"/>
    <mergeCell ref="E304:E306"/>
    <mergeCell ref="I309:I310"/>
    <mergeCell ref="J309:J310"/>
    <mergeCell ref="K309:K310"/>
    <mergeCell ref="L309:L310"/>
    <mergeCell ref="M309:M310"/>
    <mergeCell ref="Z309:Z310"/>
    <mergeCell ref="L304:L306"/>
    <mergeCell ref="M304:M306"/>
    <mergeCell ref="Z304:Z306"/>
    <mergeCell ref="B309:B310"/>
    <mergeCell ref="C309:C310"/>
    <mergeCell ref="D309:D310"/>
    <mergeCell ref="E309:E310"/>
    <mergeCell ref="F309:F310"/>
    <mergeCell ref="G309:G310"/>
    <mergeCell ref="H309:H310"/>
    <mergeCell ref="F304:F306"/>
    <mergeCell ref="G304:G306"/>
    <mergeCell ref="H304:H306"/>
    <mergeCell ref="I304:I306"/>
    <mergeCell ref="J304:J306"/>
    <mergeCell ref="K304:K306"/>
    <mergeCell ref="Y266:Y269"/>
    <mergeCell ref="V243:V249"/>
    <mergeCell ref="W243:W249"/>
    <mergeCell ref="X243:X249"/>
    <mergeCell ref="Y243:Y249"/>
    <mergeCell ref="V250:V253"/>
    <mergeCell ref="W250:W253"/>
    <mergeCell ref="X250:X253"/>
    <mergeCell ref="Y250:Y253"/>
    <mergeCell ref="M299:M300"/>
    <mergeCell ref="Z299:Z300"/>
    <mergeCell ref="F302:F303"/>
    <mergeCell ref="G302:G303"/>
    <mergeCell ref="H302:H303"/>
    <mergeCell ref="I302:I303"/>
    <mergeCell ref="J302:J303"/>
    <mergeCell ref="K302:K303"/>
    <mergeCell ref="L302:L303"/>
    <mergeCell ref="M302:M303"/>
    <mergeCell ref="G299:G300"/>
    <mergeCell ref="H299:H300"/>
    <mergeCell ref="I299:I300"/>
    <mergeCell ref="J299:J300"/>
    <mergeCell ref="K299:K300"/>
    <mergeCell ref="L299:L300"/>
    <mergeCell ref="W229:W230"/>
    <mergeCell ref="X229:X230"/>
    <mergeCell ref="Y229:Y230"/>
    <mergeCell ref="V231:V242"/>
    <mergeCell ref="W231:W242"/>
    <mergeCell ref="X231:X242"/>
    <mergeCell ref="Y231:Y242"/>
    <mergeCell ref="V197:V198"/>
    <mergeCell ref="W197:W198"/>
    <mergeCell ref="X197:X198"/>
    <mergeCell ref="Y197:Y198"/>
    <mergeCell ref="A207:A294"/>
    <mergeCell ref="V214:V228"/>
    <mergeCell ref="W214:W228"/>
    <mergeCell ref="X214:X228"/>
    <mergeCell ref="Y214:Y228"/>
    <mergeCell ref="V229:V230"/>
    <mergeCell ref="V270:V286"/>
    <mergeCell ref="W270:W286"/>
    <mergeCell ref="X270:X286"/>
    <mergeCell ref="Y270:Y286"/>
    <mergeCell ref="V288:V293"/>
    <mergeCell ref="W288:W293"/>
    <mergeCell ref="X288:X293"/>
    <mergeCell ref="Y288:Y293"/>
    <mergeCell ref="V260:V265"/>
    <mergeCell ref="W260:W265"/>
    <mergeCell ref="X260:X265"/>
    <mergeCell ref="Y260:Y265"/>
    <mergeCell ref="V266:V269"/>
    <mergeCell ref="W266:W269"/>
    <mergeCell ref="X266:X269"/>
    <mergeCell ref="W185:W187"/>
    <mergeCell ref="X185:X187"/>
    <mergeCell ref="Y185:Y187"/>
    <mergeCell ref="V188:V191"/>
    <mergeCell ref="W188:W191"/>
    <mergeCell ref="X188:X191"/>
    <mergeCell ref="Y188:Y191"/>
    <mergeCell ref="V176:V177"/>
    <mergeCell ref="W176:W177"/>
    <mergeCell ref="X176:X177"/>
    <mergeCell ref="Y176:Y177"/>
    <mergeCell ref="A179:A206"/>
    <mergeCell ref="V182:V184"/>
    <mergeCell ref="W182:W184"/>
    <mergeCell ref="X182:X184"/>
    <mergeCell ref="Y182:Y184"/>
    <mergeCell ref="V185:V187"/>
    <mergeCell ref="H176:H177"/>
    <mergeCell ref="I176:I177"/>
    <mergeCell ref="J176:J177"/>
    <mergeCell ref="K176:K177"/>
    <mergeCell ref="L176:L177"/>
    <mergeCell ref="M176:M177"/>
    <mergeCell ref="V170:V175"/>
    <mergeCell ref="W170:W175"/>
    <mergeCell ref="X170:X175"/>
    <mergeCell ref="Y170:Y175"/>
    <mergeCell ref="B176:B177"/>
    <mergeCell ref="C176:C177"/>
    <mergeCell ref="D176:D177"/>
    <mergeCell ref="E176:E177"/>
    <mergeCell ref="F176:F177"/>
    <mergeCell ref="G176:G177"/>
    <mergeCell ref="H170:H175"/>
    <mergeCell ref="I170:I175"/>
    <mergeCell ref="J170:J175"/>
    <mergeCell ref="K170:K175"/>
    <mergeCell ref="L170:L175"/>
    <mergeCell ref="M170:M175"/>
    <mergeCell ref="V166:V169"/>
    <mergeCell ref="W166:W169"/>
    <mergeCell ref="X166:X169"/>
    <mergeCell ref="Y166:Y169"/>
    <mergeCell ref="B170:B175"/>
    <mergeCell ref="C170:C175"/>
    <mergeCell ref="D170:D175"/>
    <mergeCell ref="E170:E175"/>
    <mergeCell ref="F170:F175"/>
    <mergeCell ref="G170:G175"/>
    <mergeCell ref="J166:J169"/>
    <mergeCell ref="K166:K169"/>
    <mergeCell ref="L166:L169"/>
    <mergeCell ref="M166:M169"/>
    <mergeCell ref="T166:T167"/>
    <mergeCell ref="U166:U167"/>
    <mergeCell ref="Y149:Y165"/>
    <mergeCell ref="Z149:Z165"/>
    <mergeCell ref="B166:B169"/>
    <mergeCell ref="C166:C169"/>
    <mergeCell ref="D166:D169"/>
    <mergeCell ref="E166:E169"/>
    <mergeCell ref="F166:F169"/>
    <mergeCell ref="G166:G169"/>
    <mergeCell ref="H166:H169"/>
    <mergeCell ref="I166:I169"/>
    <mergeCell ref="K149:K165"/>
    <mergeCell ref="L149:L165"/>
    <mergeCell ref="M149:M165"/>
    <mergeCell ref="V149:V165"/>
    <mergeCell ref="W149:W165"/>
    <mergeCell ref="X149:X165"/>
    <mergeCell ref="Z142:Z148"/>
    <mergeCell ref="B149:B165"/>
    <mergeCell ref="C149:C165"/>
    <mergeCell ref="D149:D165"/>
    <mergeCell ref="E149:E165"/>
    <mergeCell ref="F149:F165"/>
    <mergeCell ref="G149:G165"/>
    <mergeCell ref="H149:H165"/>
    <mergeCell ref="I149:I165"/>
    <mergeCell ref="J149:J165"/>
    <mergeCell ref="T142:T143"/>
    <mergeCell ref="U142:U143"/>
    <mergeCell ref="V142:V148"/>
    <mergeCell ref="W142:W148"/>
    <mergeCell ref="X142:X148"/>
    <mergeCell ref="Y142:Y148"/>
    <mergeCell ref="H142:H148"/>
    <mergeCell ref="I142:I148"/>
    <mergeCell ref="J142:J148"/>
    <mergeCell ref="K142:K148"/>
    <mergeCell ref="L142:L148"/>
    <mergeCell ref="M142:M148"/>
    <mergeCell ref="B142:B148"/>
    <mergeCell ref="C142:C148"/>
    <mergeCell ref="D142:D148"/>
    <mergeCell ref="E142:E148"/>
    <mergeCell ref="F142:F148"/>
    <mergeCell ref="G142:G148"/>
    <mergeCell ref="M135:M140"/>
    <mergeCell ref="V135:V140"/>
    <mergeCell ref="W135:W140"/>
    <mergeCell ref="X135:X140"/>
    <mergeCell ref="Y135:Y140"/>
    <mergeCell ref="Z135:Z140"/>
    <mergeCell ref="G135:G140"/>
    <mergeCell ref="H135:H140"/>
    <mergeCell ref="I135:I140"/>
    <mergeCell ref="J135:J140"/>
    <mergeCell ref="K135:K140"/>
    <mergeCell ref="L135:L140"/>
    <mergeCell ref="V120:V134"/>
    <mergeCell ref="W120:W134"/>
    <mergeCell ref="X120:X134"/>
    <mergeCell ref="Y120:Y134"/>
    <mergeCell ref="Z120:Z133"/>
    <mergeCell ref="B135:B140"/>
    <mergeCell ref="C135:C140"/>
    <mergeCell ref="D135:D140"/>
    <mergeCell ref="E135:E140"/>
    <mergeCell ref="F135:F140"/>
    <mergeCell ref="H120:H134"/>
    <mergeCell ref="I120:I134"/>
    <mergeCell ref="J120:J134"/>
    <mergeCell ref="K120:K134"/>
    <mergeCell ref="L120:L134"/>
    <mergeCell ref="M120:M134"/>
    <mergeCell ref="W117:W119"/>
    <mergeCell ref="X117:X119"/>
    <mergeCell ref="Y117:Y119"/>
    <mergeCell ref="Z117:Z119"/>
    <mergeCell ref="B120:B134"/>
    <mergeCell ref="C120:C134"/>
    <mergeCell ref="D120:D134"/>
    <mergeCell ref="E120:E134"/>
    <mergeCell ref="F120:F134"/>
    <mergeCell ref="G120:G134"/>
    <mergeCell ref="I117:I119"/>
    <mergeCell ref="J117:J119"/>
    <mergeCell ref="K117:K119"/>
    <mergeCell ref="L117:L119"/>
    <mergeCell ref="M117:M119"/>
    <mergeCell ref="V117:V119"/>
    <mergeCell ref="V113:V116"/>
    <mergeCell ref="W113:W116"/>
    <mergeCell ref="X113:X116"/>
    <mergeCell ref="Y113:Y116"/>
    <mergeCell ref="B117:B119"/>
    <mergeCell ref="C117:C119"/>
    <mergeCell ref="D117:D119"/>
    <mergeCell ref="E117:E119"/>
    <mergeCell ref="F117:F119"/>
    <mergeCell ref="G117:H119"/>
    <mergeCell ref="H113:H116"/>
    <mergeCell ref="I113:I116"/>
    <mergeCell ref="J113:J116"/>
    <mergeCell ref="K113:K116"/>
    <mergeCell ref="L113:L116"/>
    <mergeCell ref="M113:M116"/>
    <mergeCell ref="B113:B116"/>
    <mergeCell ref="C113:C116"/>
    <mergeCell ref="D113:D116"/>
    <mergeCell ref="E113:E116"/>
    <mergeCell ref="F113:F116"/>
    <mergeCell ref="G113:G116"/>
    <mergeCell ref="M103:M112"/>
    <mergeCell ref="V103:V112"/>
    <mergeCell ref="W103:W112"/>
    <mergeCell ref="X103:X112"/>
    <mergeCell ref="Y103:Y112"/>
    <mergeCell ref="Z104:Z112"/>
    <mergeCell ref="G103:G112"/>
    <mergeCell ref="H103:H112"/>
    <mergeCell ref="I103:I112"/>
    <mergeCell ref="J103:J112"/>
    <mergeCell ref="K103:K112"/>
    <mergeCell ref="L103:L112"/>
    <mergeCell ref="V96:V99"/>
    <mergeCell ref="W96:W99"/>
    <mergeCell ref="X96:X99"/>
    <mergeCell ref="Y96:Y99"/>
    <mergeCell ref="A101:A178"/>
    <mergeCell ref="B103:B112"/>
    <mergeCell ref="C103:C112"/>
    <mergeCell ref="D103:D112"/>
    <mergeCell ref="E103:E112"/>
    <mergeCell ref="F103:F112"/>
    <mergeCell ref="H96:H99"/>
    <mergeCell ref="I96:I99"/>
    <mergeCell ref="J96:J99"/>
    <mergeCell ref="K96:K99"/>
    <mergeCell ref="L96:L99"/>
    <mergeCell ref="M96:M99"/>
    <mergeCell ref="V89:V92"/>
    <mergeCell ref="W89:W92"/>
    <mergeCell ref="X89:X92"/>
    <mergeCell ref="Y89:Y92"/>
    <mergeCell ref="B96:B99"/>
    <mergeCell ref="C96:C99"/>
    <mergeCell ref="D96:D99"/>
    <mergeCell ref="E96:E99"/>
    <mergeCell ref="F96:F99"/>
    <mergeCell ref="G96:G99"/>
    <mergeCell ref="H89:H92"/>
    <mergeCell ref="I89:I92"/>
    <mergeCell ref="J89:J92"/>
    <mergeCell ref="K89:K92"/>
    <mergeCell ref="L89:L92"/>
    <mergeCell ref="M89:M92"/>
    <mergeCell ref="V73:V88"/>
    <mergeCell ref="W73:W88"/>
    <mergeCell ref="X73:X88"/>
    <mergeCell ref="Y73:Y88"/>
    <mergeCell ref="B89:B92"/>
    <mergeCell ref="C89:C92"/>
    <mergeCell ref="D89:D92"/>
    <mergeCell ref="E89:E92"/>
    <mergeCell ref="F89:F92"/>
    <mergeCell ref="G89:G92"/>
    <mergeCell ref="H73:H88"/>
    <mergeCell ref="I73:I88"/>
    <mergeCell ref="J73:J88"/>
    <mergeCell ref="K73:K88"/>
    <mergeCell ref="L73:L88"/>
    <mergeCell ref="M73:M88"/>
    <mergeCell ref="B73:B88"/>
    <mergeCell ref="C73:C88"/>
    <mergeCell ref="D73:D88"/>
    <mergeCell ref="E73:E88"/>
    <mergeCell ref="F73:F88"/>
    <mergeCell ref="G73:G88"/>
    <mergeCell ref="B71:B72"/>
    <mergeCell ref="C71:C72"/>
    <mergeCell ref="D71:D72"/>
    <mergeCell ref="E71:E72"/>
    <mergeCell ref="M71:M72"/>
    <mergeCell ref="G68:G70"/>
    <mergeCell ref="H68:H70"/>
    <mergeCell ref="I68:I70"/>
    <mergeCell ref="J68:J70"/>
    <mergeCell ref="K68:K70"/>
    <mergeCell ref="L68:L70"/>
    <mergeCell ref="M25:M67"/>
    <mergeCell ref="V25:V67"/>
    <mergeCell ref="W25:W67"/>
    <mergeCell ref="X25:X67"/>
    <mergeCell ref="Y25:Y67"/>
    <mergeCell ref="B68:B70"/>
    <mergeCell ref="C68:C70"/>
    <mergeCell ref="D68:D70"/>
    <mergeCell ref="E68:E70"/>
    <mergeCell ref="F68:F70"/>
    <mergeCell ref="G25:G67"/>
    <mergeCell ref="H25:H67"/>
    <mergeCell ref="I25:I67"/>
    <mergeCell ref="J25:J67"/>
    <mergeCell ref="K25:K67"/>
    <mergeCell ref="L25:L67"/>
    <mergeCell ref="Y11:Y24"/>
    <mergeCell ref="B25:B67"/>
    <mergeCell ref="C25:C67"/>
    <mergeCell ref="D25:D67"/>
    <mergeCell ref="E25:E67"/>
    <mergeCell ref="F25:F67"/>
    <mergeCell ref="G11:G24"/>
    <mergeCell ref="H11:H24"/>
    <mergeCell ref="I11:I24"/>
    <mergeCell ref="J11:J24"/>
    <mergeCell ref="K11:K24"/>
    <mergeCell ref="L11:L24"/>
    <mergeCell ref="V4:V5"/>
    <mergeCell ref="W4:W5"/>
    <mergeCell ref="X4:X5"/>
    <mergeCell ref="Y4:Y5"/>
    <mergeCell ref="M68:M70"/>
    <mergeCell ref="V68:V70"/>
    <mergeCell ref="W68:W70"/>
    <mergeCell ref="X68:X70"/>
    <mergeCell ref="Y68:Y70"/>
    <mergeCell ref="B1:Z1"/>
    <mergeCell ref="T2:Z2"/>
    <mergeCell ref="A3:A5"/>
    <mergeCell ref="B3:B5"/>
    <mergeCell ref="C3:C5"/>
    <mergeCell ref="D3:D5"/>
    <mergeCell ref="E3:E5"/>
    <mergeCell ref="F3:M3"/>
    <mergeCell ref="N3:Y3"/>
    <mergeCell ref="Z3:Z5"/>
    <mergeCell ref="A6:A100"/>
    <mergeCell ref="B11:B24"/>
    <mergeCell ref="C11:C24"/>
    <mergeCell ref="D11:D24"/>
    <mergeCell ref="E11:E24"/>
    <mergeCell ref="F11:F24"/>
    <mergeCell ref="P4:P5"/>
    <mergeCell ref="Q4:Q5"/>
    <mergeCell ref="R4:R5"/>
    <mergeCell ref="S4:S5"/>
    <mergeCell ref="T4:T5"/>
    <mergeCell ref="U4:U5"/>
    <mergeCell ref="F4:H4"/>
    <mergeCell ref="I4:J4"/>
    <mergeCell ref="K4:L4"/>
    <mergeCell ref="M4:M5"/>
    <mergeCell ref="N4:N5"/>
    <mergeCell ref="O4:O5"/>
    <mergeCell ref="M11:M24"/>
    <mergeCell ref="V11:V24"/>
    <mergeCell ref="W11:W24"/>
    <mergeCell ref="X11:X24"/>
  </mergeCells>
  <phoneticPr fontId="1" type="noConversion"/>
  <conditionalFormatting sqref="M488:M491 C495 B488:C491 C520 C556:C557 F488:J491">
    <cfRule type="cellIs" dxfId="59" priority="28" stopIfTrue="1" operator="equal">
      <formula>0</formula>
    </cfRule>
    <cfRule type="expression" dxfId="58" priority="29" stopIfTrue="1">
      <formula>0</formula>
    </cfRule>
  </conditionalFormatting>
  <conditionalFormatting sqref="M661 C661 F661:J661">
    <cfRule type="cellIs" dxfId="57" priority="26" stopIfTrue="1" operator="equal">
      <formula>0</formula>
    </cfRule>
    <cfRule type="expression" dxfId="56" priority="27" stopIfTrue="1">
      <formula>0</formula>
    </cfRule>
  </conditionalFormatting>
  <conditionalFormatting sqref="D178:E178 D117:E117 E120 D135:E135 D101:E103 D141:E141 D149:E149 E142 E166 D170:E170 D176:E176">
    <cfRule type="cellIs" dxfId="55" priority="24" stopIfTrue="1" operator="equal">
      <formula>0</formula>
    </cfRule>
    <cfRule type="expression" dxfId="54" priority="25" stopIfTrue="1">
      <formula>0</formula>
    </cfRule>
  </conditionalFormatting>
  <conditionalFormatting sqref="D141 D178 D166:E166 D142:E142 D120:E120">
    <cfRule type="cellIs" dxfId="53" priority="23" stopIfTrue="1" operator="lessThan">
      <formula>0</formula>
    </cfRule>
  </conditionalFormatting>
  <conditionalFormatting sqref="D180:E180">
    <cfRule type="cellIs" dxfId="52" priority="21" stopIfTrue="1" operator="equal">
      <formula>0</formula>
    </cfRule>
    <cfRule type="expression" dxfId="51" priority="22" stopIfTrue="1">
      <formula>0</formula>
    </cfRule>
  </conditionalFormatting>
  <conditionalFormatting sqref="D182:E182">
    <cfRule type="cellIs" dxfId="50" priority="19" stopIfTrue="1" operator="equal">
      <formula>0</formula>
    </cfRule>
    <cfRule type="expression" dxfId="49" priority="20" stopIfTrue="1">
      <formula>0</formula>
    </cfRule>
  </conditionalFormatting>
  <conditionalFormatting sqref="D194:E194">
    <cfRule type="cellIs" dxfId="48" priority="17" stopIfTrue="1" operator="equal">
      <formula>0</formula>
    </cfRule>
    <cfRule type="expression" dxfId="47" priority="18" stopIfTrue="1">
      <formula>0</formula>
    </cfRule>
  </conditionalFormatting>
  <conditionalFormatting sqref="D202:E202">
    <cfRule type="cellIs" dxfId="46" priority="15" stopIfTrue="1" operator="equal">
      <formula>0</formula>
    </cfRule>
    <cfRule type="expression" dxfId="45" priority="16" stopIfTrue="1">
      <formula>0</formula>
    </cfRule>
  </conditionalFormatting>
  <conditionalFormatting sqref="D202:E202">
    <cfRule type="cellIs" dxfId="44" priority="13" stopIfTrue="1" operator="equal">
      <formula>0</formula>
    </cfRule>
    <cfRule type="expression" dxfId="43" priority="14" stopIfTrue="1">
      <formula>0</formula>
    </cfRule>
  </conditionalFormatting>
  <conditionalFormatting sqref="D556:E557">
    <cfRule type="cellIs" dxfId="42" priority="11" stopIfTrue="1" operator="equal">
      <formula>0</formula>
    </cfRule>
    <cfRule type="expression" dxfId="41" priority="12" stopIfTrue="1">
      <formula>0</formula>
    </cfRule>
  </conditionalFormatting>
  <conditionalFormatting sqref="E410 D414:E414 D433:E433 D559:E559 D493:E493 D529:E529 D531:E532 D556:E556">
    <cfRule type="cellIs" dxfId="40" priority="9" stopIfTrue="1" operator="equal">
      <formula>0</formula>
    </cfRule>
    <cfRule type="expression" dxfId="39" priority="10" stopIfTrue="1">
      <formula>0</formula>
    </cfRule>
  </conditionalFormatting>
  <conditionalFormatting sqref="D413:E413 E415 E433">
    <cfRule type="cellIs" dxfId="38" priority="7" stopIfTrue="1" operator="equal">
      <formula>0</formula>
    </cfRule>
    <cfRule type="expression" dxfId="37" priority="8" stopIfTrue="1">
      <formula>0</formula>
    </cfRule>
  </conditionalFormatting>
  <conditionalFormatting sqref="D415:E415">
    <cfRule type="cellIs" dxfId="36" priority="5" stopIfTrue="1" operator="equal">
      <formula>0</formula>
    </cfRule>
    <cfRule type="expression" dxfId="35" priority="6" stopIfTrue="1">
      <formula>0</formula>
    </cfRule>
  </conditionalFormatting>
  <conditionalFormatting sqref="E526">
    <cfRule type="cellIs" dxfId="34" priority="3" stopIfTrue="1" operator="equal">
      <formula>0</formula>
    </cfRule>
    <cfRule type="expression" dxfId="33" priority="4" stopIfTrue="1">
      <formula>0</formula>
    </cfRule>
  </conditionalFormatting>
  <conditionalFormatting sqref="D557:E557">
    <cfRule type="cellIs" dxfId="32" priority="1" stopIfTrue="1" operator="equal">
      <formula>0</formula>
    </cfRule>
    <cfRule type="expression" dxfId="31" priority="2" stopIfTrue="1">
      <formula>0</formula>
    </cfRule>
  </conditionalFormatting>
  <pageMargins left="0.7" right="0.7" top="0.75" bottom="0.75" header="0.3" footer="0.3"/>
  <pageSetup paperSize="9" orientation="landscape" horizontalDpi="200" verticalDpi="200" r:id="rId1"/>
  <ignoredErrors>
    <ignoredError sqref="AC10:AE10 AC30:AE30 AD32" formulaRange="1"/>
  </ignoredErrors>
  <legacyDrawing r:id="rId2"/>
</worksheet>
</file>

<file path=xl/worksheets/sheet3.xml><?xml version="1.0" encoding="utf-8"?>
<worksheet xmlns="http://schemas.openxmlformats.org/spreadsheetml/2006/main" xmlns:r="http://schemas.openxmlformats.org/officeDocument/2006/relationships">
  <sheetPr filterMode="1"/>
  <dimension ref="A1:AG888"/>
  <sheetViews>
    <sheetView zoomScale="110" zoomScaleNormal="110" workbookViewId="0">
      <selection activeCell="AG20" sqref="AG20"/>
    </sheetView>
  </sheetViews>
  <sheetFormatPr defaultRowHeight="15"/>
  <cols>
    <col min="1" max="1" width="9" style="1"/>
    <col min="2" max="2" width="3.625" style="1" customWidth="1"/>
    <col min="3" max="3" width="16.625" style="1" customWidth="1"/>
    <col min="4" max="5" width="16.625" style="78" hidden="1" customWidth="1"/>
    <col min="6" max="6" width="11.75" style="1" hidden="1" customWidth="1"/>
    <col min="7" max="7" width="11.25" style="1" hidden="1" customWidth="1"/>
    <col min="8" max="8" width="12.125" style="1" hidden="1" customWidth="1"/>
    <col min="9" max="9" width="12.25" style="1" hidden="1" customWidth="1"/>
    <col min="10" max="10" width="9.25" style="1" hidden="1" customWidth="1"/>
    <col min="11" max="11" width="12" style="1" hidden="1" customWidth="1"/>
    <col min="12" max="14" width="8.875" style="1" hidden="1" customWidth="1"/>
    <col min="15" max="15" width="18.25" style="1" hidden="1" customWidth="1"/>
    <col min="16" max="16" width="10.5" style="1" customWidth="1"/>
    <col min="17" max="17" width="8.125" style="1" customWidth="1"/>
    <col min="18" max="18" width="9.25" style="1" customWidth="1"/>
    <col min="19" max="20" width="9.5" style="1" customWidth="1"/>
    <col min="21" max="21" width="9.375" style="1" customWidth="1"/>
    <col min="22" max="23" width="9.375" style="26" customWidth="1"/>
    <col min="24" max="24" width="11.75" style="26" customWidth="1"/>
    <col min="25" max="25" width="9.375" style="26" customWidth="1"/>
    <col min="26" max="26" width="5.875" style="1" customWidth="1"/>
    <col min="27" max="32" width="9" style="1"/>
    <col min="33" max="33" width="9.875" style="1" bestFit="1" customWidth="1"/>
    <col min="34" max="16384" width="9" style="1"/>
  </cols>
  <sheetData>
    <row r="1" spans="1:33" ht="43.5" customHeight="1">
      <c r="B1" s="473" t="s">
        <v>1863</v>
      </c>
      <c r="C1" s="473"/>
      <c r="D1" s="473"/>
      <c r="E1" s="473"/>
      <c r="F1" s="473"/>
      <c r="G1" s="473"/>
      <c r="H1" s="473"/>
      <c r="I1" s="473"/>
      <c r="J1" s="473"/>
      <c r="K1" s="473"/>
      <c r="L1" s="473"/>
      <c r="M1" s="473"/>
      <c r="N1" s="473"/>
      <c r="O1" s="473"/>
      <c r="P1" s="473"/>
      <c r="Q1" s="473"/>
      <c r="R1" s="473"/>
      <c r="S1" s="473"/>
      <c r="T1" s="473"/>
      <c r="U1" s="473"/>
      <c r="V1" s="473"/>
      <c r="W1" s="473"/>
      <c r="X1" s="473"/>
      <c r="Y1" s="473"/>
      <c r="Z1" s="473"/>
    </row>
    <row r="2" spans="1:33" ht="19.5" customHeight="1">
      <c r="B2" s="328"/>
      <c r="C2" s="328"/>
      <c r="D2" s="75"/>
      <c r="E2" s="75"/>
      <c r="F2" s="328"/>
      <c r="G2" s="328"/>
      <c r="H2" s="328"/>
      <c r="I2" s="328"/>
      <c r="J2" s="328"/>
      <c r="K2" s="328"/>
      <c r="L2" s="328"/>
      <c r="M2" s="328"/>
      <c r="N2" s="328"/>
      <c r="O2" s="328"/>
      <c r="P2" s="328"/>
      <c r="Q2" s="328"/>
      <c r="R2" s="328"/>
      <c r="S2" s="328"/>
      <c r="T2" s="474" t="s">
        <v>13</v>
      </c>
      <c r="U2" s="474"/>
      <c r="V2" s="474"/>
      <c r="W2" s="474"/>
      <c r="X2" s="474"/>
      <c r="Y2" s="474"/>
      <c r="Z2" s="474"/>
    </row>
    <row r="3" spans="1:33" s="2" customFormat="1" ht="24" customHeight="1">
      <c r="A3" s="475" t="s">
        <v>252</v>
      </c>
      <c r="B3" s="476" t="s">
        <v>1828</v>
      </c>
      <c r="C3" s="476" t="s">
        <v>1869</v>
      </c>
      <c r="D3" s="479" t="s">
        <v>2055</v>
      </c>
      <c r="E3" s="479" t="s">
        <v>1866</v>
      </c>
      <c r="F3" s="482" t="s">
        <v>0</v>
      </c>
      <c r="G3" s="483"/>
      <c r="H3" s="483"/>
      <c r="I3" s="483"/>
      <c r="J3" s="483"/>
      <c r="K3" s="483"/>
      <c r="L3" s="483"/>
      <c r="M3" s="483"/>
      <c r="N3" s="482" t="s">
        <v>14</v>
      </c>
      <c r="O3" s="483"/>
      <c r="P3" s="483"/>
      <c r="Q3" s="483"/>
      <c r="R3" s="483"/>
      <c r="S3" s="483"/>
      <c r="T3" s="483"/>
      <c r="U3" s="483"/>
      <c r="V3" s="483"/>
      <c r="W3" s="483"/>
      <c r="X3" s="483"/>
      <c r="Y3" s="484"/>
      <c r="Z3" s="485" t="s">
        <v>1870</v>
      </c>
      <c r="AA3" s="98"/>
    </row>
    <row r="4" spans="1:33" s="2" customFormat="1" ht="27" customHeight="1">
      <c r="A4" s="475"/>
      <c r="B4" s="477"/>
      <c r="C4" s="477"/>
      <c r="D4" s="480"/>
      <c r="E4" s="480"/>
      <c r="F4" s="485" t="s">
        <v>4</v>
      </c>
      <c r="G4" s="485"/>
      <c r="H4" s="485"/>
      <c r="I4" s="485" t="s">
        <v>2</v>
      </c>
      <c r="J4" s="485"/>
      <c r="K4" s="485" t="s">
        <v>7</v>
      </c>
      <c r="L4" s="485"/>
      <c r="M4" s="485" t="s">
        <v>10</v>
      </c>
      <c r="N4" s="485" t="s">
        <v>1867</v>
      </c>
      <c r="O4" s="485" t="s">
        <v>3</v>
      </c>
      <c r="P4" s="485" t="s">
        <v>1</v>
      </c>
      <c r="Q4" s="485" t="s">
        <v>15</v>
      </c>
      <c r="R4" s="485" t="s">
        <v>11</v>
      </c>
      <c r="S4" s="485" t="s">
        <v>1871</v>
      </c>
      <c r="T4" s="485" t="s">
        <v>12</v>
      </c>
      <c r="U4" s="485" t="s">
        <v>1833</v>
      </c>
      <c r="V4" s="507" t="s">
        <v>1830</v>
      </c>
      <c r="W4" s="507" t="s">
        <v>1831</v>
      </c>
      <c r="X4" s="485" t="s">
        <v>1832</v>
      </c>
      <c r="Y4" s="507" t="s">
        <v>1834</v>
      </c>
      <c r="Z4" s="485"/>
      <c r="AA4" s="98"/>
      <c r="AC4" s="315" t="s">
        <v>11</v>
      </c>
      <c r="AD4" s="315" t="s">
        <v>15</v>
      </c>
      <c r="AE4" s="315" t="s">
        <v>12</v>
      </c>
      <c r="AF4" s="435"/>
    </row>
    <row r="5" spans="1:33" s="2" customFormat="1" ht="27" hidden="1" customHeight="1">
      <c r="A5" s="475"/>
      <c r="B5" s="478"/>
      <c r="C5" s="478"/>
      <c r="D5" s="481"/>
      <c r="E5" s="481"/>
      <c r="F5" s="315" t="s">
        <v>8</v>
      </c>
      <c r="G5" s="315" t="s">
        <v>5</v>
      </c>
      <c r="H5" s="315" t="s">
        <v>6</v>
      </c>
      <c r="I5" s="315" t="s">
        <v>8</v>
      </c>
      <c r="J5" s="315" t="s">
        <v>9</v>
      </c>
      <c r="K5" s="315" t="s">
        <v>8</v>
      </c>
      <c r="L5" s="315" t="s">
        <v>9</v>
      </c>
      <c r="M5" s="485"/>
      <c r="N5" s="485"/>
      <c r="O5" s="485"/>
      <c r="P5" s="485"/>
      <c r="Q5" s="485"/>
      <c r="R5" s="485"/>
      <c r="S5" s="485"/>
      <c r="T5" s="485"/>
      <c r="U5" s="485"/>
      <c r="V5" s="508"/>
      <c r="W5" s="508"/>
      <c r="X5" s="485"/>
      <c r="Y5" s="508"/>
      <c r="Z5" s="485"/>
      <c r="AA5" s="98"/>
    </row>
    <row r="6" spans="1:33" s="2" customFormat="1" ht="27" hidden="1" customHeight="1">
      <c r="A6" s="475" t="s">
        <v>253</v>
      </c>
      <c r="B6" s="335">
        <v>1</v>
      </c>
      <c r="C6" s="99" t="s">
        <v>16</v>
      </c>
      <c r="D6" s="76">
        <v>12271.16</v>
      </c>
      <c r="E6" s="367" t="s">
        <v>2037</v>
      </c>
      <c r="F6" s="331" t="s">
        <v>17</v>
      </c>
      <c r="G6" s="330">
        <v>28.107600000000001</v>
      </c>
      <c r="H6" s="330">
        <v>0.3</v>
      </c>
      <c r="I6" s="331" t="s">
        <v>17</v>
      </c>
      <c r="J6" s="330">
        <v>11.271100000000001</v>
      </c>
      <c r="K6" s="330"/>
      <c r="L6" s="330"/>
      <c r="M6" s="330">
        <v>39.678699999999999</v>
      </c>
      <c r="N6" s="331"/>
      <c r="O6" s="331"/>
      <c r="P6" s="331"/>
      <c r="Q6" s="100"/>
      <c r="R6" s="100"/>
      <c r="S6" s="331"/>
      <c r="T6" s="331"/>
      <c r="U6" s="344"/>
      <c r="V6" s="101"/>
      <c r="W6" s="101"/>
      <c r="X6" s="101"/>
      <c r="Y6" s="101"/>
      <c r="Z6" s="331" t="s">
        <v>18</v>
      </c>
      <c r="AA6" s="331"/>
    </row>
    <row r="7" spans="1:33" s="2" customFormat="1" ht="27" hidden="1" customHeight="1">
      <c r="A7" s="475"/>
      <c r="B7" s="335">
        <v>2</v>
      </c>
      <c r="C7" s="99" t="s">
        <v>19</v>
      </c>
      <c r="D7" s="369">
        <v>54770.22</v>
      </c>
      <c r="E7" s="368" t="s">
        <v>2038</v>
      </c>
      <c r="F7" s="332" t="s">
        <v>20</v>
      </c>
      <c r="G7" s="333">
        <v>158.25890000000001</v>
      </c>
      <c r="H7" s="333"/>
      <c r="I7" s="102"/>
      <c r="J7" s="333"/>
      <c r="K7" s="333"/>
      <c r="L7" s="333"/>
      <c r="M7" s="333">
        <f>SUM(G7,H7,J7,L7)</f>
        <v>158.25890000000001</v>
      </c>
      <c r="N7" s="332"/>
      <c r="O7" s="332"/>
      <c r="P7" s="332"/>
      <c r="Q7" s="102"/>
      <c r="R7" s="102"/>
      <c r="S7" s="332"/>
      <c r="T7" s="332"/>
      <c r="U7" s="344"/>
      <c r="V7" s="101"/>
      <c r="W7" s="101"/>
      <c r="X7" s="101"/>
      <c r="Y7" s="101"/>
      <c r="Z7" s="332" t="s">
        <v>21</v>
      </c>
      <c r="AA7" s="332"/>
    </row>
    <row r="8" spans="1:33" s="2" customFormat="1" ht="27" customHeight="1">
      <c r="A8" s="475"/>
      <c r="B8" s="335">
        <v>3</v>
      </c>
      <c r="C8" s="99" t="s">
        <v>22</v>
      </c>
      <c r="D8" s="369">
        <v>34450.736700000001</v>
      </c>
      <c r="E8" s="368" t="s">
        <v>2039</v>
      </c>
      <c r="F8" s="332" t="s">
        <v>23</v>
      </c>
      <c r="G8" s="333">
        <v>107.6921</v>
      </c>
      <c r="H8" s="333">
        <v>0</v>
      </c>
      <c r="I8" s="102" t="s">
        <v>24</v>
      </c>
      <c r="J8" s="333">
        <v>19.646699999999999</v>
      </c>
      <c r="K8" s="333"/>
      <c r="L8" s="333"/>
      <c r="M8" s="333">
        <f>SUM(G8,H8,J8,L8)</f>
        <v>127.33879999999999</v>
      </c>
      <c r="N8" s="332" t="s">
        <v>25</v>
      </c>
      <c r="O8" s="332" t="s">
        <v>26</v>
      </c>
      <c r="P8" s="76" t="s">
        <v>27</v>
      </c>
      <c r="Q8" s="102">
        <v>5.2</v>
      </c>
      <c r="R8" s="102">
        <v>12</v>
      </c>
      <c r="S8" s="332" t="s">
        <v>28</v>
      </c>
      <c r="T8" s="333">
        <v>2.4</v>
      </c>
      <c r="U8" s="344">
        <f t="shared" ref="U8:U67" si="0">T8/Q8</f>
        <v>0.46153846153846151</v>
      </c>
      <c r="V8" s="101">
        <f>Q8</f>
        <v>5.2</v>
      </c>
      <c r="W8" s="101">
        <f>T8</f>
        <v>2.4</v>
      </c>
      <c r="X8" s="103">
        <f>W8/V8</f>
        <v>0.46153846153846151</v>
      </c>
      <c r="Y8" s="103">
        <f>W8/M8</f>
        <v>1.8847358385660932E-2</v>
      </c>
      <c r="Z8" s="332" t="s">
        <v>29</v>
      </c>
      <c r="AA8" s="332"/>
      <c r="AC8" s="437">
        <f>SUBTOTAL(9,R8:R100)</f>
        <v>239.56649999999996</v>
      </c>
      <c r="AD8" s="437">
        <f>SUBTOTAL(9,Q8:Q100)</f>
        <v>247.11921100000001</v>
      </c>
      <c r="AE8" s="437">
        <f>SUBTOTAL(9,T8:T100)</f>
        <v>146.87228300000001</v>
      </c>
      <c r="AF8" s="436" t="s">
        <v>2470</v>
      </c>
      <c r="AG8" s="439">
        <f>AE8/AD8</f>
        <v>0.59433777894345907</v>
      </c>
    </row>
    <row r="9" spans="1:33" s="2" customFormat="1" ht="27" hidden="1" customHeight="1">
      <c r="A9" s="475"/>
      <c r="B9" s="335">
        <v>4</v>
      </c>
      <c r="C9" s="99" t="s">
        <v>30</v>
      </c>
      <c r="D9" s="369">
        <v>25844.28</v>
      </c>
      <c r="E9" s="368" t="s">
        <v>2040</v>
      </c>
      <c r="F9" s="337" t="s">
        <v>31</v>
      </c>
      <c r="G9" s="104">
        <v>69.201300000000003</v>
      </c>
      <c r="H9" s="104">
        <v>0.3</v>
      </c>
      <c r="I9" s="337"/>
      <c r="J9" s="104"/>
      <c r="K9" s="104"/>
      <c r="L9" s="104"/>
      <c r="M9" s="104"/>
      <c r="N9" s="337"/>
      <c r="O9" s="337"/>
      <c r="P9" s="158"/>
      <c r="Q9" s="105"/>
      <c r="R9" s="105"/>
      <c r="S9" s="337"/>
      <c r="T9" s="104"/>
      <c r="U9" s="344"/>
      <c r="V9" s="101"/>
      <c r="W9" s="101"/>
      <c r="X9" s="101"/>
      <c r="Y9" s="101"/>
      <c r="Z9" s="337" t="s">
        <v>32</v>
      </c>
      <c r="AA9" s="332"/>
    </row>
    <row r="10" spans="1:33" s="2" customFormat="1" ht="27" hidden="1" customHeight="1">
      <c r="A10" s="475"/>
      <c r="B10" s="335">
        <v>5</v>
      </c>
      <c r="C10" s="99" t="s">
        <v>33</v>
      </c>
      <c r="D10" s="369">
        <v>28381.84</v>
      </c>
      <c r="E10" s="368" t="s">
        <v>2041</v>
      </c>
      <c r="F10" s="332" t="s">
        <v>31</v>
      </c>
      <c r="G10" s="333">
        <v>515.54999999999995</v>
      </c>
      <c r="H10" s="333">
        <v>4.2</v>
      </c>
      <c r="I10" s="102"/>
      <c r="J10" s="333"/>
      <c r="K10" s="333"/>
      <c r="L10" s="333"/>
      <c r="M10" s="333">
        <f>SUM(G10:L10)</f>
        <v>519.75</v>
      </c>
      <c r="N10" s="332" t="s">
        <v>34</v>
      </c>
      <c r="O10" s="332" t="s">
        <v>35</v>
      </c>
      <c r="P10" s="76" t="s">
        <v>36</v>
      </c>
      <c r="Q10" s="102">
        <v>20</v>
      </c>
      <c r="R10" s="102">
        <v>352.94909999999999</v>
      </c>
      <c r="S10" s="332"/>
      <c r="T10" s="333"/>
      <c r="U10" s="344">
        <f t="shared" si="0"/>
        <v>0</v>
      </c>
      <c r="V10" s="101">
        <f>Q10</f>
        <v>20</v>
      </c>
      <c r="W10" s="101">
        <f>T10</f>
        <v>0</v>
      </c>
      <c r="X10" s="103"/>
      <c r="Y10" s="103"/>
      <c r="Z10" s="332" t="s">
        <v>32</v>
      </c>
      <c r="AA10" s="332"/>
    </row>
    <row r="11" spans="1:33" s="2" customFormat="1" ht="27" customHeight="1">
      <c r="A11" s="475"/>
      <c r="B11" s="486">
        <v>6</v>
      </c>
      <c r="C11" s="489" t="s">
        <v>37</v>
      </c>
      <c r="D11" s="492">
        <v>96937.88</v>
      </c>
      <c r="E11" s="495" t="s">
        <v>2042</v>
      </c>
      <c r="F11" s="489" t="s">
        <v>38</v>
      </c>
      <c r="G11" s="498">
        <f>924.648867/5</f>
        <v>184.92977339999999</v>
      </c>
      <c r="H11" s="498"/>
      <c r="I11" s="489" t="s">
        <v>39</v>
      </c>
      <c r="J11" s="498">
        <f>569.8525/5</f>
        <v>113.97049999999999</v>
      </c>
      <c r="K11" s="498"/>
      <c r="L11" s="498"/>
      <c r="M11" s="498">
        <f>G11+J11</f>
        <v>298.90027339999995</v>
      </c>
      <c r="N11" s="106" t="s">
        <v>40</v>
      </c>
      <c r="O11" s="337" t="s">
        <v>1872</v>
      </c>
      <c r="P11" s="76" t="s">
        <v>27</v>
      </c>
      <c r="Q11" s="105">
        <v>0.5</v>
      </c>
      <c r="R11" s="105">
        <v>0.5</v>
      </c>
      <c r="S11" s="337" t="s">
        <v>42</v>
      </c>
      <c r="T11" s="104">
        <v>0.1913</v>
      </c>
      <c r="U11" s="344">
        <f t="shared" si="0"/>
        <v>0.3826</v>
      </c>
      <c r="V11" s="501">
        <f>SUM(Q11:Q24)</f>
        <v>160.69999999999999</v>
      </c>
      <c r="W11" s="501">
        <f>SUM(T11:T24)</f>
        <v>106.393023</v>
      </c>
      <c r="X11" s="504">
        <f>W11/V11</f>
        <v>0.66205988176726827</v>
      </c>
      <c r="Y11" s="504">
        <f>W11/M11</f>
        <v>0.35594822911928464</v>
      </c>
      <c r="Z11" s="337" t="s">
        <v>43</v>
      </c>
      <c r="AA11" s="331"/>
      <c r="AC11" s="437">
        <f>SUBTOTAL(9,R103:R175)</f>
        <v>262.92920299999992</v>
      </c>
      <c r="AD11" s="437">
        <f>SUBTOTAL(9,Q103:Q175)</f>
        <v>351.78590299999991</v>
      </c>
      <c r="AE11" s="437">
        <f>SUBTOTAL(9,T103:T175)</f>
        <v>127.63028700000004</v>
      </c>
      <c r="AF11" s="436" t="s">
        <v>2471</v>
      </c>
      <c r="AG11" s="439">
        <f t="shared" ref="AG11:AG20" si="1">AE11/AD11</f>
        <v>0.36280671258165814</v>
      </c>
    </row>
    <row r="12" spans="1:33" s="2" customFormat="1" ht="27" customHeight="1">
      <c r="A12" s="475"/>
      <c r="B12" s="487"/>
      <c r="C12" s="490"/>
      <c r="D12" s="493"/>
      <c r="E12" s="496"/>
      <c r="F12" s="490"/>
      <c r="G12" s="499"/>
      <c r="H12" s="499"/>
      <c r="I12" s="490"/>
      <c r="J12" s="499"/>
      <c r="K12" s="499"/>
      <c r="L12" s="499"/>
      <c r="M12" s="499"/>
      <c r="N12" s="106" t="s">
        <v>44</v>
      </c>
      <c r="O12" s="337" t="s">
        <v>1873</v>
      </c>
      <c r="P12" s="76" t="s">
        <v>27</v>
      </c>
      <c r="Q12" s="105">
        <v>12</v>
      </c>
      <c r="R12" s="105">
        <v>12</v>
      </c>
      <c r="S12" s="337" t="s">
        <v>45</v>
      </c>
      <c r="T12" s="104">
        <v>12.823894000000001</v>
      </c>
      <c r="U12" s="344">
        <f t="shared" si="0"/>
        <v>1.0686578333333334</v>
      </c>
      <c r="V12" s="502"/>
      <c r="W12" s="502"/>
      <c r="X12" s="505"/>
      <c r="Y12" s="505"/>
      <c r="Z12" s="337" t="s">
        <v>43</v>
      </c>
      <c r="AA12" s="331"/>
      <c r="AC12" s="437">
        <f>SUBTOTAL(9,R180:R198)</f>
        <v>10.708750999999999</v>
      </c>
      <c r="AD12" s="437">
        <f>SUBTOTAL(9,Q180:Q198)</f>
        <v>9.7087509999999995</v>
      </c>
      <c r="AE12" s="437">
        <f>SUBTOTAL(9,T180:T198)</f>
        <v>8.0744670000000003</v>
      </c>
      <c r="AF12" s="436" t="s">
        <v>2472</v>
      </c>
      <c r="AG12" s="439">
        <f t="shared" si="1"/>
        <v>0.83166897575187593</v>
      </c>
    </row>
    <row r="13" spans="1:33" s="2" customFormat="1" ht="27" customHeight="1">
      <c r="A13" s="475"/>
      <c r="B13" s="487"/>
      <c r="C13" s="490"/>
      <c r="D13" s="493"/>
      <c r="E13" s="496"/>
      <c r="F13" s="490"/>
      <c r="G13" s="499"/>
      <c r="H13" s="499"/>
      <c r="I13" s="490"/>
      <c r="J13" s="499"/>
      <c r="K13" s="499"/>
      <c r="L13" s="499"/>
      <c r="M13" s="499"/>
      <c r="N13" s="107">
        <v>41505</v>
      </c>
      <c r="O13" s="337" t="s">
        <v>1874</v>
      </c>
      <c r="P13" s="76" t="s">
        <v>27</v>
      </c>
      <c r="Q13" s="105">
        <v>6</v>
      </c>
      <c r="R13" s="105">
        <v>6</v>
      </c>
      <c r="S13" s="337" t="s">
        <v>46</v>
      </c>
      <c r="T13" s="104">
        <v>6.4910940000000004</v>
      </c>
      <c r="U13" s="344">
        <f t="shared" si="0"/>
        <v>1.0818490000000001</v>
      </c>
      <c r="V13" s="502"/>
      <c r="W13" s="502"/>
      <c r="X13" s="505"/>
      <c r="Y13" s="505"/>
      <c r="Z13" s="337" t="s">
        <v>43</v>
      </c>
      <c r="AA13" s="331"/>
      <c r="AC13" s="438">
        <f>SUBTOTAL(9,R212:R292)</f>
        <v>116.56242399999999</v>
      </c>
      <c r="AD13" s="437">
        <f>SUBTOTAL(9,Q212:Q292)</f>
        <v>125.73585800000001</v>
      </c>
      <c r="AE13" s="437">
        <f>SUBTOTAL(9,T212:T292)</f>
        <v>39.082345999999994</v>
      </c>
      <c r="AF13" s="436" t="s">
        <v>2467</v>
      </c>
      <c r="AG13" s="439">
        <f t="shared" si="1"/>
        <v>0.31082896018413453</v>
      </c>
    </row>
    <row r="14" spans="1:33" s="2" customFormat="1" ht="27" customHeight="1">
      <c r="A14" s="475"/>
      <c r="B14" s="487"/>
      <c r="C14" s="490"/>
      <c r="D14" s="493"/>
      <c r="E14" s="496"/>
      <c r="F14" s="490"/>
      <c r="G14" s="499"/>
      <c r="H14" s="499"/>
      <c r="I14" s="490"/>
      <c r="J14" s="499"/>
      <c r="K14" s="499"/>
      <c r="L14" s="499"/>
      <c r="M14" s="499"/>
      <c r="N14" s="108">
        <v>41643</v>
      </c>
      <c r="O14" s="337" t="s">
        <v>1875</v>
      </c>
      <c r="P14" s="76" t="s">
        <v>27</v>
      </c>
      <c r="Q14" s="105">
        <v>12</v>
      </c>
      <c r="R14" s="105">
        <v>12</v>
      </c>
      <c r="S14" s="337" t="s">
        <v>47</v>
      </c>
      <c r="T14" s="104">
        <v>1.8273830000000002</v>
      </c>
      <c r="U14" s="344">
        <f t="shared" si="0"/>
        <v>0.15228191666666668</v>
      </c>
      <c r="V14" s="502"/>
      <c r="W14" s="502"/>
      <c r="X14" s="505"/>
      <c r="Y14" s="505"/>
      <c r="Z14" s="337" t="s">
        <v>43</v>
      </c>
      <c r="AA14" s="331"/>
      <c r="AC14" s="437">
        <f>SUBTOTAL(9,R300:R354)</f>
        <v>40.116400000000006</v>
      </c>
      <c r="AD14" s="437">
        <f>SUBTOTAL(9,Q300:Q354)</f>
        <v>20</v>
      </c>
      <c r="AE14" s="437">
        <f>SUBTOTAL(9,T300:T354)</f>
        <v>21.436472000000002</v>
      </c>
      <c r="AF14" s="436" t="s">
        <v>2473</v>
      </c>
      <c r="AG14" s="439">
        <f t="shared" si="1"/>
        <v>1.0718236000000001</v>
      </c>
    </row>
    <row r="15" spans="1:33" s="2" customFormat="1" ht="27" customHeight="1">
      <c r="A15" s="475"/>
      <c r="B15" s="487"/>
      <c r="C15" s="490"/>
      <c r="D15" s="493"/>
      <c r="E15" s="496"/>
      <c r="F15" s="490"/>
      <c r="G15" s="499"/>
      <c r="H15" s="499"/>
      <c r="I15" s="490"/>
      <c r="J15" s="499"/>
      <c r="K15" s="499"/>
      <c r="L15" s="499"/>
      <c r="M15" s="499"/>
      <c r="N15" s="106" t="s">
        <v>48</v>
      </c>
      <c r="O15" s="337" t="s">
        <v>1876</v>
      </c>
      <c r="P15" s="76" t="s">
        <v>27</v>
      </c>
      <c r="Q15" s="105">
        <v>18</v>
      </c>
      <c r="R15" s="105">
        <v>18</v>
      </c>
      <c r="S15" s="337" t="s">
        <v>45</v>
      </c>
      <c r="T15" s="104">
        <v>9</v>
      </c>
      <c r="U15" s="344">
        <f t="shared" si="0"/>
        <v>0.5</v>
      </c>
      <c r="V15" s="502"/>
      <c r="W15" s="502"/>
      <c r="X15" s="505"/>
      <c r="Y15" s="505"/>
      <c r="Z15" s="337" t="s">
        <v>43</v>
      </c>
      <c r="AA15" s="331"/>
      <c r="AC15" s="437">
        <f>SUBTOTAL(9,R365:R396)</f>
        <v>22.592799000000003</v>
      </c>
      <c r="AD15" s="437">
        <f>SUBTOTAL(9,Q365:Q396)</f>
        <v>57.492798999999998</v>
      </c>
      <c r="AE15" s="437">
        <f>SUBTOTAL(9,T365:T396)</f>
        <v>15.91756</v>
      </c>
      <c r="AF15" s="436" t="s">
        <v>2474</v>
      </c>
      <c r="AG15" s="439">
        <f t="shared" si="1"/>
        <v>0.27686180316251435</v>
      </c>
    </row>
    <row r="16" spans="1:33" s="2" customFormat="1" ht="27" customHeight="1">
      <c r="A16" s="475"/>
      <c r="B16" s="487"/>
      <c r="C16" s="490"/>
      <c r="D16" s="493"/>
      <c r="E16" s="496"/>
      <c r="F16" s="490"/>
      <c r="G16" s="499"/>
      <c r="H16" s="499"/>
      <c r="I16" s="490"/>
      <c r="J16" s="499"/>
      <c r="K16" s="499"/>
      <c r="L16" s="499"/>
      <c r="M16" s="499"/>
      <c r="N16" s="106" t="s">
        <v>49</v>
      </c>
      <c r="O16" s="337" t="s">
        <v>50</v>
      </c>
      <c r="P16" s="76" t="s">
        <v>27</v>
      </c>
      <c r="Q16" s="105">
        <v>9</v>
      </c>
      <c r="R16" s="105">
        <v>9</v>
      </c>
      <c r="S16" s="337" t="s">
        <v>51</v>
      </c>
      <c r="T16" s="104">
        <v>7.2264179999999989</v>
      </c>
      <c r="U16" s="344">
        <f t="shared" si="0"/>
        <v>0.80293533333333322</v>
      </c>
      <c r="V16" s="502"/>
      <c r="W16" s="502"/>
      <c r="X16" s="505"/>
      <c r="Y16" s="505"/>
      <c r="Z16" s="337" t="s">
        <v>43</v>
      </c>
      <c r="AA16" s="331"/>
      <c r="AC16" s="437">
        <f>SUBTOTAL(9,R415:R550)</f>
        <v>783.87535899999989</v>
      </c>
      <c r="AD16" s="437">
        <f>SUBTOTAL(9,Q415:Q550)</f>
        <v>1768.222982</v>
      </c>
      <c r="AE16" s="437">
        <f>SUBTOTAL(9,T415:T550)</f>
        <v>543.66214999999988</v>
      </c>
      <c r="AF16" s="21" t="s">
        <v>1257</v>
      </c>
      <c r="AG16" s="439">
        <f t="shared" si="1"/>
        <v>0.30746243858061101</v>
      </c>
    </row>
    <row r="17" spans="1:33" s="2" customFormat="1" ht="27" customHeight="1">
      <c r="A17" s="475"/>
      <c r="B17" s="487"/>
      <c r="C17" s="490"/>
      <c r="D17" s="493"/>
      <c r="E17" s="496"/>
      <c r="F17" s="490"/>
      <c r="G17" s="499"/>
      <c r="H17" s="499"/>
      <c r="I17" s="490"/>
      <c r="J17" s="499"/>
      <c r="K17" s="499"/>
      <c r="L17" s="499"/>
      <c r="M17" s="499"/>
      <c r="N17" s="106" t="s">
        <v>52</v>
      </c>
      <c r="O17" s="337" t="s">
        <v>1877</v>
      </c>
      <c r="P17" s="76" t="s">
        <v>27</v>
      </c>
      <c r="Q17" s="105">
        <v>1.5</v>
      </c>
      <c r="R17" s="105">
        <v>1.5</v>
      </c>
      <c r="S17" s="337" t="s">
        <v>53</v>
      </c>
      <c r="T17" s="104">
        <v>0.18</v>
      </c>
      <c r="U17" s="344">
        <f t="shared" si="0"/>
        <v>0.12</v>
      </c>
      <c r="V17" s="502"/>
      <c r="W17" s="502"/>
      <c r="X17" s="505"/>
      <c r="Y17" s="505"/>
      <c r="Z17" s="337" t="s">
        <v>43</v>
      </c>
      <c r="AA17" s="331"/>
      <c r="AC17" s="437">
        <f>SUBTOTAL(9,R571:R594)</f>
        <v>131.66</v>
      </c>
      <c r="AD17" s="437">
        <f>SUBTOTAL(9,Q571:Q594)</f>
        <v>281.66000000000003</v>
      </c>
      <c r="AE17" s="437">
        <f>SUBTOTAL(9,T571:T594)</f>
        <v>3.7034880000000001</v>
      </c>
      <c r="AF17" s="21" t="s">
        <v>1334</v>
      </c>
      <c r="AG17" s="439">
        <f t="shared" si="1"/>
        <v>1.3148789320457288E-2</v>
      </c>
    </row>
    <row r="18" spans="1:33" s="2" customFormat="1" ht="27" customHeight="1">
      <c r="A18" s="475"/>
      <c r="B18" s="487"/>
      <c r="C18" s="490"/>
      <c r="D18" s="493"/>
      <c r="E18" s="496"/>
      <c r="F18" s="490"/>
      <c r="G18" s="499"/>
      <c r="H18" s="499"/>
      <c r="I18" s="490"/>
      <c r="J18" s="499"/>
      <c r="K18" s="499"/>
      <c r="L18" s="499"/>
      <c r="M18" s="499"/>
      <c r="N18" s="106" t="s">
        <v>52</v>
      </c>
      <c r="O18" s="337" t="s">
        <v>1878</v>
      </c>
      <c r="P18" s="76" t="s">
        <v>27</v>
      </c>
      <c r="Q18" s="105">
        <v>1.7</v>
      </c>
      <c r="R18" s="105">
        <v>1.7</v>
      </c>
      <c r="S18" s="337" t="s">
        <v>53</v>
      </c>
      <c r="T18" s="104">
        <v>0.44428800000000002</v>
      </c>
      <c r="U18" s="344">
        <f t="shared" si="0"/>
        <v>0.26134588235294121</v>
      </c>
      <c r="V18" s="502"/>
      <c r="W18" s="502"/>
      <c r="X18" s="505"/>
      <c r="Y18" s="505"/>
      <c r="Z18" s="337" t="s">
        <v>43</v>
      </c>
      <c r="AA18" s="331"/>
      <c r="AC18" s="437">
        <f>SUBTOTAL(9,R598:R664)</f>
        <v>160.61609299999998</v>
      </c>
      <c r="AD18" s="437">
        <f>SUBTOTAL(9,Q598:Q664)</f>
        <v>153.49109300000001</v>
      </c>
      <c r="AE18" s="437">
        <f>SUBTOTAL(9,T598:T664)</f>
        <v>103.326746</v>
      </c>
      <c r="AF18" s="21" t="s">
        <v>1526</v>
      </c>
      <c r="AG18" s="439">
        <f t="shared" si="1"/>
        <v>0.67317747225892777</v>
      </c>
    </row>
    <row r="19" spans="1:33" s="2" customFormat="1" ht="27" customHeight="1">
      <c r="A19" s="475"/>
      <c r="B19" s="487"/>
      <c r="C19" s="490"/>
      <c r="D19" s="493"/>
      <c r="E19" s="496"/>
      <c r="F19" s="490"/>
      <c r="G19" s="499"/>
      <c r="H19" s="499"/>
      <c r="I19" s="490"/>
      <c r="J19" s="499"/>
      <c r="K19" s="499"/>
      <c r="L19" s="499"/>
      <c r="M19" s="499"/>
      <c r="N19" s="106" t="s">
        <v>52</v>
      </c>
      <c r="O19" s="337" t="s">
        <v>1879</v>
      </c>
      <c r="P19" s="76" t="s">
        <v>27</v>
      </c>
      <c r="Q19" s="105">
        <v>1.5</v>
      </c>
      <c r="R19" s="105">
        <v>1.5</v>
      </c>
      <c r="S19" s="337" t="s">
        <v>54</v>
      </c>
      <c r="T19" s="104">
        <v>0.37551899999999999</v>
      </c>
      <c r="U19" s="344">
        <f t="shared" si="0"/>
        <v>0.25034600000000001</v>
      </c>
      <c r="V19" s="502"/>
      <c r="W19" s="502"/>
      <c r="X19" s="505"/>
      <c r="Y19" s="505"/>
      <c r="Z19" s="337" t="s">
        <v>43</v>
      </c>
      <c r="AA19" s="331"/>
      <c r="AC19" s="437">
        <f>SUBTOTAL(9,R684:R771)</f>
        <v>683.187634</v>
      </c>
      <c r="AD19" s="437">
        <f>SUBTOTAL(9,Q684:Q771)</f>
        <v>718.24315899999999</v>
      </c>
      <c r="AE19" s="437">
        <f>SUBTOTAL(9,T684:T771)</f>
        <v>273.01559399999996</v>
      </c>
      <c r="AF19" s="21" t="s">
        <v>1708</v>
      </c>
      <c r="AG19" s="439">
        <f t="shared" si="1"/>
        <v>0.38011582926890081</v>
      </c>
    </row>
    <row r="20" spans="1:33" s="2" customFormat="1" ht="27" customHeight="1">
      <c r="A20" s="475"/>
      <c r="B20" s="487"/>
      <c r="C20" s="490"/>
      <c r="D20" s="493"/>
      <c r="E20" s="496"/>
      <c r="F20" s="490"/>
      <c r="G20" s="499"/>
      <c r="H20" s="499"/>
      <c r="I20" s="490"/>
      <c r="J20" s="499"/>
      <c r="K20" s="499"/>
      <c r="L20" s="499"/>
      <c r="M20" s="499"/>
      <c r="N20" s="106" t="s">
        <v>55</v>
      </c>
      <c r="O20" s="337" t="s">
        <v>1880</v>
      </c>
      <c r="P20" s="76" t="s">
        <v>27</v>
      </c>
      <c r="Q20" s="105">
        <v>1.8</v>
      </c>
      <c r="R20" s="105">
        <v>1.8</v>
      </c>
      <c r="S20" s="337" t="s">
        <v>56</v>
      </c>
      <c r="T20" s="104">
        <v>0.96297600000000005</v>
      </c>
      <c r="U20" s="344">
        <f t="shared" si="0"/>
        <v>0.53498666666666672</v>
      </c>
      <c r="V20" s="502"/>
      <c r="W20" s="502"/>
      <c r="X20" s="505"/>
      <c r="Y20" s="505"/>
      <c r="Z20" s="337" t="s">
        <v>43</v>
      </c>
      <c r="AA20" s="331"/>
      <c r="AC20" s="437">
        <f>SUBTOTAL(9,R774:R886)</f>
        <v>445.46204000000006</v>
      </c>
      <c r="AD20" s="437">
        <f>SUBTOTAL(9,Q774:Q886)</f>
        <v>375.46147100000007</v>
      </c>
      <c r="AE20" s="437">
        <f>SUBTOTAL(9,T774:T886)</f>
        <v>331.09388499999994</v>
      </c>
      <c r="AF20" s="21" t="s">
        <v>1827</v>
      </c>
      <c r="AG20" s="439">
        <f t="shared" si="1"/>
        <v>0.88183185379359441</v>
      </c>
    </row>
    <row r="21" spans="1:33" s="2" customFormat="1" ht="27" customHeight="1">
      <c r="A21" s="475"/>
      <c r="B21" s="487"/>
      <c r="C21" s="490"/>
      <c r="D21" s="493"/>
      <c r="E21" s="496"/>
      <c r="F21" s="490"/>
      <c r="G21" s="499"/>
      <c r="H21" s="499"/>
      <c r="I21" s="490"/>
      <c r="J21" s="499"/>
      <c r="K21" s="499"/>
      <c r="L21" s="499"/>
      <c r="M21" s="499"/>
      <c r="N21" s="106" t="s">
        <v>55</v>
      </c>
      <c r="O21" s="337" t="s">
        <v>1881</v>
      </c>
      <c r="P21" s="76" t="s">
        <v>27</v>
      </c>
      <c r="Q21" s="105">
        <v>6</v>
      </c>
      <c r="R21" s="105">
        <v>6</v>
      </c>
      <c r="S21" s="337" t="s">
        <v>56</v>
      </c>
      <c r="T21" s="104">
        <v>0.47015100000000004</v>
      </c>
      <c r="U21" s="344">
        <f t="shared" si="0"/>
        <v>7.8358500000000011E-2</v>
      </c>
      <c r="V21" s="502"/>
      <c r="W21" s="502"/>
      <c r="X21" s="505"/>
      <c r="Y21" s="505"/>
      <c r="Z21" s="337" t="s">
        <v>43</v>
      </c>
      <c r="AA21" s="331"/>
    </row>
    <row r="22" spans="1:33" s="2" customFormat="1" ht="27" customHeight="1">
      <c r="A22" s="475"/>
      <c r="B22" s="487"/>
      <c r="C22" s="490"/>
      <c r="D22" s="493"/>
      <c r="E22" s="496"/>
      <c r="F22" s="490"/>
      <c r="G22" s="499"/>
      <c r="H22" s="499"/>
      <c r="I22" s="490"/>
      <c r="J22" s="499"/>
      <c r="K22" s="499"/>
      <c r="L22" s="499"/>
      <c r="M22" s="499"/>
      <c r="N22" s="106" t="s">
        <v>57</v>
      </c>
      <c r="O22" s="99" t="s">
        <v>58</v>
      </c>
      <c r="P22" s="76" t="s">
        <v>27</v>
      </c>
      <c r="Q22" s="105">
        <v>81</v>
      </c>
      <c r="R22" s="105">
        <v>60</v>
      </c>
      <c r="S22" s="337" t="s">
        <v>59</v>
      </c>
      <c r="T22" s="104">
        <v>60</v>
      </c>
      <c r="U22" s="344">
        <f t="shared" si="0"/>
        <v>0.7407407407407407</v>
      </c>
      <c r="V22" s="502"/>
      <c r="W22" s="502"/>
      <c r="X22" s="505"/>
      <c r="Y22" s="505"/>
      <c r="Z22" s="337" t="s">
        <v>43</v>
      </c>
      <c r="AA22" s="331"/>
    </row>
    <row r="23" spans="1:33" s="2" customFormat="1" ht="27" customHeight="1">
      <c r="A23" s="475"/>
      <c r="B23" s="487"/>
      <c r="C23" s="490"/>
      <c r="D23" s="493"/>
      <c r="E23" s="496"/>
      <c r="F23" s="490"/>
      <c r="G23" s="499"/>
      <c r="H23" s="499"/>
      <c r="I23" s="490"/>
      <c r="J23" s="499"/>
      <c r="K23" s="499"/>
      <c r="L23" s="499"/>
      <c r="M23" s="499"/>
      <c r="N23" s="106" t="s">
        <v>60</v>
      </c>
      <c r="O23" s="99" t="s">
        <v>61</v>
      </c>
      <c r="P23" s="76" t="s">
        <v>27</v>
      </c>
      <c r="Q23" s="105">
        <v>6</v>
      </c>
      <c r="R23" s="105">
        <v>3</v>
      </c>
      <c r="S23" s="337" t="s">
        <v>62</v>
      </c>
      <c r="T23" s="104">
        <v>3</v>
      </c>
      <c r="U23" s="344">
        <f t="shared" si="0"/>
        <v>0.5</v>
      </c>
      <c r="V23" s="502"/>
      <c r="W23" s="502"/>
      <c r="X23" s="505"/>
      <c r="Y23" s="505"/>
      <c r="Z23" s="337" t="s">
        <v>43</v>
      </c>
      <c r="AA23" s="331"/>
    </row>
    <row r="24" spans="1:33" s="2" customFormat="1" ht="27" hidden="1" customHeight="1">
      <c r="A24" s="475"/>
      <c r="B24" s="488"/>
      <c r="C24" s="491"/>
      <c r="D24" s="494"/>
      <c r="E24" s="497"/>
      <c r="F24" s="491"/>
      <c r="G24" s="500"/>
      <c r="H24" s="500"/>
      <c r="I24" s="491"/>
      <c r="J24" s="500"/>
      <c r="K24" s="500"/>
      <c r="L24" s="500"/>
      <c r="M24" s="500"/>
      <c r="N24" s="106" t="s">
        <v>63</v>
      </c>
      <c r="O24" s="109" t="s">
        <v>64</v>
      </c>
      <c r="P24" s="76" t="s">
        <v>36</v>
      </c>
      <c r="Q24" s="105">
        <v>3.7</v>
      </c>
      <c r="R24" s="105">
        <v>3.7</v>
      </c>
      <c r="S24" s="337" t="s">
        <v>65</v>
      </c>
      <c r="T24" s="104">
        <v>3.4</v>
      </c>
      <c r="U24" s="344">
        <f t="shared" si="0"/>
        <v>0.91891891891891886</v>
      </c>
      <c r="V24" s="503"/>
      <c r="W24" s="503"/>
      <c r="X24" s="506"/>
      <c r="Y24" s="506"/>
      <c r="Z24" s="337" t="s">
        <v>43</v>
      </c>
      <c r="AA24" s="331"/>
    </row>
    <row r="25" spans="1:33" s="2" customFormat="1" ht="27" hidden="1" customHeight="1">
      <c r="A25" s="475"/>
      <c r="B25" s="486">
        <v>7</v>
      </c>
      <c r="C25" s="489" t="s">
        <v>66</v>
      </c>
      <c r="D25" s="492">
        <v>215110.82</v>
      </c>
      <c r="E25" s="495" t="s">
        <v>2043</v>
      </c>
      <c r="F25" s="489" t="s">
        <v>67</v>
      </c>
      <c r="G25" s="498">
        <v>431.34840000000003</v>
      </c>
      <c r="H25" s="498">
        <v>1</v>
      </c>
      <c r="I25" s="489" t="s">
        <v>68</v>
      </c>
      <c r="J25" s="498">
        <v>225.40029999999999</v>
      </c>
      <c r="K25" s="498"/>
      <c r="L25" s="498"/>
      <c r="M25" s="498">
        <f>SUM(G25,H25,J25,L25)</f>
        <v>657.74869999999999</v>
      </c>
      <c r="N25" s="337" t="s">
        <v>69</v>
      </c>
      <c r="O25" s="332" t="s">
        <v>1882</v>
      </c>
      <c r="P25" s="76" t="s">
        <v>36</v>
      </c>
      <c r="Q25" s="105">
        <v>18</v>
      </c>
      <c r="R25" s="105">
        <v>20</v>
      </c>
      <c r="S25" s="337"/>
      <c r="T25" s="104"/>
      <c r="U25" s="344">
        <f t="shared" si="0"/>
        <v>0</v>
      </c>
      <c r="V25" s="501">
        <f>SUM(Q25:Q67)</f>
        <v>755.66359999999975</v>
      </c>
      <c r="W25" s="501">
        <f>SUM(T25:T67)</f>
        <v>17.221700000000002</v>
      </c>
      <c r="X25" s="504">
        <f>W25/V25</f>
        <v>2.2790167476639086E-2</v>
      </c>
      <c r="Y25" s="504">
        <f>W25/M25</f>
        <v>2.6182795952314316E-2</v>
      </c>
      <c r="Z25" s="110" t="s">
        <v>43</v>
      </c>
      <c r="AA25" s="337" t="s">
        <v>70</v>
      </c>
    </row>
    <row r="26" spans="1:33" s="2" customFormat="1" ht="27" hidden="1" customHeight="1">
      <c r="A26" s="475"/>
      <c r="B26" s="487"/>
      <c r="C26" s="490"/>
      <c r="D26" s="493"/>
      <c r="E26" s="496"/>
      <c r="F26" s="490"/>
      <c r="G26" s="499"/>
      <c r="H26" s="499"/>
      <c r="I26" s="490"/>
      <c r="J26" s="499"/>
      <c r="K26" s="499"/>
      <c r="L26" s="499"/>
      <c r="M26" s="499"/>
      <c r="N26" s="337" t="s">
        <v>71</v>
      </c>
      <c r="O26" s="332" t="s">
        <v>1883</v>
      </c>
      <c r="P26" s="76" t="s">
        <v>36</v>
      </c>
      <c r="Q26" s="105">
        <v>11</v>
      </c>
      <c r="R26" s="105">
        <v>15</v>
      </c>
      <c r="S26" s="337"/>
      <c r="T26" s="104"/>
      <c r="U26" s="344">
        <f t="shared" si="0"/>
        <v>0</v>
      </c>
      <c r="V26" s="502"/>
      <c r="W26" s="502"/>
      <c r="X26" s="505"/>
      <c r="Y26" s="505"/>
      <c r="Z26" s="110" t="s">
        <v>43</v>
      </c>
      <c r="AA26" s="337" t="s">
        <v>70</v>
      </c>
    </row>
    <row r="27" spans="1:33" s="2" customFormat="1" ht="27" hidden="1" customHeight="1">
      <c r="A27" s="475"/>
      <c r="B27" s="487"/>
      <c r="C27" s="490"/>
      <c r="D27" s="493"/>
      <c r="E27" s="496"/>
      <c r="F27" s="490"/>
      <c r="G27" s="499"/>
      <c r="H27" s="499"/>
      <c r="I27" s="490"/>
      <c r="J27" s="499"/>
      <c r="K27" s="499"/>
      <c r="L27" s="499"/>
      <c r="M27" s="499"/>
      <c r="N27" s="332" t="s">
        <v>72</v>
      </c>
      <c r="O27" s="332" t="s">
        <v>1884</v>
      </c>
      <c r="P27" s="76" t="s">
        <v>36</v>
      </c>
      <c r="Q27" s="102">
        <v>30</v>
      </c>
      <c r="R27" s="102">
        <v>35</v>
      </c>
      <c r="S27" s="332"/>
      <c r="T27" s="333"/>
      <c r="U27" s="344">
        <f t="shared" si="0"/>
        <v>0</v>
      </c>
      <c r="V27" s="502"/>
      <c r="W27" s="502"/>
      <c r="X27" s="505"/>
      <c r="Y27" s="505"/>
      <c r="Z27" s="332" t="s">
        <v>43</v>
      </c>
      <c r="AA27" s="337" t="s">
        <v>73</v>
      </c>
    </row>
    <row r="28" spans="1:33" s="2" customFormat="1" ht="27" hidden="1" customHeight="1">
      <c r="A28" s="475"/>
      <c r="B28" s="487"/>
      <c r="C28" s="490"/>
      <c r="D28" s="493"/>
      <c r="E28" s="496"/>
      <c r="F28" s="490"/>
      <c r="G28" s="499"/>
      <c r="H28" s="499"/>
      <c r="I28" s="490"/>
      <c r="J28" s="499"/>
      <c r="K28" s="499"/>
      <c r="L28" s="499"/>
      <c r="M28" s="499"/>
      <c r="N28" s="337" t="s">
        <v>74</v>
      </c>
      <c r="O28" s="332" t="s">
        <v>1885</v>
      </c>
      <c r="P28" s="76" t="s">
        <v>36</v>
      </c>
      <c r="Q28" s="102">
        <v>25</v>
      </c>
      <c r="R28" s="102">
        <v>30</v>
      </c>
      <c r="S28" s="332"/>
      <c r="T28" s="333"/>
      <c r="U28" s="344">
        <f t="shared" si="0"/>
        <v>0</v>
      </c>
      <c r="V28" s="502"/>
      <c r="W28" s="502"/>
      <c r="X28" s="505"/>
      <c r="Y28" s="505"/>
      <c r="Z28" s="332" t="s">
        <v>43</v>
      </c>
      <c r="AA28" s="337" t="s">
        <v>73</v>
      </c>
    </row>
    <row r="29" spans="1:33" s="2" customFormat="1" ht="27" hidden="1" customHeight="1">
      <c r="A29" s="475"/>
      <c r="B29" s="487"/>
      <c r="C29" s="490"/>
      <c r="D29" s="493"/>
      <c r="E29" s="496"/>
      <c r="F29" s="490"/>
      <c r="G29" s="499"/>
      <c r="H29" s="499"/>
      <c r="I29" s="490"/>
      <c r="J29" s="499"/>
      <c r="K29" s="499"/>
      <c r="L29" s="499"/>
      <c r="M29" s="499"/>
      <c r="N29" s="332" t="s">
        <v>75</v>
      </c>
      <c r="O29" s="332" t="s">
        <v>1886</v>
      </c>
      <c r="P29" s="76" t="s">
        <v>36</v>
      </c>
      <c r="Q29" s="105">
        <v>20</v>
      </c>
      <c r="R29" s="105">
        <v>25</v>
      </c>
      <c r="S29" s="337"/>
      <c r="T29" s="104"/>
      <c r="U29" s="344">
        <f t="shared" si="0"/>
        <v>0</v>
      </c>
      <c r="V29" s="502"/>
      <c r="W29" s="502"/>
      <c r="X29" s="505"/>
      <c r="Y29" s="505"/>
      <c r="Z29" s="332" t="s">
        <v>43</v>
      </c>
      <c r="AA29" s="337" t="s">
        <v>73</v>
      </c>
    </row>
    <row r="30" spans="1:33" s="2" customFormat="1" ht="27" hidden="1" customHeight="1">
      <c r="A30" s="475"/>
      <c r="B30" s="487"/>
      <c r="C30" s="490"/>
      <c r="D30" s="493"/>
      <c r="E30" s="496"/>
      <c r="F30" s="490"/>
      <c r="G30" s="499"/>
      <c r="H30" s="499"/>
      <c r="I30" s="490"/>
      <c r="J30" s="499"/>
      <c r="K30" s="499"/>
      <c r="L30" s="499"/>
      <c r="M30" s="499"/>
      <c r="N30" s="332" t="s">
        <v>76</v>
      </c>
      <c r="O30" s="332" t="s">
        <v>77</v>
      </c>
      <c r="P30" s="76" t="s">
        <v>36</v>
      </c>
      <c r="Q30" s="105">
        <v>70</v>
      </c>
      <c r="R30" s="105">
        <v>100</v>
      </c>
      <c r="S30" s="337"/>
      <c r="T30" s="104"/>
      <c r="U30" s="344">
        <f t="shared" si="0"/>
        <v>0</v>
      </c>
      <c r="V30" s="502"/>
      <c r="W30" s="502"/>
      <c r="X30" s="505"/>
      <c r="Y30" s="505"/>
      <c r="Z30" s="332" t="s">
        <v>43</v>
      </c>
      <c r="AA30" s="337" t="s">
        <v>73</v>
      </c>
    </row>
    <row r="31" spans="1:33" s="2" customFormat="1" ht="27" hidden="1" customHeight="1">
      <c r="A31" s="475"/>
      <c r="B31" s="487"/>
      <c r="C31" s="490"/>
      <c r="D31" s="493"/>
      <c r="E31" s="496"/>
      <c r="F31" s="490"/>
      <c r="G31" s="499"/>
      <c r="H31" s="499"/>
      <c r="I31" s="490"/>
      <c r="J31" s="499"/>
      <c r="K31" s="499"/>
      <c r="L31" s="499"/>
      <c r="M31" s="499"/>
      <c r="N31" s="332" t="s">
        <v>76</v>
      </c>
      <c r="O31" s="332" t="s">
        <v>78</v>
      </c>
      <c r="P31" s="76" t="s">
        <v>36</v>
      </c>
      <c r="Q31" s="105">
        <v>92.117999999999995</v>
      </c>
      <c r="R31" s="105">
        <v>100</v>
      </c>
      <c r="S31" s="337"/>
      <c r="T31" s="104"/>
      <c r="U31" s="344">
        <f t="shared" si="0"/>
        <v>0</v>
      </c>
      <c r="V31" s="502"/>
      <c r="W31" s="502"/>
      <c r="X31" s="505"/>
      <c r="Y31" s="505"/>
      <c r="Z31" s="332" t="s">
        <v>43</v>
      </c>
      <c r="AA31" s="337" t="s">
        <v>73</v>
      </c>
    </row>
    <row r="32" spans="1:33" s="2" customFormat="1" ht="27" hidden="1" customHeight="1">
      <c r="A32" s="475"/>
      <c r="B32" s="487"/>
      <c r="C32" s="490"/>
      <c r="D32" s="493"/>
      <c r="E32" s="496"/>
      <c r="F32" s="490"/>
      <c r="G32" s="499"/>
      <c r="H32" s="499"/>
      <c r="I32" s="490"/>
      <c r="J32" s="499"/>
      <c r="K32" s="499"/>
      <c r="L32" s="499"/>
      <c r="M32" s="499"/>
      <c r="N32" s="332" t="s">
        <v>79</v>
      </c>
      <c r="O32" s="332" t="s">
        <v>1887</v>
      </c>
      <c r="P32" s="76" t="s">
        <v>36</v>
      </c>
      <c r="Q32" s="102">
        <v>3.06</v>
      </c>
      <c r="R32" s="102">
        <v>5</v>
      </c>
      <c r="S32" s="332"/>
      <c r="T32" s="333"/>
      <c r="U32" s="344">
        <f t="shared" si="0"/>
        <v>0</v>
      </c>
      <c r="V32" s="502"/>
      <c r="W32" s="502"/>
      <c r="X32" s="505"/>
      <c r="Y32" s="505"/>
      <c r="Z32" s="111" t="s">
        <v>43</v>
      </c>
      <c r="AA32" s="337" t="s">
        <v>80</v>
      </c>
    </row>
    <row r="33" spans="1:27" s="2" customFormat="1" ht="27" hidden="1" customHeight="1">
      <c r="A33" s="475"/>
      <c r="B33" s="487"/>
      <c r="C33" s="490"/>
      <c r="D33" s="493"/>
      <c r="E33" s="496"/>
      <c r="F33" s="490"/>
      <c r="G33" s="499"/>
      <c r="H33" s="499"/>
      <c r="I33" s="490"/>
      <c r="J33" s="499"/>
      <c r="K33" s="499"/>
      <c r="L33" s="499"/>
      <c r="M33" s="499"/>
      <c r="N33" s="332" t="s">
        <v>81</v>
      </c>
      <c r="O33" s="332" t="s">
        <v>1888</v>
      </c>
      <c r="P33" s="76" t="s">
        <v>36</v>
      </c>
      <c r="Q33" s="102">
        <v>5</v>
      </c>
      <c r="R33" s="102">
        <v>8</v>
      </c>
      <c r="S33" s="332"/>
      <c r="T33" s="333"/>
      <c r="U33" s="344">
        <f t="shared" si="0"/>
        <v>0</v>
      </c>
      <c r="V33" s="502"/>
      <c r="W33" s="502"/>
      <c r="X33" s="505"/>
      <c r="Y33" s="505"/>
      <c r="Z33" s="111" t="s">
        <v>43</v>
      </c>
      <c r="AA33" s="337" t="s">
        <v>80</v>
      </c>
    </row>
    <row r="34" spans="1:27" s="2" customFormat="1" ht="27" hidden="1" customHeight="1">
      <c r="A34" s="475"/>
      <c r="B34" s="487"/>
      <c r="C34" s="490"/>
      <c r="D34" s="493"/>
      <c r="E34" s="496"/>
      <c r="F34" s="490"/>
      <c r="G34" s="499"/>
      <c r="H34" s="499"/>
      <c r="I34" s="490"/>
      <c r="J34" s="499"/>
      <c r="K34" s="499"/>
      <c r="L34" s="499"/>
      <c r="M34" s="499"/>
      <c r="N34" s="332" t="s">
        <v>82</v>
      </c>
      <c r="O34" s="332" t="s">
        <v>1889</v>
      </c>
      <c r="P34" s="76" t="s">
        <v>36</v>
      </c>
      <c r="Q34" s="102">
        <v>6</v>
      </c>
      <c r="R34" s="102">
        <v>8</v>
      </c>
      <c r="S34" s="332"/>
      <c r="T34" s="333"/>
      <c r="U34" s="344">
        <f t="shared" si="0"/>
        <v>0</v>
      </c>
      <c r="V34" s="502"/>
      <c r="W34" s="502"/>
      <c r="X34" s="505"/>
      <c r="Y34" s="505"/>
      <c r="Z34" s="111" t="s">
        <v>43</v>
      </c>
      <c r="AA34" s="337" t="s">
        <v>80</v>
      </c>
    </row>
    <row r="35" spans="1:27" s="2" customFormat="1" ht="27" hidden="1" customHeight="1">
      <c r="A35" s="475"/>
      <c r="B35" s="487"/>
      <c r="C35" s="490"/>
      <c r="D35" s="493"/>
      <c r="E35" s="496"/>
      <c r="F35" s="490"/>
      <c r="G35" s="499"/>
      <c r="H35" s="499"/>
      <c r="I35" s="490"/>
      <c r="J35" s="499"/>
      <c r="K35" s="499"/>
      <c r="L35" s="499"/>
      <c r="M35" s="499"/>
      <c r="N35" s="332" t="s">
        <v>83</v>
      </c>
      <c r="O35" s="332" t="s">
        <v>1890</v>
      </c>
      <c r="P35" s="76" t="s">
        <v>36</v>
      </c>
      <c r="Q35" s="102">
        <v>5</v>
      </c>
      <c r="R35" s="102">
        <v>6</v>
      </c>
      <c r="S35" s="332"/>
      <c r="T35" s="333"/>
      <c r="U35" s="344">
        <f t="shared" si="0"/>
        <v>0</v>
      </c>
      <c r="V35" s="502"/>
      <c r="W35" s="502"/>
      <c r="X35" s="505"/>
      <c r="Y35" s="505"/>
      <c r="Z35" s="111" t="s">
        <v>43</v>
      </c>
      <c r="AA35" s="337" t="s">
        <v>80</v>
      </c>
    </row>
    <row r="36" spans="1:27" s="2" customFormat="1" ht="27" hidden="1" customHeight="1">
      <c r="A36" s="475"/>
      <c r="B36" s="487"/>
      <c r="C36" s="490"/>
      <c r="D36" s="493"/>
      <c r="E36" s="496"/>
      <c r="F36" s="490"/>
      <c r="G36" s="499"/>
      <c r="H36" s="499"/>
      <c r="I36" s="490"/>
      <c r="J36" s="499"/>
      <c r="K36" s="499"/>
      <c r="L36" s="499"/>
      <c r="M36" s="499"/>
      <c r="N36" s="332" t="s">
        <v>84</v>
      </c>
      <c r="O36" s="337" t="s">
        <v>1891</v>
      </c>
      <c r="P36" s="76" t="s">
        <v>36</v>
      </c>
      <c r="Q36" s="102">
        <v>8</v>
      </c>
      <c r="R36" s="102">
        <v>10</v>
      </c>
      <c r="S36" s="332"/>
      <c r="T36" s="333"/>
      <c r="U36" s="344">
        <f t="shared" si="0"/>
        <v>0</v>
      </c>
      <c r="V36" s="502"/>
      <c r="W36" s="502"/>
      <c r="X36" s="505"/>
      <c r="Y36" s="505"/>
      <c r="Z36" s="111" t="s">
        <v>43</v>
      </c>
      <c r="AA36" s="337" t="s">
        <v>80</v>
      </c>
    </row>
    <row r="37" spans="1:27" s="2" customFormat="1" ht="27" hidden="1" customHeight="1">
      <c r="A37" s="475"/>
      <c r="B37" s="487"/>
      <c r="C37" s="490"/>
      <c r="D37" s="493"/>
      <c r="E37" s="496"/>
      <c r="F37" s="490"/>
      <c r="G37" s="499"/>
      <c r="H37" s="499"/>
      <c r="I37" s="490"/>
      <c r="J37" s="499"/>
      <c r="K37" s="499"/>
      <c r="L37" s="499"/>
      <c r="M37" s="499"/>
      <c r="N37" s="337" t="s">
        <v>85</v>
      </c>
      <c r="O37" s="332" t="s">
        <v>1892</v>
      </c>
      <c r="P37" s="76" t="s">
        <v>36</v>
      </c>
      <c r="Q37" s="102">
        <v>7.2</v>
      </c>
      <c r="R37" s="102">
        <v>10</v>
      </c>
      <c r="S37" s="332"/>
      <c r="T37" s="333"/>
      <c r="U37" s="344">
        <f t="shared" si="0"/>
        <v>0</v>
      </c>
      <c r="V37" s="502"/>
      <c r="W37" s="502"/>
      <c r="X37" s="505"/>
      <c r="Y37" s="505"/>
      <c r="Z37" s="111" t="s">
        <v>43</v>
      </c>
      <c r="AA37" s="337" t="s">
        <v>80</v>
      </c>
    </row>
    <row r="38" spans="1:27" s="2" customFormat="1" ht="27" hidden="1" customHeight="1">
      <c r="A38" s="475"/>
      <c r="B38" s="487"/>
      <c r="C38" s="490"/>
      <c r="D38" s="493"/>
      <c r="E38" s="496"/>
      <c r="F38" s="490"/>
      <c r="G38" s="499"/>
      <c r="H38" s="499"/>
      <c r="I38" s="490"/>
      <c r="J38" s="499"/>
      <c r="K38" s="499"/>
      <c r="L38" s="499"/>
      <c r="M38" s="499"/>
      <c r="N38" s="332" t="s">
        <v>86</v>
      </c>
      <c r="O38" s="332" t="s">
        <v>87</v>
      </c>
      <c r="P38" s="76" t="s">
        <v>36</v>
      </c>
      <c r="Q38" s="102">
        <v>3</v>
      </c>
      <c r="R38" s="102">
        <v>5</v>
      </c>
      <c r="S38" s="332"/>
      <c r="T38" s="333"/>
      <c r="U38" s="344">
        <f t="shared" si="0"/>
        <v>0</v>
      </c>
      <c r="V38" s="502"/>
      <c r="W38" s="502"/>
      <c r="X38" s="505"/>
      <c r="Y38" s="505"/>
      <c r="Z38" s="111" t="s">
        <v>43</v>
      </c>
      <c r="AA38" s="337" t="s">
        <v>80</v>
      </c>
    </row>
    <row r="39" spans="1:27" s="2" customFormat="1" ht="27" hidden="1" customHeight="1">
      <c r="A39" s="475"/>
      <c r="B39" s="487"/>
      <c r="C39" s="490"/>
      <c r="D39" s="493"/>
      <c r="E39" s="496"/>
      <c r="F39" s="490"/>
      <c r="G39" s="499"/>
      <c r="H39" s="499"/>
      <c r="I39" s="490"/>
      <c r="J39" s="499"/>
      <c r="K39" s="499"/>
      <c r="L39" s="499"/>
      <c r="M39" s="499"/>
      <c r="N39" s="332" t="s">
        <v>86</v>
      </c>
      <c r="O39" s="332" t="s">
        <v>88</v>
      </c>
      <c r="P39" s="76" t="s">
        <v>36</v>
      </c>
      <c r="Q39" s="102">
        <v>2</v>
      </c>
      <c r="R39" s="102">
        <v>3</v>
      </c>
      <c r="S39" s="332"/>
      <c r="T39" s="333"/>
      <c r="U39" s="344">
        <f t="shared" si="0"/>
        <v>0</v>
      </c>
      <c r="V39" s="502"/>
      <c r="W39" s="502"/>
      <c r="X39" s="505"/>
      <c r="Y39" s="505"/>
      <c r="Z39" s="111" t="s">
        <v>43</v>
      </c>
      <c r="AA39" s="337" t="s">
        <v>80</v>
      </c>
    </row>
    <row r="40" spans="1:27" s="2" customFormat="1" ht="27" hidden="1" customHeight="1">
      <c r="A40" s="475"/>
      <c r="B40" s="487"/>
      <c r="C40" s="490"/>
      <c r="D40" s="493"/>
      <c r="E40" s="496"/>
      <c r="F40" s="490"/>
      <c r="G40" s="499"/>
      <c r="H40" s="499"/>
      <c r="I40" s="490"/>
      <c r="J40" s="499"/>
      <c r="K40" s="499"/>
      <c r="L40" s="499"/>
      <c r="M40" s="499"/>
      <c r="N40" s="332" t="s">
        <v>86</v>
      </c>
      <c r="O40" s="332" t="s">
        <v>89</v>
      </c>
      <c r="P40" s="76" t="s">
        <v>36</v>
      </c>
      <c r="Q40" s="102">
        <v>1</v>
      </c>
      <c r="R40" s="102">
        <v>2</v>
      </c>
      <c r="S40" s="332"/>
      <c r="T40" s="333"/>
      <c r="U40" s="344">
        <f t="shared" si="0"/>
        <v>0</v>
      </c>
      <c r="V40" s="502"/>
      <c r="W40" s="502"/>
      <c r="X40" s="505"/>
      <c r="Y40" s="505"/>
      <c r="Z40" s="111" t="s">
        <v>43</v>
      </c>
      <c r="AA40" s="337" t="s">
        <v>80</v>
      </c>
    </row>
    <row r="41" spans="1:27" s="2" customFormat="1" ht="27" hidden="1" customHeight="1">
      <c r="A41" s="475"/>
      <c r="B41" s="487"/>
      <c r="C41" s="490"/>
      <c r="D41" s="493"/>
      <c r="E41" s="496"/>
      <c r="F41" s="490"/>
      <c r="G41" s="499"/>
      <c r="H41" s="499"/>
      <c r="I41" s="490"/>
      <c r="J41" s="499"/>
      <c r="K41" s="499"/>
      <c r="L41" s="499"/>
      <c r="M41" s="499"/>
      <c r="N41" s="337" t="s">
        <v>90</v>
      </c>
      <c r="O41" s="337" t="s">
        <v>1893</v>
      </c>
      <c r="P41" s="76" t="s">
        <v>36</v>
      </c>
      <c r="Q41" s="105">
        <v>40</v>
      </c>
      <c r="R41" s="105">
        <v>52.7</v>
      </c>
      <c r="S41" s="337"/>
      <c r="T41" s="104"/>
      <c r="U41" s="344">
        <f t="shared" si="0"/>
        <v>0</v>
      </c>
      <c r="V41" s="502"/>
      <c r="W41" s="502"/>
      <c r="X41" s="505"/>
      <c r="Y41" s="505"/>
      <c r="Z41" s="110" t="s">
        <v>43</v>
      </c>
      <c r="AA41" s="337" t="s">
        <v>91</v>
      </c>
    </row>
    <row r="42" spans="1:27" s="2" customFormat="1" ht="27" hidden="1" customHeight="1">
      <c r="A42" s="475"/>
      <c r="B42" s="487"/>
      <c r="C42" s="490"/>
      <c r="D42" s="493"/>
      <c r="E42" s="496"/>
      <c r="F42" s="490"/>
      <c r="G42" s="499"/>
      <c r="H42" s="499"/>
      <c r="I42" s="490"/>
      <c r="J42" s="499"/>
      <c r="K42" s="499"/>
      <c r="L42" s="499"/>
      <c r="M42" s="499"/>
      <c r="N42" s="337" t="s">
        <v>92</v>
      </c>
      <c r="O42" s="337" t="s">
        <v>1894</v>
      </c>
      <c r="P42" s="76" t="s">
        <v>36</v>
      </c>
      <c r="Q42" s="105">
        <v>14</v>
      </c>
      <c r="R42" s="105">
        <v>16</v>
      </c>
      <c r="S42" s="337"/>
      <c r="T42" s="104"/>
      <c r="U42" s="344">
        <f t="shared" si="0"/>
        <v>0</v>
      </c>
      <c r="V42" s="502"/>
      <c r="W42" s="502"/>
      <c r="X42" s="505"/>
      <c r="Y42" s="505"/>
      <c r="Z42" s="110" t="s">
        <v>43</v>
      </c>
      <c r="AA42" s="337" t="s">
        <v>91</v>
      </c>
    </row>
    <row r="43" spans="1:27" s="2" customFormat="1" ht="27" hidden="1" customHeight="1">
      <c r="A43" s="475"/>
      <c r="B43" s="487"/>
      <c r="C43" s="490"/>
      <c r="D43" s="493"/>
      <c r="E43" s="496"/>
      <c r="F43" s="490"/>
      <c r="G43" s="499"/>
      <c r="H43" s="499"/>
      <c r="I43" s="490"/>
      <c r="J43" s="499"/>
      <c r="K43" s="499"/>
      <c r="L43" s="499"/>
      <c r="M43" s="499"/>
      <c r="N43" s="337" t="s">
        <v>93</v>
      </c>
      <c r="O43" s="337" t="s">
        <v>1895</v>
      </c>
      <c r="P43" s="76" t="s">
        <v>36</v>
      </c>
      <c r="Q43" s="105">
        <v>20</v>
      </c>
      <c r="R43" s="105">
        <v>26.4</v>
      </c>
      <c r="S43" s="337"/>
      <c r="T43" s="104"/>
      <c r="U43" s="344">
        <f t="shared" si="0"/>
        <v>0</v>
      </c>
      <c r="V43" s="502"/>
      <c r="W43" s="502"/>
      <c r="X43" s="505"/>
      <c r="Y43" s="505"/>
      <c r="Z43" s="110" t="s">
        <v>43</v>
      </c>
      <c r="AA43" s="337" t="s">
        <v>91</v>
      </c>
    </row>
    <row r="44" spans="1:27" s="2" customFormat="1" ht="27" hidden="1" customHeight="1">
      <c r="A44" s="475"/>
      <c r="B44" s="487"/>
      <c r="C44" s="490"/>
      <c r="D44" s="493"/>
      <c r="E44" s="496"/>
      <c r="F44" s="490"/>
      <c r="G44" s="499"/>
      <c r="H44" s="499"/>
      <c r="I44" s="490"/>
      <c r="J44" s="499"/>
      <c r="K44" s="499"/>
      <c r="L44" s="499"/>
      <c r="M44" s="499"/>
      <c r="N44" s="337" t="s">
        <v>94</v>
      </c>
      <c r="O44" s="337" t="s">
        <v>1896</v>
      </c>
      <c r="P44" s="76" t="s">
        <v>36</v>
      </c>
      <c r="Q44" s="105">
        <v>35</v>
      </c>
      <c r="R44" s="105">
        <v>41</v>
      </c>
      <c r="S44" s="337"/>
      <c r="T44" s="104"/>
      <c r="U44" s="344">
        <f t="shared" si="0"/>
        <v>0</v>
      </c>
      <c r="V44" s="502"/>
      <c r="W44" s="502"/>
      <c r="X44" s="505"/>
      <c r="Y44" s="505"/>
      <c r="Z44" s="110" t="s">
        <v>43</v>
      </c>
      <c r="AA44" s="337" t="s">
        <v>91</v>
      </c>
    </row>
    <row r="45" spans="1:27" s="2" customFormat="1" ht="27" hidden="1" customHeight="1">
      <c r="A45" s="475"/>
      <c r="B45" s="487"/>
      <c r="C45" s="490"/>
      <c r="D45" s="493"/>
      <c r="E45" s="496"/>
      <c r="F45" s="490"/>
      <c r="G45" s="499"/>
      <c r="H45" s="499"/>
      <c r="I45" s="490"/>
      <c r="J45" s="499"/>
      <c r="K45" s="499"/>
      <c r="L45" s="499"/>
      <c r="M45" s="499"/>
      <c r="N45" s="337" t="s">
        <v>95</v>
      </c>
      <c r="O45" s="337" t="s">
        <v>1897</v>
      </c>
      <c r="P45" s="76" t="s">
        <v>36</v>
      </c>
      <c r="Q45" s="105">
        <v>30</v>
      </c>
      <c r="R45" s="105">
        <v>42</v>
      </c>
      <c r="S45" s="337"/>
      <c r="T45" s="104"/>
      <c r="U45" s="344">
        <f t="shared" si="0"/>
        <v>0</v>
      </c>
      <c r="V45" s="502"/>
      <c r="W45" s="502"/>
      <c r="X45" s="505"/>
      <c r="Y45" s="505"/>
      <c r="Z45" s="110" t="s">
        <v>43</v>
      </c>
      <c r="AA45" s="337" t="s">
        <v>91</v>
      </c>
    </row>
    <row r="46" spans="1:27" s="2" customFormat="1" ht="27" hidden="1" customHeight="1">
      <c r="A46" s="475"/>
      <c r="B46" s="487"/>
      <c r="C46" s="490"/>
      <c r="D46" s="493"/>
      <c r="E46" s="496"/>
      <c r="F46" s="490"/>
      <c r="G46" s="499"/>
      <c r="H46" s="499"/>
      <c r="I46" s="490"/>
      <c r="J46" s="499"/>
      <c r="K46" s="499"/>
      <c r="L46" s="499"/>
      <c r="M46" s="499"/>
      <c r="N46" s="337" t="s">
        <v>96</v>
      </c>
      <c r="O46" s="337" t="s">
        <v>1898</v>
      </c>
      <c r="P46" s="76" t="s">
        <v>36</v>
      </c>
      <c r="Q46" s="105">
        <v>5</v>
      </c>
      <c r="R46" s="105">
        <v>8.5</v>
      </c>
      <c r="S46" s="337"/>
      <c r="T46" s="104"/>
      <c r="U46" s="344">
        <f t="shared" si="0"/>
        <v>0</v>
      </c>
      <c r="V46" s="502"/>
      <c r="W46" s="502"/>
      <c r="X46" s="505"/>
      <c r="Y46" s="505"/>
      <c r="Z46" s="110" t="s">
        <v>43</v>
      </c>
      <c r="AA46" s="337" t="s">
        <v>91</v>
      </c>
    </row>
    <row r="47" spans="1:27" s="2" customFormat="1" ht="27" hidden="1" customHeight="1">
      <c r="A47" s="475"/>
      <c r="B47" s="487"/>
      <c r="C47" s="490"/>
      <c r="D47" s="493"/>
      <c r="E47" s="496"/>
      <c r="F47" s="490"/>
      <c r="G47" s="499"/>
      <c r="H47" s="499"/>
      <c r="I47" s="490"/>
      <c r="J47" s="499"/>
      <c r="K47" s="499"/>
      <c r="L47" s="499"/>
      <c r="M47" s="499"/>
      <c r="N47" s="337" t="s">
        <v>97</v>
      </c>
      <c r="O47" s="337" t="s">
        <v>1899</v>
      </c>
      <c r="P47" s="76" t="s">
        <v>36</v>
      </c>
      <c r="Q47" s="105">
        <v>30</v>
      </c>
      <c r="R47" s="105">
        <v>35</v>
      </c>
      <c r="S47" s="337"/>
      <c r="T47" s="104"/>
      <c r="U47" s="344">
        <f t="shared" si="0"/>
        <v>0</v>
      </c>
      <c r="V47" s="502"/>
      <c r="W47" s="502"/>
      <c r="X47" s="505"/>
      <c r="Y47" s="505"/>
      <c r="Z47" s="110" t="s">
        <v>43</v>
      </c>
      <c r="AA47" s="337" t="s">
        <v>91</v>
      </c>
    </row>
    <row r="48" spans="1:27" s="2" customFormat="1" ht="27" hidden="1" customHeight="1">
      <c r="A48" s="475"/>
      <c r="B48" s="487"/>
      <c r="C48" s="490"/>
      <c r="D48" s="493"/>
      <c r="E48" s="496"/>
      <c r="F48" s="490"/>
      <c r="G48" s="499"/>
      <c r="H48" s="499"/>
      <c r="I48" s="490"/>
      <c r="J48" s="499"/>
      <c r="K48" s="499"/>
      <c r="L48" s="499"/>
      <c r="M48" s="499"/>
      <c r="N48" s="337" t="s">
        <v>98</v>
      </c>
      <c r="O48" s="337" t="s">
        <v>1900</v>
      </c>
      <c r="P48" s="76" t="s">
        <v>36</v>
      </c>
      <c r="Q48" s="105">
        <v>40</v>
      </c>
      <c r="R48" s="105">
        <v>42</v>
      </c>
      <c r="S48" s="337"/>
      <c r="T48" s="104"/>
      <c r="U48" s="344">
        <f t="shared" si="0"/>
        <v>0</v>
      </c>
      <c r="V48" s="502"/>
      <c r="W48" s="502"/>
      <c r="X48" s="505"/>
      <c r="Y48" s="505"/>
      <c r="Z48" s="110" t="s">
        <v>43</v>
      </c>
      <c r="AA48" s="337" t="s">
        <v>91</v>
      </c>
    </row>
    <row r="49" spans="1:27" s="2" customFormat="1" ht="27" hidden="1" customHeight="1">
      <c r="A49" s="475"/>
      <c r="B49" s="487"/>
      <c r="C49" s="490"/>
      <c r="D49" s="493"/>
      <c r="E49" s="496"/>
      <c r="F49" s="490"/>
      <c r="G49" s="499"/>
      <c r="H49" s="499"/>
      <c r="I49" s="490"/>
      <c r="J49" s="499"/>
      <c r="K49" s="499"/>
      <c r="L49" s="499"/>
      <c r="M49" s="499"/>
      <c r="N49" s="337" t="s">
        <v>99</v>
      </c>
      <c r="O49" s="337" t="s">
        <v>100</v>
      </c>
      <c r="P49" s="76" t="s">
        <v>36</v>
      </c>
      <c r="Q49" s="105">
        <v>50.18</v>
      </c>
      <c r="R49" s="105">
        <v>52</v>
      </c>
      <c r="S49" s="337"/>
      <c r="T49" s="104"/>
      <c r="U49" s="344">
        <f t="shared" si="0"/>
        <v>0</v>
      </c>
      <c r="V49" s="502"/>
      <c r="W49" s="502"/>
      <c r="X49" s="505"/>
      <c r="Y49" s="505"/>
      <c r="Z49" s="110" t="s">
        <v>43</v>
      </c>
      <c r="AA49" s="337" t="s">
        <v>91</v>
      </c>
    </row>
    <row r="50" spans="1:27" s="2" customFormat="1" ht="27" hidden="1" customHeight="1">
      <c r="A50" s="475"/>
      <c r="B50" s="487"/>
      <c r="C50" s="490"/>
      <c r="D50" s="493"/>
      <c r="E50" s="496"/>
      <c r="F50" s="490"/>
      <c r="G50" s="499"/>
      <c r="H50" s="499"/>
      <c r="I50" s="490"/>
      <c r="J50" s="499"/>
      <c r="K50" s="499"/>
      <c r="L50" s="499"/>
      <c r="M50" s="499"/>
      <c r="N50" s="337" t="s">
        <v>99</v>
      </c>
      <c r="O50" s="337" t="s">
        <v>101</v>
      </c>
      <c r="P50" s="76" t="s">
        <v>36</v>
      </c>
      <c r="Q50" s="105">
        <v>81.89</v>
      </c>
      <c r="R50" s="105">
        <v>82</v>
      </c>
      <c r="S50" s="337"/>
      <c r="T50" s="104"/>
      <c r="U50" s="344">
        <f t="shared" si="0"/>
        <v>0</v>
      </c>
      <c r="V50" s="502"/>
      <c r="W50" s="502"/>
      <c r="X50" s="505"/>
      <c r="Y50" s="505"/>
      <c r="Z50" s="110" t="s">
        <v>43</v>
      </c>
      <c r="AA50" s="337" t="s">
        <v>91</v>
      </c>
    </row>
    <row r="51" spans="1:27" s="2" customFormat="1" ht="27" hidden="1" customHeight="1">
      <c r="A51" s="475"/>
      <c r="B51" s="487"/>
      <c r="C51" s="490"/>
      <c r="D51" s="493"/>
      <c r="E51" s="496"/>
      <c r="F51" s="490"/>
      <c r="G51" s="499"/>
      <c r="H51" s="499"/>
      <c r="I51" s="490"/>
      <c r="J51" s="499"/>
      <c r="K51" s="499"/>
      <c r="L51" s="499"/>
      <c r="M51" s="499"/>
      <c r="N51" s="337" t="s">
        <v>99</v>
      </c>
      <c r="O51" s="337" t="s">
        <v>102</v>
      </c>
      <c r="P51" s="76" t="s">
        <v>36</v>
      </c>
      <c r="Q51" s="105">
        <v>40.31</v>
      </c>
      <c r="R51" s="105">
        <v>42</v>
      </c>
      <c r="S51" s="337"/>
      <c r="T51" s="104"/>
      <c r="U51" s="344">
        <f t="shared" si="0"/>
        <v>0</v>
      </c>
      <c r="V51" s="502"/>
      <c r="W51" s="502"/>
      <c r="X51" s="505"/>
      <c r="Y51" s="505"/>
      <c r="Z51" s="110" t="s">
        <v>43</v>
      </c>
      <c r="AA51" s="337" t="s">
        <v>91</v>
      </c>
    </row>
    <row r="52" spans="1:27" s="2" customFormat="1" ht="27" hidden="1" customHeight="1">
      <c r="A52" s="475"/>
      <c r="B52" s="487"/>
      <c r="C52" s="490"/>
      <c r="D52" s="493"/>
      <c r="E52" s="496"/>
      <c r="F52" s="490"/>
      <c r="G52" s="499"/>
      <c r="H52" s="499"/>
      <c r="I52" s="490"/>
      <c r="J52" s="499"/>
      <c r="K52" s="499"/>
      <c r="L52" s="499"/>
      <c r="M52" s="499"/>
      <c r="N52" s="337" t="s">
        <v>99</v>
      </c>
      <c r="O52" s="337" t="s">
        <v>103</v>
      </c>
      <c r="P52" s="76" t="s">
        <v>36</v>
      </c>
      <c r="Q52" s="105">
        <v>15.97</v>
      </c>
      <c r="R52" s="105">
        <v>17</v>
      </c>
      <c r="S52" s="337"/>
      <c r="T52" s="104"/>
      <c r="U52" s="344">
        <f t="shared" si="0"/>
        <v>0</v>
      </c>
      <c r="V52" s="502"/>
      <c r="W52" s="502"/>
      <c r="X52" s="505"/>
      <c r="Y52" s="505"/>
      <c r="Z52" s="110" t="s">
        <v>43</v>
      </c>
      <c r="AA52" s="337" t="s">
        <v>91</v>
      </c>
    </row>
    <row r="53" spans="1:27" s="2" customFormat="1" ht="27" customHeight="1">
      <c r="A53" s="475"/>
      <c r="B53" s="487"/>
      <c r="C53" s="490"/>
      <c r="D53" s="493"/>
      <c r="E53" s="496"/>
      <c r="F53" s="490"/>
      <c r="G53" s="499"/>
      <c r="H53" s="499"/>
      <c r="I53" s="490"/>
      <c r="J53" s="499"/>
      <c r="K53" s="499"/>
      <c r="L53" s="499"/>
      <c r="M53" s="499"/>
      <c r="N53" s="337" t="s">
        <v>104</v>
      </c>
      <c r="O53" s="337" t="s">
        <v>105</v>
      </c>
      <c r="P53" s="76" t="s">
        <v>27</v>
      </c>
      <c r="Q53" s="105">
        <v>5.3628</v>
      </c>
      <c r="R53" s="105">
        <v>5.3628</v>
      </c>
      <c r="S53" s="337" t="s">
        <v>106</v>
      </c>
      <c r="T53" s="104">
        <v>3.5619999999999998</v>
      </c>
      <c r="U53" s="344">
        <f t="shared" si="0"/>
        <v>0.66420526590587003</v>
      </c>
      <c r="V53" s="502"/>
      <c r="W53" s="502"/>
      <c r="X53" s="505"/>
      <c r="Y53" s="505"/>
      <c r="Z53" s="110" t="s">
        <v>43</v>
      </c>
      <c r="AA53" s="337" t="s">
        <v>70</v>
      </c>
    </row>
    <row r="54" spans="1:27" s="2" customFormat="1" ht="27" customHeight="1">
      <c r="A54" s="475"/>
      <c r="B54" s="487"/>
      <c r="C54" s="490"/>
      <c r="D54" s="493"/>
      <c r="E54" s="496"/>
      <c r="F54" s="490"/>
      <c r="G54" s="499"/>
      <c r="H54" s="499"/>
      <c r="I54" s="490"/>
      <c r="J54" s="499"/>
      <c r="K54" s="499"/>
      <c r="L54" s="499"/>
      <c r="M54" s="499"/>
      <c r="N54" s="337" t="s">
        <v>107</v>
      </c>
      <c r="O54" s="337" t="s">
        <v>108</v>
      </c>
      <c r="P54" s="76" t="s">
        <v>27</v>
      </c>
      <c r="Q54" s="105">
        <v>1.8953</v>
      </c>
      <c r="R54" s="105">
        <v>1.8953</v>
      </c>
      <c r="S54" s="337" t="s">
        <v>109</v>
      </c>
      <c r="T54" s="104">
        <v>1.1284000000000001</v>
      </c>
      <c r="U54" s="344">
        <f t="shared" si="0"/>
        <v>0.59536748799662331</v>
      </c>
      <c r="V54" s="502"/>
      <c r="W54" s="502"/>
      <c r="X54" s="505"/>
      <c r="Y54" s="505"/>
      <c r="Z54" s="110" t="s">
        <v>43</v>
      </c>
      <c r="AA54" s="337" t="s">
        <v>70</v>
      </c>
    </row>
    <row r="55" spans="1:27" s="2" customFormat="1" ht="27" customHeight="1">
      <c r="A55" s="475"/>
      <c r="B55" s="487"/>
      <c r="C55" s="490"/>
      <c r="D55" s="493"/>
      <c r="E55" s="496"/>
      <c r="F55" s="490"/>
      <c r="G55" s="499"/>
      <c r="H55" s="499"/>
      <c r="I55" s="490"/>
      <c r="J55" s="499"/>
      <c r="K55" s="499"/>
      <c r="L55" s="499"/>
      <c r="M55" s="499"/>
      <c r="N55" s="337" t="s">
        <v>97</v>
      </c>
      <c r="O55" s="337" t="s">
        <v>110</v>
      </c>
      <c r="P55" s="76" t="s">
        <v>27</v>
      </c>
      <c r="Q55" s="105">
        <v>1.5229999999999999</v>
      </c>
      <c r="R55" s="105">
        <v>1.5229999999999999</v>
      </c>
      <c r="S55" s="337" t="s">
        <v>111</v>
      </c>
      <c r="T55" s="104">
        <v>0.85619999999999996</v>
      </c>
      <c r="U55" s="344">
        <f t="shared" si="0"/>
        <v>0.56217990807616547</v>
      </c>
      <c r="V55" s="502"/>
      <c r="W55" s="502"/>
      <c r="X55" s="505"/>
      <c r="Y55" s="505"/>
      <c r="Z55" s="110" t="s">
        <v>43</v>
      </c>
      <c r="AA55" s="337" t="s">
        <v>70</v>
      </c>
    </row>
    <row r="56" spans="1:27" s="2" customFormat="1" ht="27" customHeight="1">
      <c r="A56" s="475"/>
      <c r="B56" s="487"/>
      <c r="C56" s="490"/>
      <c r="D56" s="493"/>
      <c r="E56" s="496"/>
      <c r="F56" s="490"/>
      <c r="G56" s="499"/>
      <c r="H56" s="499"/>
      <c r="I56" s="490"/>
      <c r="J56" s="499"/>
      <c r="K56" s="499"/>
      <c r="L56" s="499"/>
      <c r="M56" s="499"/>
      <c r="N56" s="337" t="s">
        <v>112</v>
      </c>
      <c r="O56" s="337" t="s">
        <v>113</v>
      </c>
      <c r="P56" s="76" t="s">
        <v>27</v>
      </c>
      <c r="Q56" s="105">
        <v>4.5229999999999997</v>
      </c>
      <c r="R56" s="105">
        <v>4.5229999999999997</v>
      </c>
      <c r="S56" s="337" t="s">
        <v>114</v>
      </c>
      <c r="T56" s="104">
        <v>3.0264000000000002</v>
      </c>
      <c r="U56" s="344">
        <f t="shared" si="0"/>
        <v>0.66911342029626364</v>
      </c>
      <c r="V56" s="502"/>
      <c r="W56" s="502"/>
      <c r="X56" s="505"/>
      <c r="Y56" s="505"/>
      <c r="Z56" s="110" t="s">
        <v>43</v>
      </c>
      <c r="AA56" s="337" t="s">
        <v>70</v>
      </c>
    </row>
    <row r="57" spans="1:27" s="2" customFormat="1" ht="27" customHeight="1">
      <c r="A57" s="475"/>
      <c r="B57" s="487"/>
      <c r="C57" s="490"/>
      <c r="D57" s="493"/>
      <c r="E57" s="496"/>
      <c r="F57" s="490"/>
      <c r="G57" s="499"/>
      <c r="H57" s="499"/>
      <c r="I57" s="490"/>
      <c r="J57" s="499"/>
      <c r="K57" s="499"/>
      <c r="L57" s="499"/>
      <c r="M57" s="499"/>
      <c r="N57" s="337" t="s">
        <v>115</v>
      </c>
      <c r="O57" s="337" t="s">
        <v>116</v>
      </c>
      <c r="P57" s="76" t="s">
        <v>27</v>
      </c>
      <c r="Q57" s="105">
        <v>2.3620000000000001</v>
      </c>
      <c r="R57" s="105">
        <v>2.3620000000000001</v>
      </c>
      <c r="S57" s="337" t="s">
        <v>117</v>
      </c>
      <c r="T57" s="104">
        <v>1.5629999999999999</v>
      </c>
      <c r="U57" s="344">
        <f t="shared" si="0"/>
        <v>0.66172734970364089</v>
      </c>
      <c r="V57" s="502"/>
      <c r="W57" s="502"/>
      <c r="X57" s="505"/>
      <c r="Y57" s="505"/>
      <c r="Z57" s="110" t="s">
        <v>43</v>
      </c>
      <c r="AA57" s="337" t="s">
        <v>70</v>
      </c>
    </row>
    <row r="58" spans="1:27" s="2" customFormat="1" ht="27" customHeight="1">
      <c r="A58" s="475"/>
      <c r="B58" s="487"/>
      <c r="C58" s="490"/>
      <c r="D58" s="493"/>
      <c r="E58" s="496"/>
      <c r="F58" s="490"/>
      <c r="G58" s="499"/>
      <c r="H58" s="499"/>
      <c r="I58" s="490"/>
      <c r="J58" s="499"/>
      <c r="K58" s="499"/>
      <c r="L58" s="499"/>
      <c r="M58" s="499"/>
      <c r="N58" s="337" t="s">
        <v>118</v>
      </c>
      <c r="O58" s="337" t="s">
        <v>119</v>
      </c>
      <c r="P58" s="76" t="s">
        <v>27</v>
      </c>
      <c r="Q58" s="105">
        <v>0.86950000000000005</v>
      </c>
      <c r="R58" s="105">
        <v>0.86950000000000005</v>
      </c>
      <c r="S58" s="337"/>
      <c r="T58" s="104"/>
      <c r="U58" s="344">
        <f t="shared" si="0"/>
        <v>0</v>
      </c>
      <c r="V58" s="502"/>
      <c r="W58" s="502"/>
      <c r="X58" s="505"/>
      <c r="Y58" s="505"/>
      <c r="Z58" s="110" t="s">
        <v>43</v>
      </c>
      <c r="AA58" s="337" t="s">
        <v>70</v>
      </c>
    </row>
    <row r="59" spans="1:27" s="2" customFormat="1" ht="27" customHeight="1">
      <c r="A59" s="475"/>
      <c r="B59" s="487"/>
      <c r="C59" s="490"/>
      <c r="D59" s="493"/>
      <c r="E59" s="496"/>
      <c r="F59" s="490"/>
      <c r="G59" s="499"/>
      <c r="H59" s="499"/>
      <c r="I59" s="490"/>
      <c r="J59" s="499"/>
      <c r="K59" s="499"/>
      <c r="L59" s="499"/>
      <c r="M59" s="499"/>
      <c r="N59" s="337" t="s">
        <v>120</v>
      </c>
      <c r="O59" s="337" t="s">
        <v>121</v>
      </c>
      <c r="P59" s="76" t="s">
        <v>27</v>
      </c>
      <c r="Q59" s="105">
        <v>1.6</v>
      </c>
      <c r="R59" s="105">
        <v>1.6</v>
      </c>
      <c r="S59" s="337" t="s">
        <v>122</v>
      </c>
      <c r="T59" s="104">
        <v>0.77729999999999999</v>
      </c>
      <c r="U59" s="344">
        <f t="shared" si="0"/>
        <v>0.48581249999999998</v>
      </c>
      <c r="V59" s="502"/>
      <c r="W59" s="502"/>
      <c r="X59" s="505"/>
      <c r="Y59" s="505"/>
      <c r="Z59" s="110" t="s">
        <v>43</v>
      </c>
      <c r="AA59" s="337" t="s">
        <v>91</v>
      </c>
    </row>
    <row r="60" spans="1:27" s="2" customFormat="1" ht="27" customHeight="1">
      <c r="A60" s="475"/>
      <c r="B60" s="487"/>
      <c r="C60" s="490"/>
      <c r="D60" s="493"/>
      <c r="E60" s="496"/>
      <c r="F60" s="490"/>
      <c r="G60" s="499"/>
      <c r="H60" s="499"/>
      <c r="I60" s="490"/>
      <c r="J60" s="499"/>
      <c r="K60" s="499"/>
      <c r="L60" s="499"/>
      <c r="M60" s="499"/>
      <c r="N60" s="337" t="s">
        <v>123</v>
      </c>
      <c r="O60" s="337" t="s">
        <v>124</v>
      </c>
      <c r="P60" s="76" t="s">
        <v>27</v>
      </c>
      <c r="Q60" s="105">
        <v>2.9</v>
      </c>
      <c r="R60" s="105">
        <v>2.9</v>
      </c>
      <c r="S60" s="337" t="s">
        <v>125</v>
      </c>
      <c r="T60" s="104">
        <v>2.0171999999999999</v>
      </c>
      <c r="U60" s="344">
        <f t="shared" si="0"/>
        <v>0.69558620689655171</v>
      </c>
      <c r="V60" s="502"/>
      <c r="W60" s="502"/>
      <c r="X60" s="505"/>
      <c r="Y60" s="505"/>
      <c r="Z60" s="110" t="s">
        <v>43</v>
      </c>
      <c r="AA60" s="337" t="s">
        <v>91</v>
      </c>
    </row>
    <row r="61" spans="1:27" s="2" customFormat="1" ht="27" customHeight="1">
      <c r="A61" s="475"/>
      <c r="B61" s="487"/>
      <c r="C61" s="490"/>
      <c r="D61" s="493"/>
      <c r="E61" s="496"/>
      <c r="F61" s="490"/>
      <c r="G61" s="499"/>
      <c r="H61" s="499"/>
      <c r="I61" s="490"/>
      <c r="J61" s="499"/>
      <c r="K61" s="499"/>
      <c r="L61" s="499"/>
      <c r="M61" s="499"/>
      <c r="N61" s="337" t="s">
        <v>126</v>
      </c>
      <c r="O61" s="337" t="s">
        <v>127</v>
      </c>
      <c r="P61" s="76" t="s">
        <v>27</v>
      </c>
      <c r="Q61" s="105">
        <v>15</v>
      </c>
      <c r="R61" s="105">
        <v>15</v>
      </c>
      <c r="S61" s="337" t="s">
        <v>128</v>
      </c>
      <c r="T61" s="104">
        <v>2.3584999999999998</v>
      </c>
      <c r="U61" s="344">
        <f t="shared" si="0"/>
        <v>0.15723333333333331</v>
      </c>
      <c r="V61" s="502"/>
      <c r="W61" s="502"/>
      <c r="X61" s="505"/>
      <c r="Y61" s="505"/>
      <c r="Z61" s="110" t="s">
        <v>43</v>
      </c>
      <c r="AA61" s="337" t="s">
        <v>91</v>
      </c>
    </row>
    <row r="62" spans="1:27" s="2" customFormat="1" ht="27" customHeight="1">
      <c r="A62" s="475"/>
      <c r="B62" s="487"/>
      <c r="C62" s="490"/>
      <c r="D62" s="493"/>
      <c r="E62" s="496"/>
      <c r="F62" s="490"/>
      <c r="G62" s="499"/>
      <c r="H62" s="499"/>
      <c r="I62" s="490"/>
      <c r="J62" s="499"/>
      <c r="K62" s="499"/>
      <c r="L62" s="499"/>
      <c r="M62" s="499"/>
      <c r="N62" s="337" t="s">
        <v>129</v>
      </c>
      <c r="O62" s="337" t="s">
        <v>130</v>
      </c>
      <c r="P62" s="76" t="s">
        <v>27</v>
      </c>
      <c r="Q62" s="105">
        <v>0.3</v>
      </c>
      <c r="R62" s="105">
        <v>0.3</v>
      </c>
      <c r="S62" s="337" t="s">
        <v>131</v>
      </c>
      <c r="T62" s="104">
        <v>0.16309999999999999</v>
      </c>
      <c r="U62" s="344">
        <f t="shared" si="0"/>
        <v>0.54366666666666663</v>
      </c>
      <c r="V62" s="502"/>
      <c r="W62" s="502"/>
      <c r="X62" s="505"/>
      <c r="Y62" s="505"/>
      <c r="Z62" s="110" t="s">
        <v>43</v>
      </c>
      <c r="AA62" s="337" t="s">
        <v>91</v>
      </c>
    </row>
    <row r="63" spans="1:27" s="2" customFormat="1" ht="27" customHeight="1">
      <c r="A63" s="475"/>
      <c r="B63" s="487"/>
      <c r="C63" s="490"/>
      <c r="D63" s="493"/>
      <c r="E63" s="496"/>
      <c r="F63" s="490"/>
      <c r="G63" s="499"/>
      <c r="H63" s="499"/>
      <c r="I63" s="490"/>
      <c r="J63" s="499"/>
      <c r="K63" s="499"/>
      <c r="L63" s="499"/>
      <c r="M63" s="499"/>
      <c r="N63" s="337" t="s">
        <v>132</v>
      </c>
      <c r="O63" s="337" t="s">
        <v>133</v>
      </c>
      <c r="P63" s="76" t="s">
        <v>27</v>
      </c>
      <c r="Q63" s="105">
        <v>1.8</v>
      </c>
      <c r="R63" s="105">
        <v>1.8</v>
      </c>
      <c r="S63" s="337" t="s">
        <v>134</v>
      </c>
      <c r="T63" s="104">
        <v>1.0088999999999999</v>
      </c>
      <c r="U63" s="344">
        <f t="shared" si="0"/>
        <v>0.56049999999999989</v>
      </c>
      <c r="V63" s="502"/>
      <c r="W63" s="502"/>
      <c r="X63" s="505"/>
      <c r="Y63" s="505"/>
      <c r="Z63" s="110" t="s">
        <v>43</v>
      </c>
      <c r="AA63" s="337" t="s">
        <v>91</v>
      </c>
    </row>
    <row r="64" spans="1:27" s="2" customFormat="1" ht="27" customHeight="1">
      <c r="A64" s="475"/>
      <c r="B64" s="487"/>
      <c r="C64" s="490"/>
      <c r="D64" s="493"/>
      <c r="E64" s="496"/>
      <c r="F64" s="490"/>
      <c r="G64" s="499"/>
      <c r="H64" s="499"/>
      <c r="I64" s="490"/>
      <c r="J64" s="499"/>
      <c r="K64" s="499"/>
      <c r="L64" s="499"/>
      <c r="M64" s="499"/>
      <c r="N64" s="337" t="s">
        <v>135</v>
      </c>
      <c r="O64" s="337" t="s">
        <v>136</v>
      </c>
      <c r="P64" s="76" t="s">
        <v>27</v>
      </c>
      <c r="Q64" s="105">
        <v>1.3</v>
      </c>
      <c r="R64" s="105">
        <v>1.3</v>
      </c>
      <c r="S64" s="337" t="s">
        <v>137</v>
      </c>
      <c r="T64" s="104">
        <v>0.76070000000000004</v>
      </c>
      <c r="U64" s="344">
        <f t="shared" si="0"/>
        <v>0.58515384615384614</v>
      </c>
      <c r="V64" s="502"/>
      <c r="W64" s="502"/>
      <c r="X64" s="505"/>
      <c r="Y64" s="505"/>
      <c r="Z64" s="110" t="s">
        <v>43</v>
      </c>
      <c r="AA64" s="337" t="s">
        <v>91</v>
      </c>
    </row>
    <row r="65" spans="1:27" s="2" customFormat="1" ht="27" customHeight="1">
      <c r="A65" s="475"/>
      <c r="B65" s="487"/>
      <c r="C65" s="490"/>
      <c r="D65" s="493"/>
      <c r="E65" s="496"/>
      <c r="F65" s="490"/>
      <c r="G65" s="499"/>
      <c r="H65" s="499"/>
      <c r="I65" s="490"/>
      <c r="J65" s="499"/>
      <c r="K65" s="499"/>
      <c r="L65" s="499"/>
      <c r="M65" s="499"/>
      <c r="N65" s="337" t="s">
        <v>138</v>
      </c>
      <c r="O65" s="337" t="s">
        <v>1901</v>
      </c>
      <c r="P65" s="76" t="s">
        <v>27</v>
      </c>
      <c r="Q65" s="105">
        <v>6</v>
      </c>
      <c r="R65" s="105">
        <v>6</v>
      </c>
      <c r="S65" s="337"/>
      <c r="T65" s="104"/>
      <c r="U65" s="344">
        <f t="shared" si="0"/>
        <v>0</v>
      </c>
      <c r="V65" s="502"/>
      <c r="W65" s="502"/>
      <c r="X65" s="505"/>
      <c r="Y65" s="505"/>
      <c r="Z65" s="110" t="s">
        <v>43</v>
      </c>
      <c r="AA65" s="337" t="s">
        <v>91</v>
      </c>
    </row>
    <row r="66" spans="1:27" s="2" customFormat="1" ht="27" customHeight="1">
      <c r="A66" s="475"/>
      <c r="B66" s="487"/>
      <c r="C66" s="490"/>
      <c r="D66" s="493"/>
      <c r="E66" s="496"/>
      <c r="F66" s="490"/>
      <c r="G66" s="499"/>
      <c r="H66" s="499"/>
      <c r="I66" s="490"/>
      <c r="J66" s="499"/>
      <c r="K66" s="499"/>
      <c r="L66" s="499"/>
      <c r="M66" s="499"/>
      <c r="N66" s="337" t="s">
        <v>139</v>
      </c>
      <c r="O66" s="337" t="s">
        <v>140</v>
      </c>
      <c r="P66" s="76" t="s">
        <v>27</v>
      </c>
      <c r="Q66" s="105">
        <v>0.5</v>
      </c>
      <c r="R66" s="105">
        <v>0.5</v>
      </c>
      <c r="S66" s="337"/>
      <c r="T66" s="104"/>
      <c r="U66" s="344">
        <f t="shared" si="0"/>
        <v>0</v>
      </c>
      <c r="V66" s="502"/>
      <c r="W66" s="502"/>
      <c r="X66" s="505"/>
      <c r="Y66" s="505"/>
      <c r="Z66" s="110" t="s">
        <v>43</v>
      </c>
      <c r="AA66" s="337" t="s">
        <v>141</v>
      </c>
    </row>
    <row r="67" spans="1:27" s="2" customFormat="1" ht="27" customHeight="1">
      <c r="A67" s="475"/>
      <c r="B67" s="488"/>
      <c r="C67" s="491"/>
      <c r="D67" s="494"/>
      <c r="E67" s="497"/>
      <c r="F67" s="491"/>
      <c r="G67" s="500"/>
      <c r="H67" s="500"/>
      <c r="I67" s="491"/>
      <c r="J67" s="500"/>
      <c r="K67" s="500"/>
      <c r="L67" s="500"/>
      <c r="M67" s="500"/>
      <c r="N67" s="337" t="s">
        <v>142</v>
      </c>
      <c r="O67" s="337" t="s">
        <v>143</v>
      </c>
      <c r="P67" s="76" t="s">
        <v>27</v>
      </c>
      <c r="Q67" s="105">
        <v>1</v>
      </c>
      <c r="R67" s="105">
        <v>1</v>
      </c>
      <c r="S67" s="337"/>
      <c r="T67" s="104"/>
      <c r="U67" s="344">
        <f t="shared" si="0"/>
        <v>0</v>
      </c>
      <c r="V67" s="503"/>
      <c r="W67" s="503"/>
      <c r="X67" s="506"/>
      <c r="Y67" s="506"/>
      <c r="Z67" s="110" t="s">
        <v>43</v>
      </c>
      <c r="AA67" s="337" t="s">
        <v>141</v>
      </c>
    </row>
    <row r="68" spans="1:27" s="2" customFormat="1" ht="27" customHeight="1">
      <c r="A68" s="475"/>
      <c r="B68" s="486">
        <v>8</v>
      </c>
      <c r="C68" s="489" t="s">
        <v>1902</v>
      </c>
      <c r="D68" s="492" t="s">
        <v>2044</v>
      </c>
      <c r="E68" s="495" t="s">
        <v>2045</v>
      </c>
      <c r="F68" s="489" t="s">
        <v>144</v>
      </c>
      <c r="G68" s="498">
        <v>124</v>
      </c>
      <c r="H68" s="498">
        <v>0.72</v>
      </c>
      <c r="I68" s="489" t="s">
        <v>39</v>
      </c>
      <c r="J68" s="498">
        <v>44</v>
      </c>
      <c r="K68" s="498"/>
      <c r="L68" s="498"/>
      <c r="M68" s="498">
        <f>G68+H68+J68+L68</f>
        <v>168.72</v>
      </c>
      <c r="N68" s="337" t="s">
        <v>145</v>
      </c>
      <c r="O68" s="337" t="s">
        <v>146</v>
      </c>
      <c r="P68" s="76" t="s">
        <v>27</v>
      </c>
      <c r="Q68" s="105">
        <v>2.81</v>
      </c>
      <c r="R68" s="105">
        <v>2.81</v>
      </c>
      <c r="S68" s="337" t="s">
        <v>147</v>
      </c>
      <c r="T68" s="104">
        <v>2.35</v>
      </c>
      <c r="U68" s="112">
        <f>T68/Q68</f>
        <v>0.83629893238434161</v>
      </c>
      <c r="V68" s="509">
        <f>SUM(Q68:Q70)</f>
        <v>21.132200000000001</v>
      </c>
      <c r="W68" s="509">
        <f>SUM(T68:T70)</f>
        <v>2.9962</v>
      </c>
      <c r="X68" s="512">
        <f>W68/V68</f>
        <v>0.14178362877504472</v>
      </c>
      <c r="Y68" s="512">
        <f>W68/M68</f>
        <v>1.7758416311047891E-2</v>
      </c>
      <c r="Z68" s="337" t="s">
        <v>148</v>
      </c>
      <c r="AA68" s="331"/>
    </row>
    <row r="69" spans="1:27" s="2" customFormat="1" ht="27" customHeight="1">
      <c r="A69" s="475"/>
      <c r="B69" s="487"/>
      <c r="C69" s="490"/>
      <c r="D69" s="493"/>
      <c r="E69" s="496"/>
      <c r="F69" s="490"/>
      <c r="G69" s="499"/>
      <c r="H69" s="499"/>
      <c r="I69" s="490"/>
      <c r="J69" s="499"/>
      <c r="K69" s="499"/>
      <c r="L69" s="499"/>
      <c r="M69" s="499"/>
      <c r="N69" s="337" t="s">
        <v>149</v>
      </c>
      <c r="O69" s="337" t="s">
        <v>150</v>
      </c>
      <c r="P69" s="76" t="s">
        <v>27</v>
      </c>
      <c r="Q69" s="105">
        <v>0.75990000000000002</v>
      </c>
      <c r="R69" s="105">
        <v>0.75990000000000002</v>
      </c>
      <c r="S69" s="337" t="s">
        <v>151</v>
      </c>
      <c r="T69" s="104">
        <v>0.6462</v>
      </c>
      <c r="U69" s="112">
        <f>T69/Q69</f>
        <v>0.85037504934859842</v>
      </c>
      <c r="V69" s="510"/>
      <c r="W69" s="510"/>
      <c r="X69" s="513"/>
      <c r="Y69" s="513"/>
      <c r="Z69" s="337" t="s">
        <v>148</v>
      </c>
      <c r="AA69" s="331"/>
    </row>
    <row r="70" spans="1:27" s="2" customFormat="1" ht="27" hidden="1" customHeight="1">
      <c r="A70" s="475"/>
      <c r="B70" s="488"/>
      <c r="C70" s="491"/>
      <c r="D70" s="494"/>
      <c r="E70" s="497"/>
      <c r="F70" s="491"/>
      <c r="G70" s="500"/>
      <c r="H70" s="500"/>
      <c r="I70" s="491"/>
      <c r="J70" s="500"/>
      <c r="K70" s="500"/>
      <c r="L70" s="500"/>
      <c r="M70" s="500"/>
      <c r="N70" s="337" t="s">
        <v>152</v>
      </c>
      <c r="O70" s="337" t="s">
        <v>153</v>
      </c>
      <c r="P70" s="76" t="s">
        <v>36</v>
      </c>
      <c r="Q70" s="105">
        <v>17.5623</v>
      </c>
      <c r="R70" s="105">
        <v>171.95500000000001</v>
      </c>
      <c r="S70" s="337" t="s">
        <v>154</v>
      </c>
      <c r="T70" s="104"/>
      <c r="U70" s="337"/>
      <c r="V70" s="511"/>
      <c r="W70" s="511"/>
      <c r="X70" s="514"/>
      <c r="Y70" s="514"/>
      <c r="Z70" s="337" t="s">
        <v>148</v>
      </c>
      <c r="AA70" s="331"/>
    </row>
    <row r="71" spans="1:27" s="2" customFormat="1" ht="27" hidden="1" customHeight="1">
      <c r="A71" s="475"/>
      <c r="B71" s="486">
        <v>9</v>
      </c>
      <c r="C71" s="515" t="s">
        <v>155</v>
      </c>
      <c r="D71" s="492">
        <v>316366.5</v>
      </c>
      <c r="E71" s="495" t="s">
        <v>2046</v>
      </c>
      <c r="F71" s="332" t="s">
        <v>156</v>
      </c>
      <c r="G71" s="333">
        <v>1109.0676000000001</v>
      </c>
      <c r="H71" s="333"/>
      <c r="I71" s="332"/>
      <c r="J71" s="333"/>
      <c r="K71" s="333"/>
      <c r="L71" s="333"/>
      <c r="M71" s="498">
        <f>G71+H72</f>
        <v>1110.5676000000001</v>
      </c>
      <c r="N71" s="332">
        <v>2012.6</v>
      </c>
      <c r="O71" s="332" t="s">
        <v>157</v>
      </c>
      <c r="P71" s="76" t="s">
        <v>36</v>
      </c>
      <c r="Q71" s="102">
        <v>610.5</v>
      </c>
      <c r="R71" s="102">
        <v>1420.2</v>
      </c>
      <c r="S71" s="332" t="s">
        <v>158</v>
      </c>
      <c r="T71" s="333">
        <v>588.03200000000004</v>
      </c>
      <c r="U71" s="113">
        <f>T71/Q71</f>
        <v>0.96319737919737924</v>
      </c>
      <c r="V71" s="101">
        <f>Q71</f>
        <v>610.5</v>
      </c>
      <c r="W71" s="101">
        <f>T71</f>
        <v>588.03200000000004</v>
      </c>
      <c r="X71" s="103">
        <f>W71/V71</f>
        <v>0.96319737919737924</v>
      </c>
      <c r="Y71" s="103">
        <f>W71/M71</f>
        <v>0.52948780425432906</v>
      </c>
      <c r="Z71" s="332" t="s">
        <v>159</v>
      </c>
      <c r="AA71" s="331"/>
    </row>
    <row r="72" spans="1:27" s="2" customFormat="1" ht="27" hidden="1" customHeight="1">
      <c r="A72" s="475"/>
      <c r="B72" s="488"/>
      <c r="C72" s="516"/>
      <c r="D72" s="494"/>
      <c r="E72" s="497"/>
      <c r="F72" s="332" t="s">
        <v>24</v>
      </c>
      <c r="G72" s="333"/>
      <c r="H72" s="333">
        <v>1.5</v>
      </c>
      <c r="I72" s="332"/>
      <c r="J72" s="333"/>
      <c r="K72" s="333"/>
      <c r="L72" s="333"/>
      <c r="M72" s="500"/>
      <c r="N72" s="332"/>
      <c r="O72" s="332"/>
      <c r="P72" s="332"/>
      <c r="Q72" s="102"/>
      <c r="R72" s="102"/>
      <c r="S72" s="332"/>
      <c r="T72" s="333"/>
      <c r="U72" s="344">
        <v>0</v>
      </c>
      <c r="V72" s="101"/>
      <c r="W72" s="101"/>
      <c r="X72" s="101"/>
      <c r="Y72" s="101"/>
      <c r="Z72" s="332" t="s">
        <v>159</v>
      </c>
      <c r="AA72" s="331"/>
    </row>
    <row r="73" spans="1:27" s="2" customFormat="1" ht="27" hidden="1" customHeight="1">
      <c r="A73" s="475"/>
      <c r="B73" s="486">
        <v>10</v>
      </c>
      <c r="C73" s="526" t="s">
        <v>160</v>
      </c>
      <c r="D73" s="492">
        <v>66715.59</v>
      </c>
      <c r="E73" s="495" t="s">
        <v>2047</v>
      </c>
      <c r="F73" s="523" t="s">
        <v>161</v>
      </c>
      <c r="G73" s="520">
        <f>910.915968/4</f>
        <v>227.72899200000001</v>
      </c>
      <c r="H73" s="520"/>
      <c r="I73" s="523" t="s">
        <v>162</v>
      </c>
      <c r="J73" s="520">
        <f>146.706/4</f>
        <v>36.676499999999997</v>
      </c>
      <c r="K73" s="520" t="s">
        <v>163</v>
      </c>
      <c r="L73" s="520" t="s">
        <v>163</v>
      </c>
      <c r="M73" s="520">
        <f>G73+J73</f>
        <v>264.40549199999998</v>
      </c>
      <c r="N73" s="331" t="s">
        <v>164</v>
      </c>
      <c r="O73" s="331" t="s">
        <v>165</v>
      </c>
      <c r="P73" s="76" t="s">
        <v>36</v>
      </c>
      <c r="Q73" s="100">
        <v>11.5</v>
      </c>
      <c r="R73" s="100">
        <v>15</v>
      </c>
      <c r="S73" s="331" t="s">
        <v>166</v>
      </c>
      <c r="T73" s="330">
        <v>5.1308999999999996</v>
      </c>
      <c r="U73" s="344">
        <f t="shared" ref="U73:U92" si="2">T73/Q73</f>
        <v>0.44616521739130433</v>
      </c>
      <c r="V73" s="501">
        <f>SUM(Q73:Q88)</f>
        <v>48.636000000000003</v>
      </c>
      <c r="W73" s="501">
        <f>SUM(T73:T88)</f>
        <v>26.027644000000009</v>
      </c>
      <c r="X73" s="504">
        <f>W73/V73</f>
        <v>0.53515182169586328</v>
      </c>
      <c r="Y73" s="504">
        <f>W73/M73</f>
        <v>9.843836375380588E-2</v>
      </c>
      <c r="Z73" s="331" t="s">
        <v>167</v>
      </c>
      <c r="AA73" s="331"/>
    </row>
    <row r="74" spans="1:27" s="2" customFormat="1" ht="27" hidden="1" customHeight="1">
      <c r="A74" s="475"/>
      <c r="B74" s="487"/>
      <c r="C74" s="527"/>
      <c r="D74" s="493"/>
      <c r="E74" s="496"/>
      <c r="F74" s="524"/>
      <c r="G74" s="521"/>
      <c r="H74" s="521"/>
      <c r="I74" s="524"/>
      <c r="J74" s="521"/>
      <c r="K74" s="521"/>
      <c r="L74" s="521"/>
      <c r="M74" s="521"/>
      <c r="N74" s="331" t="s">
        <v>168</v>
      </c>
      <c r="O74" s="331" t="s">
        <v>169</v>
      </c>
      <c r="P74" s="76" t="s">
        <v>36</v>
      </c>
      <c r="Q74" s="100">
        <v>6</v>
      </c>
      <c r="R74" s="100">
        <v>12</v>
      </c>
      <c r="S74" s="331" t="s">
        <v>170</v>
      </c>
      <c r="T74" s="330">
        <v>1.7592859999999999</v>
      </c>
      <c r="U74" s="344">
        <f t="shared" si="2"/>
        <v>0.2932143333333333</v>
      </c>
      <c r="V74" s="502"/>
      <c r="W74" s="502"/>
      <c r="X74" s="505"/>
      <c r="Y74" s="505"/>
      <c r="Z74" s="331" t="s">
        <v>167</v>
      </c>
      <c r="AA74" s="331"/>
    </row>
    <row r="75" spans="1:27" s="2" customFormat="1" ht="27" hidden="1" customHeight="1">
      <c r="A75" s="475"/>
      <c r="B75" s="487"/>
      <c r="C75" s="527"/>
      <c r="D75" s="493"/>
      <c r="E75" s="496"/>
      <c r="F75" s="524"/>
      <c r="G75" s="521"/>
      <c r="H75" s="521"/>
      <c r="I75" s="524"/>
      <c r="J75" s="521"/>
      <c r="K75" s="521"/>
      <c r="L75" s="521"/>
      <c r="M75" s="521"/>
      <c r="N75" s="331" t="s">
        <v>171</v>
      </c>
      <c r="O75" s="331" t="s">
        <v>172</v>
      </c>
      <c r="P75" s="76" t="s">
        <v>36</v>
      </c>
      <c r="Q75" s="100">
        <v>2.5</v>
      </c>
      <c r="R75" s="100">
        <v>5</v>
      </c>
      <c r="S75" s="331" t="s">
        <v>173</v>
      </c>
      <c r="T75" s="330">
        <v>1.0864</v>
      </c>
      <c r="U75" s="344">
        <f t="shared" si="2"/>
        <v>0.43456</v>
      </c>
      <c r="V75" s="502"/>
      <c r="W75" s="502"/>
      <c r="X75" s="505"/>
      <c r="Y75" s="505"/>
      <c r="Z75" s="331" t="s">
        <v>167</v>
      </c>
      <c r="AA75" s="331"/>
    </row>
    <row r="76" spans="1:27" s="2" customFormat="1" ht="27" hidden="1" customHeight="1">
      <c r="A76" s="475"/>
      <c r="B76" s="487"/>
      <c r="C76" s="527"/>
      <c r="D76" s="493"/>
      <c r="E76" s="496"/>
      <c r="F76" s="524"/>
      <c r="G76" s="521"/>
      <c r="H76" s="521"/>
      <c r="I76" s="524"/>
      <c r="J76" s="521"/>
      <c r="K76" s="521"/>
      <c r="L76" s="521"/>
      <c r="M76" s="521"/>
      <c r="N76" s="331" t="s">
        <v>174</v>
      </c>
      <c r="O76" s="331" t="s">
        <v>175</v>
      </c>
      <c r="P76" s="76" t="s">
        <v>36</v>
      </c>
      <c r="Q76" s="100">
        <v>9</v>
      </c>
      <c r="R76" s="100">
        <v>13</v>
      </c>
      <c r="S76" s="331" t="s">
        <v>176</v>
      </c>
      <c r="T76" s="330">
        <v>2.8677839999999999</v>
      </c>
      <c r="U76" s="344">
        <f t="shared" si="2"/>
        <v>0.31864266666666663</v>
      </c>
      <c r="V76" s="502"/>
      <c r="W76" s="502"/>
      <c r="X76" s="505"/>
      <c r="Y76" s="505"/>
      <c r="Z76" s="331" t="s">
        <v>167</v>
      </c>
      <c r="AA76" s="331"/>
    </row>
    <row r="77" spans="1:27" s="2" customFormat="1" ht="27" customHeight="1">
      <c r="A77" s="475"/>
      <c r="B77" s="487"/>
      <c r="C77" s="527"/>
      <c r="D77" s="493"/>
      <c r="E77" s="496"/>
      <c r="F77" s="524"/>
      <c r="G77" s="521"/>
      <c r="H77" s="521"/>
      <c r="I77" s="524"/>
      <c r="J77" s="521"/>
      <c r="K77" s="521"/>
      <c r="L77" s="521"/>
      <c r="M77" s="521"/>
      <c r="N77" s="331" t="s">
        <v>177</v>
      </c>
      <c r="O77" s="331" t="s">
        <v>178</v>
      </c>
      <c r="P77" s="76" t="s">
        <v>27</v>
      </c>
      <c r="Q77" s="100">
        <v>0.9</v>
      </c>
      <c r="R77" s="100">
        <v>1</v>
      </c>
      <c r="S77" s="331" t="s">
        <v>179</v>
      </c>
      <c r="T77" s="330">
        <v>0.81006199999999995</v>
      </c>
      <c r="U77" s="344">
        <f t="shared" si="2"/>
        <v>0.90006888888888881</v>
      </c>
      <c r="V77" s="502"/>
      <c r="W77" s="502"/>
      <c r="X77" s="505"/>
      <c r="Y77" s="505"/>
      <c r="Z77" s="331" t="s">
        <v>167</v>
      </c>
      <c r="AA77" s="331"/>
    </row>
    <row r="78" spans="1:27" s="2" customFormat="1" ht="27" customHeight="1">
      <c r="A78" s="475"/>
      <c r="B78" s="487"/>
      <c r="C78" s="527"/>
      <c r="D78" s="493"/>
      <c r="E78" s="496"/>
      <c r="F78" s="524"/>
      <c r="G78" s="521"/>
      <c r="H78" s="521"/>
      <c r="I78" s="524"/>
      <c r="J78" s="521"/>
      <c r="K78" s="521"/>
      <c r="L78" s="521"/>
      <c r="M78" s="521"/>
      <c r="N78" s="331" t="s">
        <v>180</v>
      </c>
      <c r="O78" s="331" t="s">
        <v>181</v>
      </c>
      <c r="P78" s="76" t="s">
        <v>27</v>
      </c>
      <c r="Q78" s="100">
        <v>1.1000000000000001</v>
      </c>
      <c r="R78" s="100">
        <v>1.5</v>
      </c>
      <c r="S78" s="331" t="s">
        <v>182</v>
      </c>
      <c r="T78" s="330">
        <v>1.09857</v>
      </c>
      <c r="U78" s="344">
        <f t="shared" si="2"/>
        <v>0.99869999999999992</v>
      </c>
      <c r="V78" s="502"/>
      <c r="W78" s="502"/>
      <c r="X78" s="505"/>
      <c r="Y78" s="505"/>
      <c r="Z78" s="331" t="s">
        <v>167</v>
      </c>
      <c r="AA78" s="331"/>
    </row>
    <row r="79" spans="1:27" s="2" customFormat="1" ht="27" customHeight="1">
      <c r="A79" s="475"/>
      <c r="B79" s="487"/>
      <c r="C79" s="527"/>
      <c r="D79" s="493"/>
      <c r="E79" s="496"/>
      <c r="F79" s="524"/>
      <c r="G79" s="521"/>
      <c r="H79" s="521"/>
      <c r="I79" s="524"/>
      <c r="J79" s="521"/>
      <c r="K79" s="521"/>
      <c r="L79" s="521"/>
      <c r="M79" s="521"/>
      <c r="N79" s="331" t="s">
        <v>183</v>
      </c>
      <c r="O79" s="331" t="s">
        <v>181</v>
      </c>
      <c r="P79" s="76" t="s">
        <v>27</v>
      </c>
      <c r="Q79" s="100">
        <v>1.2</v>
      </c>
      <c r="R79" s="100">
        <v>1.5</v>
      </c>
      <c r="S79" s="331" t="s">
        <v>184</v>
      </c>
      <c r="T79" s="330">
        <v>1.3035920000000001</v>
      </c>
      <c r="U79" s="344">
        <f t="shared" si="2"/>
        <v>1.0863266666666669</v>
      </c>
      <c r="V79" s="502"/>
      <c r="W79" s="502"/>
      <c r="X79" s="505"/>
      <c r="Y79" s="505"/>
      <c r="Z79" s="331" t="s">
        <v>167</v>
      </c>
      <c r="AA79" s="331"/>
    </row>
    <row r="80" spans="1:27" s="2" customFormat="1" ht="27" customHeight="1">
      <c r="A80" s="475"/>
      <c r="B80" s="487"/>
      <c r="C80" s="527"/>
      <c r="D80" s="493"/>
      <c r="E80" s="496"/>
      <c r="F80" s="524"/>
      <c r="G80" s="521"/>
      <c r="H80" s="521"/>
      <c r="I80" s="524"/>
      <c r="J80" s="521"/>
      <c r="K80" s="521"/>
      <c r="L80" s="521"/>
      <c r="M80" s="521"/>
      <c r="N80" s="331" t="s">
        <v>185</v>
      </c>
      <c r="O80" s="331" t="s">
        <v>186</v>
      </c>
      <c r="P80" s="76" t="s">
        <v>27</v>
      </c>
      <c r="Q80" s="100">
        <v>0.8</v>
      </c>
      <c r="R80" s="100">
        <v>0.9</v>
      </c>
      <c r="S80" s="331" t="s">
        <v>187</v>
      </c>
      <c r="T80" s="330">
        <v>0.87743400000000005</v>
      </c>
      <c r="U80" s="344">
        <f t="shared" si="2"/>
        <v>1.0967925000000001</v>
      </c>
      <c r="V80" s="502"/>
      <c r="W80" s="502"/>
      <c r="X80" s="505"/>
      <c r="Y80" s="505"/>
      <c r="Z80" s="331" t="s">
        <v>167</v>
      </c>
      <c r="AA80" s="331"/>
    </row>
    <row r="81" spans="1:27" s="2" customFormat="1" ht="27" customHeight="1">
      <c r="A81" s="475"/>
      <c r="B81" s="487"/>
      <c r="C81" s="527"/>
      <c r="D81" s="493"/>
      <c r="E81" s="496"/>
      <c r="F81" s="524"/>
      <c r="G81" s="521"/>
      <c r="H81" s="521"/>
      <c r="I81" s="524"/>
      <c r="J81" s="521"/>
      <c r="K81" s="521"/>
      <c r="L81" s="521"/>
      <c r="M81" s="521"/>
      <c r="N81" s="331" t="s">
        <v>188</v>
      </c>
      <c r="O81" s="331" t="s">
        <v>189</v>
      </c>
      <c r="P81" s="76" t="s">
        <v>27</v>
      </c>
      <c r="Q81" s="100">
        <v>2.7</v>
      </c>
      <c r="R81" s="100">
        <v>2.7</v>
      </c>
      <c r="S81" s="331" t="s">
        <v>190</v>
      </c>
      <c r="T81" s="330">
        <v>2.553388</v>
      </c>
      <c r="U81" s="344">
        <f t="shared" si="2"/>
        <v>0.94569925925925924</v>
      </c>
      <c r="V81" s="502"/>
      <c r="W81" s="502"/>
      <c r="X81" s="505"/>
      <c r="Y81" s="505"/>
      <c r="Z81" s="331" t="s">
        <v>167</v>
      </c>
      <c r="AA81" s="331"/>
    </row>
    <row r="82" spans="1:27" s="2" customFormat="1" ht="27" customHeight="1">
      <c r="A82" s="475"/>
      <c r="B82" s="487"/>
      <c r="C82" s="527"/>
      <c r="D82" s="493"/>
      <c r="E82" s="496"/>
      <c r="F82" s="524"/>
      <c r="G82" s="521"/>
      <c r="H82" s="521"/>
      <c r="I82" s="524"/>
      <c r="J82" s="521"/>
      <c r="K82" s="521"/>
      <c r="L82" s="521"/>
      <c r="M82" s="521"/>
      <c r="N82" s="331" t="s">
        <v>191</v>
      </c>
      <c r="O82" s="331" t="s">
        <v>181</v>
      </c>
      <c r="P82" s="76" t="s">
        <v>27</v>
      </c>
      <c r="Q82" s="100">
        <v>0.18</v>
      </c>
      <c r="R82" s="100">
        <v>0.2</v>
      </c>
      <c r="S82" s="331" t="s">
        <v>192</v>
      </c>
      <c r="T82" s="330">
        <v>0.167795</v>
      </c>
      <c r="U82" s="344">
        <f t="shared" si="2"/>
        <v>0.93219444444444444</v>
      </c>
      <c r="V82" s="502"/>
      <c r="W82" s="502"/>
      <c r="X82" s="505"/>
      <c r="Y82" s="505"/>
      <c r="Z82" s="331" t="s">
        <v>167</v>
      </c>
      <c r="AA82" s="331"/>
    </row>
    <row r="83" spans="1:27" s="2" customFormat="1" ht="27" customHeight="1">
      <c r="A83" s="475"/>
      <c r="B83" s="487"/>
      <c r="C83" s="527"/>
      <c r="D83" s="493"/>
      <c r="E83" s="496"/>
      <c r="F83" s="524"/>
      <c r="G83" s="521"/>
      <c r="H83" s="521"/>
      <c r="I83" s="524"/>
      <c r="J83" s="521"/>
      <c r="K83" s="521"/>
      <c r="L83" s="521"/>
      <c r="M83" s="521"/>
      <c r="N83" s="331" t="s">
        <v>193</v>
      </c>
      <c r="O83" s="331" t="s">
        <v>194</v>
      </c>
      <c r="P83" s="76" t="s">
        <v>27</v>
      </c>
      <c r="Q83" s="100">
        <v>4.2</v>
      </c>
      <c r="R83" s="100">
        <v>3.9</v>
      </c>
      <c r="S83" s="331" t="s">
        <v>195</v>
      </c>
      <c r="T83" s="330">
        <v>3.3302239999999999</v>
      </c>
      <c r="U83" s="344">
        <f t="shared" si="2"/>
        <v>0.79291047619047617</v>
      </c>
      <c r="V83" s="502"/>
      <c r="W83" s="502"/>
      <c r="X83" s="505"/>
      <c r="Y83" s="505"/>
      <c r="Z83" s="331" t="s">
        <v>167</v>
      </c>
      <c r="AA83" s="331"/>
    </row>
    <row r="84" spans="1:27" s="2" customFormat="1" ht="27" customHeight="1">
      <c r="A84" s="475"/>
      <c r="B84" s="487"/>
      <c r="C84" s="527"/>
      <c r="D84" s="493"/>
      <c r="E84" s="496"/>
      <c r="F84" s="524"/>
      <c r="G84" s="521"/>
      <c r="H84" s="521"/>
      <c r="I84" s="524"/>
      <c r="J84" s="521"/>
      <c r="K84" s="521"/>
      <c r="L84" s="521"/>
      <c r="M84" s="521"/>
      <c r="N84" s="331" t="s">
        <v>196</v>
      </c>
      <c r="O84" s="331" t="s">
        <v>197</v>
      </c>
      <c r="P84" s="76" t="s">
        <v>27</v>
      </c>
      <c r="Q84" s="100">
        <v>1</v>
      </c>
      <c r="R84" s="100">
        <v>1.2</v>
      </c>
      <c r="S84" s="331" t="s">
        <v>198</v>
      </c>
      <c r="T84" s="330">
        <v>0.85982499999999995</v>
      </c>
      <c r="U84" s="344">
        <f t="shared" si="2"/>
        <v>0.85982499999999995</v>
      </c>
      <c r="V84" s="502"/>
      <c r="W84" s="502"/>
      <c r="X84" s="505"/>
      <c r="Y84" s="505"/>
      <c r="Z84" s="331" t="s">
        <v>167</v>
      </c>
      <c r="AA84" s="331"/>
    </row>
    <row r="85" spans="1:27" s="2" customFormat="1" ht="27" customHeight="1">
      <c r="A85" s="475"/>
      <c r="B85" s="487"/>
      <c r="C85" s="527"/>
      <c r="D85" s="493"/>
      <c r="E85" s="496"/>
      <c r="F85" s="524"/>
      <c r="G85" s="521"/>
      <c r="H85" s="521"/>
      <c r="I85" s="524"/>
      <c r="J85" s="521"/>
      <c r="K85" s="521"/>
      <c r="L85" s="521"/>
      <c r="M85" s="521"/>
      <c r="N85" s="331" t="s">
        <v>199</v>
      </c>
      <c r="O85" s="331" t="s">
        <v>181</v>
      </c>
      <c r="P85" s="76" t="s">
        <v>27</v>
      </c>
      <c r="Q85" s="100">
        <v>1.5</v>
      </c>
      <c r="R85" s="100">
        <v>1.5</v>
      </c>
      <c r="S85" s="331" t="s">
        <v>198</v>
      </c>
      <c r="T85" s="330">
        <v>1.325823</v>
      </c>
      <c r="U85" s="344">
        <f t="shared" si="2"/>
        <v>0.88388199999999995</v>
      </c>
      <c r="V85" s="502"/>
      <c r="W85" s="502"/>
      <c r="X85" s="505"/>
      <c r="Y85" s="505"/>
      <c r="Z85" s="331" t="s">
        <v>167</v>
      </c>
      <c r="AA85" s="331"/>
    </row>
    <row r="86" spans="1:27" s="2" customFormat="1" ht="27" customHeight="1">
      <c r="A86" s="475"/>
      <c r="B86" s="487"/>
      <c r="C86" s="527"/>
      <c r="D86" s="493"/>
      <c r="E86" s="496"/>
      <c r="F86" s="524"/>
      <c r="G86" s="521"/>
      <c r="H86" s="521"/>
      <c r="I86" s="524"/>
      <c r="J86" s="521"/>
      <c r="K86" s="521"/>
      <c r="L86" s="521"/>
      <c r="M86" s="521"/>
      <c r="N86" s="331" t="s">
        <v>200</v>
      </c>
      <c r="O86" s="331" t="s">
        <v>201</v>
      </c>
      <c r="P86" s="76" t="s">
        <v>27</v>
      </c>
      <c r="Q86" s="100">
        <v>2</v>
      </c>
      <c r="R86" s="100">
        <v>1.8</v>
      </c>
      <c r="S86" s="331" t="s">
        <v>202</v>
      </c>
      <c r="T86" s="330">
        <v>1.5118929999999999</v>
      </c>
      <c r="U86" s="344">
        <f t="shared" si="2"/>
        <v>0.75594649999999997</v>
      </c>
      <c r="V86" s="502"/>
      <c r="W86" s="502"/>
      <c r="X86" s="505"/>
      <c r="Y86" s="505"/>
      <c r="Z86" s="331" t="s">
        <v>167</v>
      </c>
      <c r="AA86" s="331"/>
    </row>
    <row r="87" spans="1:27" s="2" customFormat="1" ht="27" customHeight="1">
      <c r="A87" s="475"/>
      <c r="B87" s="487"/>
      <c r="C87" s="527"/>
      <c r="D87" s="493"/>
      <c r="E87" s="496"/>
      <c r="F87" s="524"/>
      <c r="G87" s="521"/>
      <c r="H87" s="521"/>
      <c r="I87" s="524"/>
      <c r="J87" s="521"/>
      <c r="K87" s="521"/>
      <c r="L87" s="521"/>
      <c r="M87" s="521"/>
      <c r="N87" s="331" t="s">
        <v>203</v>
      </c>
      <c r="O87" s="331" t="s">
        <v>204</v>
      </c>
      <c r="P87" s="76" t="s">
        <v>27</v>
      </c>
      <c r="Q87" s="100">
        <v>2</v>
      </c>
      <c r="R87" s="100">
        <v>3</v>
      </c>
      <c r="S87" s="331" t="s">
        <v>205</v>
      </c>
      <c r="T87" s="330">
        <v>6.8959999999999994E-2</v>
      </c>
      <c r="U87" s="344">
        <f t="shared" si="2"/>
        <v>3.4479999999999997E-2</v>
      </c>
      <c r="V87" s="502"/>
      <c r="W87" s="502"/>
      <c r="X87" s="505"/>
      <c r="Y87" s="505"/>
      <c r="Z87" s="331" t="s">
        <v>167</v>
      </c>
      <c r="AA87" s="331"/>
    </row>
    <row r="88" spans="1:27" s="2" customFormat="1" ht="27" customHeight="1">
      <c r="A88" s="475"/>
      <c r="B88" s="488"/>
      <c r="C88" s="528"/>
      <c r="D88" s="494"/>
      <c r="E88" s="497"/>
      <c r="F88" s="525"/>
      <c r="G88" s="522"/>
      <c r="H88" s="522"/>
      <c r="I88" s="525"/>
      <c r="J88" s="522"/>
      <c r="K88" s="522"/>
      <c r="L88" s="522"/>
      <c r="M88" s="522"/>
      <c r="N88" s="331" t="s">
        <v>206</v>
      </c>
      <c r="O88" s="331" t="s">
        <v>207</v>
      </c>
      <c r="P88" s="76" t="s">
        <v>27</v>
      </c>
      <c r="Q88" s="100">
        <v>2.056</v>
      </c>
      <c r="R88" s="100">
        <v>2.056</v>
      </c>
      <c r="S88" s="331" t="s">
        <v>208</v>
      </c>
      <c r="T88" s="330">
        <v>1.2757080000000001</v>
      </c>
      <c r="U88" s="344">
        <f t="shared" si="2"/>
        <v>0.6204805447470817</v>
      </c>
      <c r="V88" s="503"/>
      <c r="W88" s="503"/>
      <c r="X88" s="506"/>
      <c r="Y88" s="506"/>
      <c r="Z88" s="331" t="s">
        <v>167</v>
      </c>
      <c r="AA88" s="331"/>
    </row>
    <row r="89" spans="1:27" s="2" customFormat="1" ht="27" hidden="1" customHeight="1">
      <c r="A89" s="475"/>
      <c r="B89" s="486">
        <v>11</v>
      </c>
      <c r="C89" s="517" t="s">
        <v>209</v>
      </c>
      <c r="D89" s="492" t="s">
        <v>2048</v>
      </c>
      <c r="E89" s="495" t="s">
        <v>2049</v>
      </c>
      <c r="F89" s="517" t="s">
        <v>210</v>
      </c>
      <c r="G89" s="498">
        <v>172.3895</v>
      </c>
      <c r="H89" s="498"/>
      <c r="I89" s="517" t="s">
        <v>211</v>
      </c>
      <c r="J89" s="498">
        <v>57.913499999999999</v>
      </c>
      <c r="K89" s="498"/>
      <c r="L89" s="498"/>
      <c r="M89" s="498">
        <f>SUM(G89,H89,J89,L89)</f>
        <v>230.303</v>
      </c>
      <c r="N89" s="332" t="s">
        <v>212</v>
      </c>
      <c r="O89" s="332" t="s">
        <v>213</v>
      </c>
      <c r="P89" s="76" t="s">
        <v>36</v>
      </c>
      <c r="Q89" s="102">
        <v>0.31019999999999998</v>
      </c>
      <c r="R89" s="102">
        <v>0.438</v>
      </c>
      <c r="S89" s="102" t="s">
        <v>214</v>
      </c>
      <c r="T89" s="333">
        <v>0.2984</v>
      </c>
      <c r="U89" s="344">
        <f t="shared" si="2"/>
        <v>0.9619600257898131</v>
      </c>
      <c r="V89" s="543">
        <f>SUM(Q89:Q92)</f>
        <v>39.9726</v>
      </c>
      <c r="W89" s="543">
        <f>SUM(T89:T92)</f>
        <v>34.193553000000001</v>
      </c>
      <c r="X89" s="504">
        <f>W89/V89</f>
        <v>0.85542479098182256</v>
      </c>
      <c r="Y89" s="504">
        <f>W89/M89</f>
        <v>0.14847202598316131</v>
      </c>
      <c r="Z89" s="332" t="s">
        <v>215</v>
      </c>
      <c r="AA89" s="331"/>
    </row>
    <row r="90" spans="1:27" s="2" customFormat="1" ht="27" hidden="1" customHeight="1">
      <c r="A90" s="475"/>
      <c r="B90" s="487"/>
      <c r="C90" s="518"/>
      <c r="D90" s="493"/>
      <c r="E90" s="496"/>
      <c r="F90" s="518"/>
      <c r="G90" s="499"/>
      <c r="H90" s="499"/>
      <c r="I90" s="518"/>
      <c r="J90" s="499"/>
      <c r="K90" s="499"/>
      <c r="L90" s="499"/>
      <c r="M90" s="499"/>
      <c r="N90" s="332" t="s">
        <v>216</v>
      </c>
      <c r="O90" s="332" t="s">
        <v>217</v>
      </c>
      <c r="P90" s="76" t="s">
        <v>36</v>
      </c>
      <c r="Q90" s="102">
        <v>19.975999999999999</v>
      </c>
      <c r="R90" s="102">
        <v>25.039000000000001</v>
      </c>
      <c r="S90" s="102" t="s">
        <v>214</v>
      </c>
      <c r="T90" s="333">
        <v>17.7315</v>
      </c>
      <c r="U90" s="344">
        <f t="shared" si="2"/>
        <v>0.88764016820184233</v>
      </c>
      <c r="V90" s="502"/>
      <c r="W90" s="502"/>
      <c r="X90" s="505"/>
      <c r="Y90" s="505"/>
      <c r="Z90" s="332" t="s">
        <v>215</v>
      </c>
      <c r="AA90" s="331"/>
    </row>
    <row r="91" spans="1:27" s="2" customFormat="1" ht="27" hidden="1" customHeight="1">
      <c r="A91" s="475"/>
      <c r="B91" s="487"/>
      <c r="C91" s="518"/>
      <c r="D91" s="493"/>
      <c r="E91" s="496"/>
      <c r="F91" s="518"/>
      <c r="G91" s="499"/>
      <c r="H91" s="499"/>
      <c r="I91" s="518"/>
      <c r="J91" s="499"/>
      <c r="K91" s="499"/>
      <c r="L91" s="499"/>
      <c r="M91" s="499"/>
      <c r="N91" s="332" t="s">
        <v>218</v>
      </c>
      <c r="O91" s="332" t="s">
        <v>217</v>
      </c>
      <c r="P91" s="76" t="s">
        <v>36</v>
      </c>
      <c r="Q91" s="102">
        <v>15.8795</v>
      </c>
      <c r="R91" s="102">
        <v>20.8965</v>
      </c>
      <c r="S91" s="102" t="s">
        <v>214</v>
      </c>
      <c r="T91" s="333">
        <v>12.890499999999999</v>
      </c>
      <c r="U91" s="344">
        <f t="shared" si="2"/>
        <v>0.81176989199911831</v>
      </c>
      <c r="V91" s="502"/>
      <c r="W91" s="502"/>
      <c r="X91" s="505"/>
      <c r="Y91" s="505"/>
      <c r="Z91" s="332" t="s">
        <v>215</v>
      </c>
      <c r="AA91" s="331"/>
    </row>
    <row r="92" spans="1:27" s="2" customFormat="1" ht="27" customHeight="1">
      <c r="A92" s="475"/>
      <c r="B92" s="488"/>
      <c r="C92" s="519"/>
      <c r="D92" s="494"/>
      <c r="E92" s="497"/>
      <c r="F92" s="519"/>
      <c r="G92" s="500"/>
      <c r="H92" s="500"/>
      <c r="I92" s="519"/>
      <c r="J92" s="500"/>
      <c r="K92" s="500"/>
      <c r="L92" s="500"/>
      <c r="M92" s="500"/>
      <c r="N92" s="332" t="s">
        <v>219</v>
      </c>
      <c r="O92" s="332" t="s">
        <v>220</v>
      </c>
      <c r="P92" s="76" t="s">
        <v>27</v>
      </c>
      <c r="Q92" s="102">
        <v>3.8069000000000002</v>
      </c>
      <c r="R92" s="102">
        <v>5.5839999999999996</v>
      </c>
      <c r="S92" s="102" t="s">
        <v>221</v>
      </c>
      <c r="T92" s="333">
        <v>3.2731529999999998</v>
      </c>
      <c r="U92" s="344">
        <f t="shared" si="2"/>
        <v>0.85979484620032032</v>
      </c>
      <c r="V92" s="503"/>
      <c r="W92" s="503"/>
      <c r="X92" s="506"/>
      <c r="Y92" s="506"/>
      <c r="Z92" s="332" t="s">
        <v>215</v>
      </c>
      <c r="AA92" s="331"/>
    </row>
    <row r="93" spans="1:27" s="2" customFormat="1" ht="27" hidden="1" customHeight="1">
      <c r="A93" s="475"/>
      <c r="B93" s="335">
        <v>12</v>
      </c>
      <c r="C93" s="114" t="s">
        <v>222</v>
      </c>
      <c r="D93" s="369">
        <v>54345.47</v>
      </c>
      <c r="E93" s="368" t="s">
        <v>2050</v>
      </c>
      <c r="F93" s="332" t="s">
        <v>223</v>
      </c>
      <c r="G93" s="333">
        <v>146.411</v>
      </c>
      <c r="H93" s="333">
        <v>0.35</v>
      </c>
      <c r="I93" s="332" t="s">
        <v>223</v>
      </c>
      <c r="J93" s="333">
        <v>58.74</v>
      </c>
      <c r="K93" s="333"/>
      <c r="L93" s="333"/>
      <c r="M93" s="333">
        <f>SUM(G93,H93,J93,L93)</f>
        <v>205.501</v>
      </c>
      <c r="N93" s="332"/>
      <c r="O93" s="115"/>
      <c r="P93" s="115"/>
      <c r="Q93" s="116"/>
      <c r="R93" s="116"/>
      <c r="S93" s="115"/>
      <c r="T93" s="338"/>
      <c r="U93" s="344"/>
      <c r="V93" s="101"/>
      <c r="W93" s="101"/>
      <c r="X93" s="101"/>
      <c r="Y93" s="101"/>
      <c r="Z93" s="332" t="s">
        <v>224</v>
      </c>
      <c r="AA93" s="331"/>
    </row>
    <row r="94" spans="1:27" s="2" customFormat="1" ht="27" hidden="1" customHeight="1">
      <c r="A94" s="475"/>
      <c r="B94" s="335">
        <v>13</v>
      </c>
      <c r="C94" s="114" t="s">
        <v>225</v>
      </c>
      <c r="D94" s="369">
        <v>23805.439999999999</v>
      </c>
      <c r="E94" s="368" t="s">
        <v>2051</v>
      </c>
      <c r="F94" s="332" t="s">
        <v>223</v>
      </c>
      <c r="G94" s="330">
        <v>34.447200000000002</v>
      </c>
      <c r="H94" s="330">
        <v>0.15</v>
      </c>
      <c r="I94" s="332" t="s">
        <v>223</v>
      </c>
      <c r="J94" s="330">
        <v>23.682400000000001</v>
      </c>
      <c r="K94" s="330"/>
      <c r="L94" s="330"/>
      <c r="M94" s="333">
        <f>SUM(G94,H94,J94,L94)</f>
        <v>58.279600000000002</v>
      </c>
      <c r="N94" s="331"/>
      <c r="O94" s="331"/>
      <c r="P94" s="331"/>
      <c r="Q94" s="100"/>
      <c r="R94" s="100"/>
      <c r="S94" s="331"/>
      <c r="T94" s="330"/>
      <c r="U94" s="344"/>
      <c r="V94" s="101"/>
      <c r="W94" s="101"/>
      <c r="X94" s="101"/>
      <c r="Y94" s="101"/>
      <c r="Z94" s="332" t="s">
        <v>224</v>
      </c>
      <c r="AA94" s="331"/>
    </row>
    <row r="95" spans="1:27" s="2" customFormat="1" ht="27" hidden="1" customHeight="1">
      <c r="A95" s="475"/>
      <c r="B95" s="335">
        <v>14</v>
      </c>
      <c r="C95" s="99" t="s">
        <v>226</v>
      </c>
      <c r="D95" s="76">
        <v>31500</v>
      </c>
      <c r="E95" s="367" t="s">
        <v>2052</v>
      </c>
      <c r="F95" s="331"/>
      <c r="G95" s="330"/>
      <c r="H95" s="330"/>
      <c r="I95" s="331"/>
      <c r="J95" s="330"/>
      <c r="K95" s="330"/>
      <c r="L95" s="330"/>
      <c r="M95" s="330"/>
      <c r="N95" s="331"/>
      <c r="O95" s="331"/>
      <c r="P95" s="331"/>
      <c r="Q95" s="100"/>
      <c r="R95" s="100"/>
      <c r="S95" s="331"/>
      <c r="T95" s="330"/>
      <c r="U95" s="344"/>
      <c r="V95" s="101"/>
      <c r="W95" s="101"/>
      <c r="X95" s="101"/>
      <c r="Y95" s="101"/>
      <c r="Z95" s="331" t="s">
        <v>227</v>
      </c>
      <c r="AA95" s="331"/>
    </row>
    <row r="96" spans="1:27" s="2" customFormat="1" ht="27" customHeight="1">
      <c r="A96" s="475"/>
      <c r="B96" s="486">
        <v>15.16</v>
      </c>
      <c r="C96" s="540" t="s">
        <v>228</v>
      </c>
      <c r="D96" s="492">
        <v>59906.870600000002</v>
      </c>
      <c r="E96" s="495" t="s">
        <v>2053</v>
      </c>
      <c r="F96" s="540" t="s">
        <v>229</v>
      </c>
      <c r="G96" s="537">
        <f>420.544694/4</f>
        <v>105.1361735</v>
      </c>
      <c r="H96" s="537">
        <v>5</v>
      </c>
      <c r="I96" s="540" t="s">
        <v>229</v>
      </c>
      <c r="J96" s="537">
        <f>279.950854/4</f>
        <v>69.987713499999998</v>
      </c>
      <c r="K96" s="537"/>
      <c r="L96" s="537"/>
      <c r="M96" s="537">
        <f>SUM(G96,H96,J96,L96)</f>
        <v>180.123887</v>
      </c>
      <c r="N96" s="331" t="s">
        <v>230</v>
      </c>
      <c r="O96" s="331" t="s">
        <v>231</v>
      </c>
      <c r="P96" s="76" t="s">
        <v>27</v>
      </c>
      <c r="Q96" s="100">
        <f>R96-T96</f>
        <v>2.3096399999999999</v>
      </c>
      <c r="R96" s="100">
        <v>3.9552999999999998</v>
      </c>
      <c r="S96" s="331" t="s">
        <v>230</v>
      </c>
      <c r="T96" s="330">
        <v>1.6456599999999999</v>
      </c>
      <c r="U96" s="344">
        <f>T96/Q96</f>
        <v>0.71251796816819934</v>
      </c>
      <c r="V96" s="498">
        <f>SUM(Q96:Q99)</f>
        <v>10.245210999999999</v>
      </c>
      <c r="W96" s="498">
        <f>SUM(T96:T99)</f>
        <v>2.1470889999999998</v>
      </c>
      <c r="X96" s="504">
        <f>W96/V96</f>
        <v>0.20957001276010812</v>
      </c>
      <c r="Y96" s="504">
        <f>W96/M96</f>
        <v>1.1920068102905195E-2</v>
      </c>
      <c r="Z96" s="331" t="s">
        <v>159</v>
      </c>
      <c r="AA96" s="332"/>
    </row>
    <row r="97" spans="1:27" s="2" customFormat="1" ht="27" customHeight="1">
      <c r="A97" s="475"/>
      <c r="B97" s="487"/>
      <c r="C97" s="541"/>
      <c r="D97" s="493"/>
      <c r="E97" s="496"/>
      <c r="F97" s="541"/>
      <c r="G97" s="538"/>
      <c r="H97" s="538"/>
      <c r="I97" s="541"/>
      <c r="J97" s="538"/>
      <c r="K97" s="538"/>
      <c r="L97" s="538"/>
      <c r="M97" s="538"/>
      <c r="N97" s="331" t="s">
        <v>232</v>
      </c>
      <c r="O97" s="331" t="s">
        <v>233</v>
      </c>
      <c r="P97" s="76" t="s">
        <v>27</v>
      </c>
      <c r="Q97" s="100"/>
      <c r="R97" s="100">
        <v>4.1031000000000004</v>
      </c>
      <c r="S97" s="331"/>
      <c r="T97" s="338" t="s">
        <v>234</v>
      </c>
      <c r="U97" s="344"/>
      <c r="V97" s="499"/>
      <c r="W97" s="499"/>
      <c r="X97" s="505"/>
      <c r="Y97" s="505"/>
      <c r="Z97" s="331" t="s">
        <v>159</v>
      </c>
      <c r="AA97" s="332"/>
    </row>
    <row r="98" spans="1:27" s="2" customFormat="1" ht="27" customHeight="1">
      <c r="A98" s="475"/>
      <c r="B98" s="487"/>
      <c r="C98" s="541"/>
      <c r="D98" s="493"/>
      <c r="E98" s="496"/>
      <c r="F98" s="541"/>
      <c r="G98" s="538"/>
      <c r="H98" s="538"/>
      <c r="I98" s="541"/>
      <c r="J98" s="538"/>
      <c r="K98" s="538"/>
      <c r="L98" s="538"/>
      <c r="M98" s="538"/>
      <c r="N98" s="331" t="s">
        <v>235</v>
      </c>
      <c r="O98" s="331" t="s">
        <v>236</v>
      </c>
      <c r="P98" s="76" t="s">
        <v>27</v>
      </c>
      <c r="Q98" s="100">
        <f t="shared" ref="Q98:Q99" si="3">R98-T98</f>
        <v>6.6012769999999996</v>
      </c>
      <c r="R98" s="100">
        <v>6.8849999999999998</v>
      </c>
      <c r="S98" s="331" t="s">
        <v>235</v>
      </c>
      <c r="T98" s="330">
        <v>0.283723</v>
      </c>
      <c r="U98" s="344">
        <f>T98/Q98</f>
        <v>4.2980017351188268E-2</v>
      </c>
      <c r="V98" s="499"/>
      <c r="W98" s="499"/>
      <c r="X98" s="505"/>
      <c r="Y98" s="505"/>
      <c r="Z98" s="331" t="s">
        <v>159</v>
      </c>
      <c r="AA98" s="332"/>
    </row>
    <row r="99" spans="1:27" s="2" customFormat="1" ht="27" customHeight="1">
      <c r="A99" s="475"/>
      <c r="B99" s="488"/>
      <c r="C99" s="542"/>
      <c r="D99" s="494"/>
      <c r="E99" s="497"/>
      <c r="F99" s="542"/>
      <c r="G99" s="539"/>
      <c r="H99" s="539"/>
      <c r="I99" s="542"/>
      <c r="J99" s="539"/>
      <c r="K99" s="539"/>
      <c r="L99" s="539"/>
      <c r="M99" s="539"/>
      <c r="N99" s="331" t="s">
        <v>237</v>
      </c>
      <c r="O99" s="331" t="s">
        <v>1903</v>
      </c>
      <c r="P99" s="76" t="s">
        <v>27</v>
      </c>
      <c r="Q99" s="100">
        <f t="shared" si="3"/>
        <v>1.3342940000000001</v>
      </c>
      <c r="R99" s="100">
        <v>1.552</v>
      </c>
      <c r="S99" s="331" t="s">
        <v>237</v>
      </c>
      <c r="T99" s="330">
        <v>0.21770600000000001</v>
      </c>
      <c r="U99" s="344">
        <f>T99/Q99</f>
        <v>0.16316194182091803</v>
      </c>
      <c r="V99" s="500"/>
      <c r="W99" s="500"/>
      <c r="X99" s="506"/>
      <c r="Y99" s="506"/>
      <c r="Z99" s="331" t="s">
        <v>159</v>
      </c>
      <c r="AA99" s="332"/>
    </row>
    <row r="100" spans="1:27" s="2" customFormat="1" ht="27" customHeight="1">
      <c r="A100" s="475"/>
      <c r="B100" s="335">
        <v>16</v>
      </c>
      <c r="C100" s="117" t="s">
        <v>1835</v>
      </c>
      <c r="D100" s="369">
        <v>56341.777600000001</v>
      </c>
      <c r="E100" s="368" t="s">
        <v>2054</v>
      </c>
      <c r="F100" s="332"/>
      <c r="G100" s="333">
        <v>168.73</v>
      </c>
      <c r="H100" s="333"/>
      <c r="I100" s="102" t="s">
        <v>39</v>
      </c>
      <c r="J100" s="333">
        <v>0.72560000000000002</v>
      </c>
      <c r="K100" s="333">
        <v>0</v>
      </c>
      <c r="L100" s="333">
        <v>0</v>
      </c>
      <c r="M100" s="333">
        <f>SUM(G100,H100,J100,L100)</f>
        <v>169.4556</v>
      </c>
      <c r="N100" s="102" t="s">
        <v>75</v>
      </c>
      <c r="O100" s="102" t="s">
        <v>238</v>
      </c>
      <c r="P100" s="76" t="s">
        <v>27</v>
      </c>
      <c r="Q100" s="102">
        <v>0.72560000000000002</v>
      </c>
      <c r="R100" s="102">
        <v>0.72560000000000002</v>
      </c>
      <c r="S100" s="102" t="s">
        <v>239</v>
      </c>
      <c r="T100" s="333">
        <v>0.65784399999999998</v>
      </c>
      <c r="U100" s="344">
        <f t="shared" ref="U100" si="4">T100/Q100</f>
        <v>0.90662072767364932</v>
      </c>
      <c r="V100" s="102">
        <f>Q100</f>
        <v>0.72560000000000002</v>
      </c>
      <c r="W100" s="102">
        <f>T100</f>
        <v>0.65784399999999998</v>
      </c>
      <c r="X100" s="118">
        <f>W100/V100</f>
        <v>0.90662072767364932</v>
      </c>
      <c r="Y100" s="118">
        <f>W100/M100</f>
        <v>3.882102450435394E-3</v>
      </c>
      <c r="Z100" s="332" t="s">
        <v>159</v>
      </c>
      <c r="AA100" s="332"/>
    </row>
    <row r="101" spans="1:27" hidden="1">
      <c r="A101" s="475" t="s">
        <v>462</v>
      </c>
      <c r="B101" s="334">
        <v>1</v>
      </c>
      <c r="C101" s="332" t="s">
        <v>1904</v>
      </c>
      <c r="D101" s="370">
        <v>68248.510899999994</v>
      </c>
      <c r="E101" s="371" t="s">
        <v>2056</v>
      </c>
      <c r="F101" s="332" t="s">
        <v>254</v>
      </c>
      <c r="G101" s="333">
        <v>211.72980000000001</v>
      </c>
      <c r="H101" s="333"/>
      <c r="I101" s="332" t="s">
        <v>255</v>
      </c>
      <c r="J101" s="333">
        <v>65.026499999999999</v>
      </c>
      <c r="K101" s="333"/>
      <c r="L101" s="333"/>
      <c r="M101" s="333">
        <f>SUM(G101,H101,J101,L101)</f>
        <v>276.75630000000001</v>
      </c>
      <c r="N101" s="332" t="s">
        <v>256</v>
      </c>
      <c r="O101" s="332" t="s">
        <v>1905</v>
      </c>
      <c r="P101" s="76" t="s">
        <v>36</v>
      </c>
      <c r="Q101" s="102">
        <v>112</v>
      </c>
      <c r="R101" s="102">
        <v>423</v>
      </c>
      <c r="S101" s="332" t="s">
        <v>257</v>
      </c>
      <c r="T101" s="333">
        <v>206</v>
      </c>
      <c r="U101" s="344">
        <f>T101/Q101</f>
        <v>1.8392857142857142</v>
      </c>
      <c r="V101" s="101">
        <f>Q101</f>
        <v>112</v>
      </c>
      <c r="W101" s="101">
        <f>T101</f>
        <v>206</v>
      </c>
      <c r="X101" s="103">
        <f>W101/V101</f>
        <v>1.8392857142857142</v>
      </c>
      <c r="Y101" s="103">
        <f>W101/M101</f>
        <v>0.74433716594708044</v>
      </c>
      <c r="Z101" s="332" t="s">
        <v>258</v>
      </c>
      <c r="AA101" s="98"/>
    </row>
    <row r="102" spans="1:27" ht="24" hidden="1">
      <c r="A102" s="475"/>
      <c r="B102" s="334">
        <v>2</v>
      </c>
      <c r="C102" s="332" t="s">
        <v>259</v>
      </c>
      <c r="D102" s="370">
        <v>37882.972999999904</v>
      </c>
      <c r="E102" s="372" t="s">
        <v>2057</v>
      </c>
      <c r="F102" s="332" t="s">
        <v>260</v>
      </c>
      <c r="G102" s="333">
        <v>63.18</v>
      </c>
      <c r="H102" s="333">
        <v>9</v>
      </c>
      <c r="I102" s="332" t="s">
        <v>261</v>
      </c>
      <c r="J102" s="333">
        <v>36.5</v>
      </c>
      <c r="K102" s="333"/>
      <c r="L102" s="333"/>
      <c r="M102" s="333">
        <f t="shared" ref="M102" si="5">SUM(G102,H102,J102,L102)</f>
        <v>108.68</v>
      </c>
      <c r="N102" s="332" t="s">
        <v>262</v>
      </c>
      <c r="O102" s="332" t="s">
        <v>263</v>
      </c>
      <c r="P102" s="76" t="s">
        <v>36</v>
      </c>
      <c r="Q102" s="102">
        <v>13</v>
      </c>
      <c r="R102" s="102">
        <v>13</v>
      </c>
      <c r="S102" s="332" t="s">
        <v>264</v>
      </c>
      <c r="T102" s="333">
        <v>10.82</v>
      </c>
      <c r="U102" s="344">
        <f>T102/Q102</f>
        <v>0.8323076923076923</v>
      </c>
      <c r="V102" s="101">
        <f>Q102</f>
        <v>13</v>
      </c>
      <c r="W102" s="101">
        <f>T102</f>
        <v>10.82</v>
      </c>
      <c r="X102" s="103">
        <f>W102/V102</f>
        <v>0.8323076923076923</v>
      </c>
      <c r="Y102" s="103">
        <f>W102/M102</f>
        <v>9.9558336400441663E-2</v>
      </c>
      <c r="Z102" s="332" t="s">
        <v>265</v>
      </c>
      <c r="AA102" s="98"/>
    </row>
    <row r="103" spans="1:27" ht="24">
      <c r="A103" s="475"/>
      <c r="B103" s="529">
        <v>3</v>
      </c>
      <c r="C103" s="530" t="s">
        <v>1906</v>
      </c>
      <c r="D103" s="531">
        <v>123655.6</v>
      </c>
      <c r="E103" s="534" t="s">
        <v>2058</v>
      </c>
      <c r="F103" s="530" t="s">
        <v>266</v>
      </c>
      <c r="G103" s="548">
        <v>462.06236100000001</v>
      </c>
      <c r="H103" s="548">
        <v>20</v>
      </c>
      <c r="I103" s="530" t="s">
        <v>267</v>
      </c>
      <c r="J103" s="548">
        <v>141.37010000000001</v>
      </c>
      <c r="K103" s="548"/>
      <c r="L103" s="548"/>
      <c r="M103" s="548">
        <f>SUM(G103,H103,J103,L103)</f>
        <v>623.43246099999999</v>
      </c>
      <c r="N103" s="331" t="s">
        <v>268</v>
      </c>
      <c r="O103" s="120" t="s">
        <v>269</v>
      </c>
      <c r="P103" s="76" t="s">
        <v>27</v>
      </c>
      <c r="Q103" s="100">
        <v>0.55000000000000004</v>
      </c>
      <c r="R103" s="100">
        <v>0.55000000000000004</v>
      </c>
      <c r="S103" s="331" t="s">
        <v>270</v>
      </c>
      <c r="T103" s="330">
        <v>0.55000000000000004</v>
      </c>
      <c r="U103" s="121">
        <f>T103/Q103</f>
        <v>1</v>
      </c>
      <c r="V103" s="549">
        <f>SUM(Q103:Q112)</f>
        <v>4.05</v>
      </c>
      <c r="W103" s="549">
        <f>SUM(T103:T112)</f>
        <v>2.9520000000000004</v>
      </c>
      <c r="X103" s="552">
        <f>W103/V103</f>
        <v>0.72888888888888903</v>
      </c>
      <c r="Y103" s="552">
        <f>W103/M103</f>
        <v>4.735075865740011E-3</v>
      </c>
      <c r="Z103" s="331" t="s">
        <v>258</v>
      </c>
      <c r="AA103" s="98"/>
    </row>
    <row r="104" spans="1:27" ht="24">
      <c r="A104" s="475"/>
      <c r="B104" s="529"/>
      <c r="C104" s="530"/>
      <c r="D104" s="532"/>
      <c r="E104" s="535"/>
      <c r="F104" s="530"/>
      <c r="G104" s="548"/>
      <c r="H104" s="548"/>
      <c r="I104" s="530"/>
      <c r="J104" s="548"/>
      <c r="K104" s="548"/>
      <c r="L104" s="548"/>
      <c r="M104" s="548"/>
      <c r="N104" s="331" t="s">
        <v>271</v>
      </c>
      <c r="O104" s="120" t="s">
        <v>272</v>
      </c>
      <c r="P104" s="76" t="s">
        <v>27</v>
      </c>
      <c r="Q104" s="100">
        <v>0.98</v>
      </c>
      <c r="R104" s="100">
        <v>0.98</v>
      </c>
      <c r="S104" s="331" t="s">
        <v>273</v>
      </c>
      <c r="T104" s="330">
        <v>0.98</v>
      </c>
      <c r="U104" s="121">
        <f t="shared" ref="U104:U113" si="6">T104/Q104</f>
        <v>1</v>
      </c>
      <c r="V104" s="550"/>
      <c r="W104" s="550"/>
      <c r="X104" s="553"/>
      <c r="Y104" s="553"/>
      <c r="Z104" s="530" t="s">
        <v>258</v>
      </c>
      <c r="AA104" s="98"/>
    </row>
    <row r="105" spans="1:27" ht="24">
      <c r="A105" s="475"/>
      <c r="B105" s="529"/>
      <c r="C105" s="530"/>
      <c r="D105" s="532"/>
      <c r="E105" s="535"/>
      <c r="F105" s="530"/>
      <c r="G105" s="548"/>
      <c r="H105" s="548"/>
      <c r="I105" s="530"/>
      <c r="J105" s="548"/>
      <c r="K105" s="548"/>
      <c r="L105" s="548"/>
      <c r="M105" s="548"/>
      <c r="N105" s="331" t="s">
        <v>274</v>
      </c>
      <c r="O105" s="120" t="s">
        <v>272</v>
      </c>
      <c r="P105" s="76" t="s">
        <v>27</v>
      </c>
      <c r="Q105" s="100">
        <v>0.84</v>
      </c>
      <c r="R105" s="100">
        <v>0.84</v>
      </c>
      <c r="S105" s="331" t="s">
        <v>275</v>
      </c>
      <c r="T105" s="330">
        <v>0.84</v>
      </c>
      <c r="U105" s="121">
        <f t="shared" si="6"/>
        <v>1</v>
      </c>
      <c r="V105" s="550"/>
      <c r="W105" s="550"/>
      <c r="X105" s="553"/>
      <c r="Y105" s="553"/>
      <c r="Z105" s="530"/>
      <c r="AA105" s="98"/>
    </row>
    <row r="106" spans="1:27">
      <c r="A106" s="475"/>
      <c r="B106" s="529"/>
      <c r="C106" s="530"/>
      <c r="D106" s="532"/>
      <c r="E106" s="535"/>
      <c r="F106" s="530"/>
      <c r="G106" s="548"/>
      <c r="H106" s="548"/>
      <c r="I106" s="530"/>
      <c r="J106" s="548"/>
      <c r="K106" s="548"/>
      <c r="L106" s="548"/>
      <c r="M106" s="548"/>
      <c r="N106" s="331" t="s">
        <v>276</v>
      </c>
      <c r="O106" s="331" t="s">
        <v>277</v>
      </c>
      <c r="P106" s="76" t="s">
        <v>27</v>
      </c>
      <c r="Q106" s="100">
        <v>0.04</v>
      </c>
      <c r="R106" s="100">
        <v>0.04</v>
      </c>
      <c r="S106" s="331" t="s">
        <v>278</v>
      </c>
      <c r="T106" s="330">
        <v>0.04</v>
      </c>
      <c r="U106" s="121">
        <f t="shared" si="6"/>
        <v>1</v>
      </c>
      <c r="V106" s="550"/>
      <c r="W106" s="550"/>
      <c r="X106" s="553"/>
      <c r="Y106" s="553"/>
      <c r="Z106" s="530"/>
      <c r="AA106" s="98"/>
    </row>
    <row r="107" spans="1:27">
      <c r="A107" s="475"/>
      <c r="B107" s="529"/>
      <c r="C107" s="530"/>
      <c r="D107" s="532"/>
      <c r="E107" s="535"/>
      <c r="F107" s="530"/>
      <c r="G107" s="548"/>
      <c r="H107" s="548"/>
      <c r="I107" s="530"/>
      <c r="J107" s="548"/>
      <c r="K107" s="548"/>
      <c r="L107" s="548"/>
      <c r="M107" s="548"/>
      <c r="N107" s="331" t="s">
        <v>279</v>
      </c>
      <c r="O107" s="120" t="s">
        <v>280</v>
      </c>
      <c r="P107" s="76" t="s">
        <v>27</v>
      </c>
      <c r="Q107" s="100">
        <v>0.12</v>
      </c>
      <c r="R107" s="100">
        <v>0.12</v>
      </c>
      <c r="S107" s="331" t="s">
        <v>281</v>
      </c>
      <c r="T107" s="330">
        <v>0.12</v>
      </c>
      <c r="U107" s="121">
        <f t="shared" si="6"/>
        <v>1</v>
      </c>
      <c r="V107" s="550"/>
      <c r="W107" s="550"/>
      <c r="X107" s="553"/>
      <c r="Y107" s="553"/>
      <c r="Z107" s="530"/>
      <c r="AA107" s="98"/>
    </row>
    <row r="108" spans="1:27">
      <c r="A108" s="475"/>
      <c r="B108" s="529"/>
      <c r="C108" s="530"/>
      <c r="D108" s="532"/>
      <c r="E108" s="535"/>
      <c r="F108" s="530"/>
      <c r="G108" s="548"/>
      <c r="H108" s="548"/>
      <c r="I108" s="530"/>
      <c r="J108" s="548"/>
      <c r="K108" s="548"/>
      <c r="L108" s="548"/>
      <c r="M108" s="548"/>
      <c r="N108" s="331" t="s">
        <v>281</v>
      </c>
      <c r="O108" s="331" t="s">
        <v>282</v>
      </c>
      <c r="P108" s="76" t="s">
        <v>27</v>
      </c>
      <c r="Q108" s="100">
        <v>0.08</v>
      </c>
      <c r="R108" s="100">
        <v>0.08</v>
      </c>
      <c r="S108" s="331" t="s">
        <v>283</v>
      </c>
      <c r="T108" s="330">
        <v>7.1999999999999995E-2</v>
      </c>
      <c r="U108" s="121">
        <f t="shared" si="6"/>
        <v>0.89999999999999991</v>
      </c>
      <c r="V108" s="550"/>
      <c r="W108" s="550"/>
      <c r="X108" s="553"/>
      <c r="Y108" s="553"/>
      <c r="Z108" s="530"/>
      <c r="AA108" s="98"/>
    </row>
    <row r="109" spans="1:27">
      <c r="A109" s="475"/>
      <c r="B109" s="529"/>
      <c r="C109" s="530"/>
      <c r="D109" s="532"/>
      <c r="E109" s="535"/>
      <c r="F109" s="530"/>
      <c r="G109" s="548"/>
      <c r="H109" s="548"/>
      <c r="I109" s="530"/>
      <c r="J109" s="548"/>
      <c r="K109" s="548"/>
      <c r="L109" s="548"/>
      <c r="M109" s="548"/>
      <c r="N109" s="331" t="s">
        <v>284</v>
      </c>
      <c r="O109" s="331" t="s">
        <v>285</v>
      </c>
      <c r="P109" s="76" t="s">
        <v>27</v>
      </c>
      <c r="Q109" s="100">
        <v>0.36</v>
      </c>
      <c r="R109" s="100">
        <v>0.36</v>
      </c>
      <c r="S109" s="331" t="s">
        <v>286</v>
      </c>
      <c r="T109" s="330">
        <v>0.35</v>
      </c>
      <c r="U109" s="121">
        <f>T109/Q109</f>
        <v>0.97222222222222221</v>
      </c>
      <c r="V109" s="550"/>
      <c r="W109" s="550"/>
      <c r="X109" s="553"/>
      <c r="Y109" s="553"/>
      <c r="Z109" s="530"/>
      <c r="AA109" s="98"/>
    </row>
    <row r="110" spans="1:27">
      <c r="A110" s="475"/>
      <c r="B110" s="529"/>
      <c r="C110" s="530"/>
      <c r="D110" s="532"/>
      <c r="E110" s="535"/>
      <c r="F110" s="530"/>
      <c r="G110" s="548"/>
      <c r="H110" s="548"/>
      <c r="I110" s="530"/>
      <c r="J110" s="548"/>
      <c r="K110" s="548"/>
      <c r="L110" s="548"/>
      <c r="M110" s="548"/>
      <c r="N110" s="331" t="s">
        <v>287</v>
      </c>
      <c r="O110" s="331" t="s">
        <v>288</v>
      </c>
      <c r="P110" s="76" t="s">
        <v>27</v>
      </c>
      <c r="Q110" s="100">
        <v>0.36</v>
      </c>
      <c r="R110" s="100">
        <v>0.36</v>
      </c>
      <c r="S110" s="331" t="s">
        <v>289</v>
      </c>
      <c r="T110" s="330"/>
      <c r="U110" s="121"/>
      <c r="V110" s="550"/>
      <c r="W110" s="550"/>
      <c r="X110" s="553"/>
      <c r="Y110" s="553"/>
      <c r="Z110" s="530"/>
      <c r="AA110" s="98"/>
    </row>
    <row r="111" spans="1:27">
      <c r="A111" s="475"/>
      <c r="B111" s="529"/>
      <c r="C111" s="530"/>
      <c r="D111" s="532"/>
      <c r="E111" s="535"/>
      <c r="F111" s="530"/>
      <c r="G111" s="548"/>
      <c r="H111" s="548"/>
      <c r="I111" s="530"/>
      <c r="J111" s="548"/>
      <c r="K111" s="548"/>
      <c r="L111" s="548"/>
      <c r="M111" s="548"/>
      <c r="N111" s="331" t="s">
        <v>290</v>
      </c>
      <c r="O111" s="331" t="s">
        <v>291</v>
      </c>
      <c r="P111" s="76" t="s">
        <v>27</v>
      </c>
      <c r="Q111" s="100">
        <v>0.54</v>
      </c>
      <c r="R111" s="100">
        <v>0.54</v>
      </c>
      <c r="S111" s="331" t="s">
        <v>289</v>
      </c>
      <c r="T111" s="330"/>
      <c r="U111" s="121"/>
      <c r="V111" s="550"/>
      <c r="W111" s="550"/>
      <c r="X111" s="553"/>
      <c r="Y111" s="553"/>
      <c r="Z111" s="530"/>
      <c r="AA111" s="98"/>
    </row>
    <row r="112" spans="1:27">
      <c r="A112" s="475"/>
      <c r="B112" s="529"/>
      <c r="C112" s="530"/>
      <c r="D112" s="533"/>
      <c r="E112" s="536"/>
      <c r="F112" s="530"/>
      <c r="G112" s="548"/>
      <c r="H112" s="548"/>
      <c r="I112" s="530"/>
      <c r="J112" s="548"/>
      <c r="K112" s="548"/>
      <c r="L112" s="548"/>
      <c r="M112" s="548"/>
      <c r="N112" s="331" t="s">
        <v>292</v>
      </c>
      <c r="O112" s="331" t="s">
        <v>293</v>
      </c>
      <c r="P112" s="76" t="s">
        <v>27</v>
      </c>
      <c r="Q112" s="100">
        <v>0.18</v>
      </c>
      <c r="R112" s="100">
        <v>0.18</v>
      </c>
      <c r="S112" s="331" t="s">
        <v>289</v>
      </c>
      <c r="T112" s="330"/>
      <c r="U112" s="331"/>
      <c r="V112" s="551"/>
      <c r="W112" s="551"/>
      <c r="X112" s="554"/>
      <c r="Y112" s="554"/>
      <c r="Z112" s="530"/>
      <c r="AA112" s="98"/>
    </row>
    <row r="113" spans="1:27" ht="72" hidden="1">
      <c r="A113" s="475"/>
      <c r="B113" s="544">
        <v>4</v>
      </c>
      <c r="C113" s="530" t="s">
        <v>1907</v>
      </c>
      <c r="D113" s="545">
        <v>59118.85</v>
      </c>
      <c r="E113" s="545" t="s">
        <v>2059</v>
      </c>
      <c r="F113" s="523" t="s">
        <v>294</v>
      </c>
      <c r="G113" s="520">
        <v>119.25960000000001</v>
      </c>
      <c r="H113" s="520"/>
      <c r="I113" s="530" t="s">
        <v>295</v>
      </c>
      <c r="J113" s="548">
        <v>30</v>
      </c>
      <c r="K113" s="548"/>
      <c r="L113" s="548"/>
      <c r="M113" s="548">
        <f>SUM(G113,H113,J113,L113)</f>
        <v>149.25960000000001</v>
      </c>
      <c r="N113" s="331" t="s">
        <v>296</v>
      </c>
      <c r="O113" s="332" t="s">
        <v>297</v>
      </c>
      <c r="P113" s="76" t="s">
        <v>36</v>
      </c>
      <c r="Q113" s="100">
        <v>300</v>
      </c>
      <c r="R113" s="100">
        <v>300</v>
      </c>
      <c r="S113" s="332" t="s">
        <v>298</v>
      </c>
      <c r="T113" s="333">
        <v>28</v>
      </c>
      <c r="U113" s="121">
        <f t="shared" si="6"/>
        <v>9.3333333333333338E-2</v>
      </c>
      <c r="V113" s="549">
        <f>SUM(Q113:Q116)</f>
        <v>495.35</v>
      </c>
      <c r="W113" s="549">
        <f>SUM(T113:T116)</f>
        <v>28</v>
      </c>
      <c r="X113" s="552">
        <f>W113/V113</f>
        <v>5.652568890683355E-2</v>
      </c>
      <c r="Y113" s="552">
        <f>W113/M113</f>
        <v>0.18759262385802988</v>
      </c>
      <c r="Z113" s="331" t="s">
        <v>299</v>
      </c>
      <c r="AA113" s="98"/>
    </row>
    <row r="114" spans="1:27" ht="60" hidden="1">
      <c r="A114" s="475"/>
      <c r="B114" s="544"/>
      <c r="C114" s="530"/>
      <c r="D114" s="546"/>
      <c r="E114" s="546"/>
      <c r="F114" s="524"/>
      <c r="G114" s="521"/>
      <c r="H114" s="521"/>
      <c r="I114" s="530"/>
      <c r="J114" s="548"/>
      <c r="K114" s="548"/>
      <c r="L114" s="548"/>
      <c r="M114" s="548"/>
      <c r="N114" s="331" t="s">
        <v>300</v>
      </c>
      <c r="O114" s="337" t="s">
        <v>301</v>
      </c>
      <c r="P114" s="76" t="s">
        <v>36</v>
      </c>
      <c r="Q114" s="100">
        <v>60</v>
      </c>
      <c r="R114" s="100">
        <v>60</v>
      </c>
      <c r="S114" s="337"/>
      <c r="T114" s="104" t="s">
        <v>302</v>
      </c>
      <c r="U114" s="331"/>
      <c r="V114" s="550"/>
      <c r="W114" s="550"/>
      <c r="X114" s="553"/>
      <c r="Y114" s="553"/>
      <c r="Z114" s="331" t="s">
        <v>299</v>
      </c>
      <c r="AA114" s="98"/>
    </row>
    <row r="115" spans="1:27" ht="36" hidden="1">
      <c r="A115" s="475"/>
      <c r="B115" s="544"/>
      <c r="C115" s="530"/>
      <c r="D115" s="546"/>
      <c r="E115" s="546"/>
      <c r="F115" s="524"/>
      <c r="G115" s="521"/>
      <c r="H115" s="521"/>
      <c r="I115" s="530"/>
      <c r="J115" s="548"/>
      <c r="K115" s="548"/>
      <c r="L115" s="548"/>
      <c r="M115" s="548"/>
      <c r="N115" s="331" t="s">
        <v>303</v>
      </c>
      <c r="O115" s="337" t="s">
        <v>304</v>
      </c>
      <c r="P115" s="76" t="s">
        <v>36</v>
      </c>
      <c r="Q115" s="100">
        <v>35.799999999999997</v>
      </c>
      <c r="R115" s="100">
        <v>35.799999999999997</v>
      </c>
      <c r="S115" s="331"/>
      <c r="T115" s="330"/>
      <c r="U115" s="331"/>
      <c r="V115" s="550"/>
      <c r="W115" s="550"/>
      <c r="X115" s="553"/>
      <c r="Y115" s="553"/>
      <c r="Z115" s="332" t="s">
        <v>305</v>
      </c>
      <c r="AA115" s="98"/>
    </row>
    <row r="116" spans="1:27" ht="24" hidden="1">
      <c r="A116" s="475"/>
      <c r="B116" s="544"/>
      <c r="C116" s="530"/>
      <c r="D116" s="547"/>
      <c r="E116" s="547"/>
      <c r="F116" s="525"/>
      <c r="G116" s="522"/>
      <c r="H116" s="522"/>
      <c r="I116" s="530"/>
      <c r="J116" s="548"/>
      <c r="K116" s="548"/>
      <c r="L116" s="548"/>
      <c r="M116" s="548"/>
      <c r="N116" s="331" t="s">
        <v>306</v>
      </c>
      <c r="O116" s="337" t="s">
        <v>307</v>
      </c>
      <c r="P116" s="76" t="s">
        <v>36</v>
      </c>
      <c r="Q116" s="100">
        <v>99.55</v>
      </c>
      <c r="R116" s="100">
        <v>99.55</v>
      </c>
      <c r="S116" s="331"/>
      <c r="T116" s="330"/>
      <c r="U116" s="331"/>
      <c r="V116" s="551"/>
      <c r="W116" s="551"/>
      <c r="X116" s="554"/>
      <c r="Y116" s="554"/>
      <c r="Z116" s="332" t="s">
        <v>305</v>
      </c>
      <c r="AA116" s="98"/>
    </row>
    <row r="117" spans="1:27" ht="36" hidden="1">
      <c r="A117" s="475"/>
      <c r="B117" s="529">
        <v>5</v>
      </c>
      <c r="C117" s="555" t="s">
        <v>308</v>
      </c>
      <c r="D117" s="558">
        <v>26608.4853</v>
      </c>
      <c r="E117" s="558" t="s">
        <v>2060</v>
      </c>
      <c r="F117" s="555" t="s">
        <v>17</v>
      </c>
      <c r="G117" s="561">
        <v>15.5783</v>
      </c>
      <c r="H117" s="561"/>
      <c r="I117" s="555" t="s">
        <v>17</v>
      </c>
      <c r="J117" s="561">
        <v>7.7678000000000003</v>
      </c>
      <c r="K117" s="561"/>
      <c r="L117" s="561"/>
      <c r="M117" s="561">
        <f>SUM(G117,H117,J117,L117)</f>
        <v>23.3461</v>
      </c>
      <c r="N117" s="332" t="s">
        <v>309</v>
      </c>
      <c r="O117" s="337" t="s">
        <v>310</v>
      </c>
      <c r="P117" s="76" t="s">
        <v>36</v>
      </c>
      <c r="Q117" s="105">
        <v>72.5</v>
      </c>
      <c r="R117" s="105">
        <v>275.28399999999999</v>
      </c>
      <c r="S117" s="105" t="s">
        <v>311</v>
      </c>
      <c r="T117" s="104">
        <v>146.97399999999999</v>
      </c>
      <c r="U117" s="344">
        <f>T117/Q117</f>
        <v>2.0272275862068962</v>
      </c>
      <c r="V117" s="517">
        <f>SUM(Q117:Q119)</f>
        <v>91.658000000000001</v>
      </c>
      <c r="W117" s="517">
        <f>SUM(T117:T119)</f>
        <v>163.39060000000001</v>
      </c>
      <c r="X117" s="504">
        <f>W117/V117</f>
        <v>1.7826114469004342</v>
      </c>
      <c r="Y117" s="504">
        <f>W117/M117</f>
        <v>6.9986250380149153</v>
      </c>
      <c r="Z117" s="555" t="s">
        <v>312</v>
      </c>
      <c r="AA117" s="98"/>
    </row>
    <row r="118" spans="1:27" ht="24">
      <c r="A118" s="475"/>
      <c r="B118" s="529"/>
      <c r="C118" s="555"/>
      <c r="D118" s="559"/>
      <c r="E118" s="559"/>
      <c r="F118" s="555"/>
      <c r="G118" s="561"/>
      <c r="H118" s="561"/>
      <c r="I118" s="555"/>
      <c r="J118" s="561"/>
      <c r="K118" s="561"/>
      <c r="L118" s="561"/>
      <c r="M118" s="561"/>
      <c r="N118" s="332" t="s">
        <v>313</v>
      </c>
      <c r="O118" s="337" t="s">
        <v>314</v>
      </c>
      <c r="P118" s="76" t="s">
        <v>27</v>
      </c>
      <c r="Q118" s="105">
        <v>15</v>
      </c>
      <c r="R118" s="105">
        <v>15</v>
      </c>
      <c r="S118" s="105" t="s">
        <v>315</v>
      </c>
      <c r="T118" s="104">
        <v>13.2041</v>
      </c>
      <c r="U118" s="344">
        <f>T118/Q118</f>
        <v>0.88027333333333335</v>
      </c>
      <c r="V118" s="502"/>
      <c r="W118" s="502"/>
      <c r="X118" s="505"/>
      <c r="Y118" s="505"/>
      <c r="Z118" s="555"/>
      <c r="AA118" s="98"/>
    </row>
    <row r="119" spans="1:27" ht="24">
      <c r="A119" s="475"/>
      <c r="B119" s="529"/>
      <c r="C119" s="555"/>
      <c r="D119" s="560"/>
      <c r="E119" s="560"/>
      <c r="F119" s="555"/>
      <c r="G119" s="561"/>
      <c r="H119" s="561"/>
      <c r="I119" s="555"/>
      <c r="J119" s="561"/>
      <c r="K119" s="561"/>
      <c r="L119" s="561"/>
      <c r="M119" s="561"/>
      <c r="N119" s="332" t="s">
        <v>316</v>
      </c>
      <c r="O119" s="337" t="s">
        <v>314</v>
      </c>
      <c r="P119" s="76" t="s">
        <v>27</v>
      </c>
      <c r="Q119" s="105">
        <v>4.1580000000000004</v>
      </c>
      <c r="R119" s="105">
        <v>4.1580000000000004</v>
      </c>
      <c r="S119" s="105" t="s">
        <v>317</v>
      </c>
      <c r="T119" s="104">
        <v>3.2124999999999999</v>
      </c>
      <c r="U119" s="344">
        <f>T119/Q119</f>
        <v>0.77260702260702252</v>
      </c>
      <c r="V119" s="503"/>
      <c r="W119" s="503"/>
      <c r="X119" s="506"/>
      <c r="Y119" s="506"/>
      <c r="Z119" s="555"/>
      <c r="AA119" s="98"/>
    </row>
    <row r="120" spans="1:27" ht="132">
      <c r="A120" s="475"/>
      <c r="B120" s="556">
        <v>6</v>
      </c>
      <c r="C120" s="557" t="s">
        <v>318</v>
      </c>
      <c r="D120" s="558">
        <v>56665.876300000004</v>
      </c>
      <c r="E120" s="558" t="s">
        <v>2061</v>
      </c>
      <c r="F120" s="557" t="s">
        <v>319</v>
      </c>
      <c r="G120" s="561">
        <v>924.648867</v>
      </c>
      <c r="H120" s="561"/>
      <c r="I120" s="557" t="s">
        <v>320</v>
      </c>
      <c r="J120" s="561">
        <v>569.85249999999996</v>
      </c>
      <c r="K120" s="561"/>
      <c r="L120" s="561"/>
      <c r="M120" s="561">
        <f>G120+H120+J120+L120</f>
        <v>1494.5013669999998</v>
      </c>
      <c r="N120" s="106" t="s">
        <v>321</v>
      </c>
      <c r="O120" s="337" t="s">
        <v>322</v>
      </c>
      <c r="P120" s="76" t="s">
        <v>27</v>
      </c>
      <c r="Q120" s="105">
        <v>0.68</v>
      </c>
      <c r="R120" s="105">
        <v>0.68</v>
      </c>
      <c r="S120" s="337" t="s">
        <v>323</v>
      </c>
      <c r="T120" s="104">
        <v>0.631077</v>
      </c>
      <c r="U120" s="112">
        <f>T120/Q120</f>
        <v>0.92805441176470582</v>
      </c>
      <c r="V120" s="562">
        <f>SUM(Q120:Q134)</f>
        <v>225.42454499999999</v>
      </c>
      <c r="W120" s="562">
        <f>SUM(T120:T134)</f>
        <v>83.977204</v>
      </c>
      <c r="X120" s="512">
        <f>W120/V120</f>
        <v>0.37252910502713893</v>
      </c>
      <c r="Y120" s="512">
        <f>W120/M120</f>
        <v>5.6190784334023303E-2</v>
      </c>
      <c r="Z120" s="563" t="s">
        <v>43</v>
      </c>
      <c r="AA120" s="98"/>
    </row>
    <row r="121" spans="1:27" ht="108">
      <c r="A121" s="475"/>
      <c r="B121" s="556"/>
      <c r="C121" s="557"/>
      <c r="D121" s="559"/>
      <c r="E121" s="559"/>
      <c r="F121" s="557"/>
      <c r="G121" s="561"/>
      <c r="H121" s="561"/>
      <c r="I121" s="557"/>
      <c r="J121" s="561"/>
      <c r="K121" s="561"/>
      <c r="L121" s="561"/>
      <c r="M121" s="561"/>
      <c r="N121" s="106" t="s">
        <v>324</v>
      </c>
      <c r="O121" s="337" t="s">
        <v>325</v>
      </c>
      <c r="P121" s="76" t="s">
        <v>27</v>
      </c>
      <c r="Q121" s="105">
        <v>4.5</v>
      </c>
      <c r="R121" s="105">
        <v>4.5</v>
      </c>
      <c r="S121" s="337" t="s">
        <v>326</v>
      </c>
      <c r="T121" s="104">
        <v>1.507317</v>
      </c>
      <c r="U121" s="112">
        <f t="shared" ref="U121:U134" si="7">T121/Q121</f>
        <v>0.33495933333333333</v>
      </c>
      <c r="V121" s="510"/>
      <c r="W121" s="510"/>
      <c r="X121" s="513"/>
      <c r="Y121" s="513"/>
      <c r="Z121" s="563"/>
      <c r="AA121" s="98"/>
    </row>
    <row r="122" spans="1:27" ht="84">
      <c r="A122" s="475"/>
      <c r="B122" s="556"/>
      <c r="C122" s="557"/>
      <c r="D122" s="559"/>
      <c r="E122" s="559"/>
      <c r="F122" s="557"/>
      <c r="G122" s="561"/>
      <c r="H122" s="561"/>
      <c r="I122" s="557"/>
      <c r="J122" s="561"/>
      <c r="K122" s="561"/>
      <c r="L122" s="561"/>
      <c r="M122" s="561"/>
      <c r="N122" s="106" t="s">
        <v>327</v>
      </c>
      <c r="O122" s="337" t="s">
        <v>328</v>
      </c>
      <c r="P122" s="76" t="s">
        <v>27</v>
      </c>
      <c r="Q122" s="105">
        <v>4.2</v>
      </c>
      <c r="R122" s="105">
        <v>4.2</v>
      </c>
      <c r="S122" s="337" t="s">
        <v>329</v>
      </c>
      <c r="T122" s="104">
        <v>0.90634300000000001</v>
      </c>
      <c r="U122" s="112">
        <f t="shared" si="7"/>
        <v>0.21579595238095237</v>
      </c>
      <c r="V122" s="510"/>
      <c r="W122" s="510"/>
      <c r="X122" s="513"/>
      <c r="Y122" s="513"/>
      <c r="Z122" s="563"/>
      <c r="AA122" s="98"/>
    </row>
    <row r="123" spans="1:27" ht="96">
      <c r="A123" s="475"/>
      <c r="B123" s="556"/>
      <c r="C123" s="557"/>
      <c r="D123" s="559"/>
      <c r="E123" s="559"/>
      <c r="F123" s="557"/>
      <c r="G123" s="561"/>
      <c r="H123" s="561"/>
      <c r="I123" s="557"/>
      <c r="J123" s="561"/>
      <c r="K123" s="561"/>
      <c r="L123" s="561"/>
      <c r="M123" s="561"/>
      <c r="N123" s="106" t="s">
        <v>330</v>
      </c>
      <c r="O123" s="337" t="s">
        <v>331</v>
      </c>
      <c r="P123" s="76" t="s">
        <v>27</v>
      </c>
      <c r="Q123" s="105">
        <v>8.2451089999999994</v>
      </c>
      <c r="R123" s="105">
        <v>8.2451089999999994</v>
      </c>
      <c r="S123" s="337" t="s">
        <v>289</v>
      </c>
      <c r="T123" s="104"/>
      <c r="U123" s="112"/>
      <c r="V123" s="510"/>
      <c r="W123" s="510"/>
      <c r="X123" s="513"/>
      <c r="Y123" s="513"/>
      <c r="Z123" s="563"/>
      <c r="AA123" s="98"/>
    </row>
    <row r="124" spans="1:27" ht="108">
      <c r="A124" s="475"/>
      <c r="B124" s="556"/>
      <c r="C124" s="557"/>
      <c r="D124" s="559"/>
      <c r="E124" s="559"/>
      <c r="F124" s="557"/>
      <c r="G124" s="561"/>
      <c r="H124" s="561"/>
      <c r="I124" s="557"/>
      <c r="J124" s="561"/>
      <c r="K124" s="561"/>
      <c r="L124" s="561"/>
      <c r="M124" s="561"/>
      <c r="N124" s="106" t="s">
        <v>332</v>
      </c>
      <c r="O124" s="337" t="s">
        <v>333</v>
      </c>
      <c r="P124" s="76" t="s">
        <v>27</v>
      </c>
      <c r="Q124" s="105">
        <v>1.8475869999999999</v>
      </c>
      <c r="R124" s="105">
        <v>1.8475869999999999</v>
      </c>
      <c r="S124" s="337" t="s">
        <v>334</v>
      </c>
      <c r="T124" s="104">
        <v>0.38874999999999998</v>
      </c>
      <c r="U124" s="112">
        <f t="shared" si="7"/>
        <v>0.21040957746509367</v>
      </c>
      <c r="V124" s="510"/>
      <c r="W124" s="510"/>
      <c r="X124" s="513"/>
      <c r="Y124" s="513"/>
      <c r="Z124" s="563"/>
      <c r="AA124" s="98"/>
    </row>
    <row r="125" spans="1:27" ht="48">
      <c r="A125" s="475"/>
      <c r="B125" s="556"/>
      <c r="C125" s="557"/>
      <c r="D125" s="559"/>
      <c r="E125" s="559"/>
      <c r="F125" s="557"/>
      <c r="G125" s="561"/>
      <c r="H125" s="561"/>
      <c r="I125" s="557"/>
      <c r="J125" s="561"/>
      <c r="K125" s="561"/>
      <c r="L125" s="561"/>
      <c r="M125" s="561"/>
      <c r="N125" s="106" t="s">
        <v>335</v>
      </c>
      <c r="O125" s="337" t="s">
        <v>1908</v>
      </c>
      <c r="P125" s="76" t="s">
        <v>27</v>
      </c>
      <c r="Q125" s="105">
        <v>4.5</v>
      </c>
      <c r="R125" s="105">
        <v>4.5</v>
      </c>
      <c r="S125" s="337" t="s">
        <v>336</v>
      </c>
      <c r="T125" s="104">
        <v>0.56326200000000004</v>
      </c>
      <c r="U125" s="112">
        <f t="shared" si="7"/>
        <v>0.12516933333333335</v>
      </c>
      <c r="V125" s="510"/>
      <c r="W125" s="510"/>
      <c r="X125" s="513"/>
      <c r="Y125" s="513"/>
      <c r="Z125" s="563"/>
      <c r="AA125" s="98"/>
    </row>
    <row r="126" spans="1:27" ht="48">
      <c r="A126" s="475"/>
      <c r="B126" s="556"/>
      <c r="C126" s="557"/>
      <c r="D126" s="559"/>
      <c r="E126" s="559"/>
      <c r="F126" s="557"/>
      <c r="G126" s="561"/>
      <c r="H126" s="561"/>
      <c r="I126" s="557"/>
      <c r="J126" s="561"/>
      <c r="K126" s="561"/>
      <c r="L126" s="561"/>
      <c r="M126" s="561"/>
      <c r="N126" s="106" t="s">
        <v>337</v>
      </c>
      <c r="O126" s="337" t="s">
        <v>1909</v>
      </c>
      <c r="P126" s="76" t="s">
        <v>27</v>
      </c>
      <c r="Q126" s="105">
        <v>2.5</v>
      </c>
      <c r="R126" s="105">
        <v>2.5</v>
      </c>
      <c r="S126" s="337" t="s">
        <v>336</v>
      </c>
      <c r="T126" s="104">
        <v>0.27202999999999999</v>
      </c>
      <c r="U126" s="112">
        <f t="shared" si="7"/>
        <v>0.10881199999999999</v>
      </c>
      <c r="V126" s="510"/>
      <c r="W126" s="510"/>
      <c r="X126" s="513"/>
      <c r="Y126" s="513"/>
      <c r="Z126" s="563"/>
      <c r="AA126" s="98"/>
    </row>
    <row r="127" spans="1:27" ht="72">
      <c r="A127" s="475"/>
      <c r="B127" s="556"/>
      <c r="C127" s="557"/>
      <c r="D127" s="559"/>
      <c r="E127" s="559"/>
      <c r="F127" s="557"/>
      <c r="G127" s="561"/>
      <c r="H127" s="561"/>
      <c r="I127" s="557"/>
      <c r="J127" s="561"/>
      <c r="K127" s="561"/>
      <c r="L127" s="561"/>
      <c r="M127" s="561"/>
      <c r="N127" s="106" t="s">
        <v>338</v>
      </c>
      <c r="O127" s="337" t="s">
        <v>339</v>
      </c>
      <c r="P127" s="76" t="s">
        <v>27</v>
      </c>
      <c r="Q127" s="105">
        <v>1.5530389999999998</v>
      </c>
      <c r="R127" s="105">
        <v>1.5530389999999998</v>
      </c>
      <c r="S127" s="337" t="s">
        <v>340</v>
      </c>
      <c r="T127" s="104">
        <v>1.472969</v>
      </c>
      <c r="U127" s="112">
        <f t="shared" si="7"/>
        <v>0.94844302042640272</v>
      </c>
      <c r="V127" s="510"/>
      <c r="W127" s="510"/>
      <c r="X127" s="513"/>
      <c r="Y127" s="513"/>
      <c r="Z127" s="563"/>
      <c r="AA127" s="98"/>
    </row>
    <row r="128" spans="1:27" ht="48">
      <c r="A128" s="475"/>
      <c r="B128" s="556"/>
      <c r="C128" s="557"/>
      <c r="D128" s="559"/>
      <c r="E128" s="559"/>
      <c r="F128" s="557"/>
      <c r="G128" s="561"/>
      <c r="H128" s="561"/>
      <c r="I128" s="557"/>
      <c r="J128" s="561"/>
      <c r="K128" s="561"/>
      <c r="L128" s="561"/>
      <c r="M128" s="561"/>
      <c r="N128" s="106" t="s">
        <v>341</v>
      </c>
      <c r="O128" s="337" t="s">
        <v>1910</v>
      </c>
      <c r="P128" s="76" t="s">
        <v>27</v>
      </c>
      <c r="Q128" s="105">
        <v>3</v>
      </c>
      <c r="R128" s="105">
        <v>3</v>
      </c>
      <c r="S128" s="337" t="s">
        <v>336</v>
      </c>
      <c r="T128" s="104">
        <v>0.65422400000000003</v>
      </c>
      <c r="U128" s="112">
        <f t="shared" si="7"/>
        <v>0.21807466666666667</v>
      </c>
      <c r="V128" s="510"/>
      <c r="W128" s="510"/>
      <c r="X128" s="513"/>
      <c r="Y128" s="513"/>
      <c r="Z128" s="563"/>
      <c r="AA128" s="98"/>
    </row>
    <row r="129" spans="1:27" ht="60">
      <c r="A129" s="475"/>
      <c r="B129" s="556"/>
      <c r="C129" s="557"/>
      <c r="D129" s="559"/>
      <c r="E129" s="559"/>
      <c r="F129" s="557"/>
      <c r="G129" s="561"/>
      <c r="H129" s="561"/>
      <c r="I129" s="557"/>
      <c r="J129" s="561"/>
      <c r="K129" s="561"/>
      <c r="L129" s="561"/>
      <c r="M129" s="561"/>
      <c r="N129" s="106" t="s">
        <v>342</v>
      </c>
      <c r="O129" s="337" t="s">
        <v>343</v>
      </c>
      <c r="P129" s="76" t="s">
        <v>27</v>
      </c>
      <c r="Q129" s="105">
        <v>12</v>
      </c>
      <c r="R129" s="105">
        <v>12</v>
      </c>
      <c r="S129" s="337" t="s">
        <v>289</v>
      </c>
      <c r="T129" s="104"/>
      <c r="U129" s="112"/>
      <c r="V129" s="510"/>
      <c r="W129" s="510"/>
      <c r="X129" s="513"/>
      <c r="Y129" s="513"/>
      <c r="Z129" s="563"/>
      <c r="AA129" s="98"/>
    </row>
    <row r="130" spans="1:27" ht="48">
      <c r="A130" s="475"/>
      <c r="B130" s="556"/>
      <c r="C130" s="557"/>
      <c r="D130" s="559"/>
      <c r="E130" s="559"/>
      <c r="F130" s="557"/>
      <c r="G130" s="561"/>
      <c r="H130" s="561"/>
      <c r="I130" s="557"/>
      <c r="J130" s="561"/>
      <c r="K130" s="561"/>
      <c r="L130" s="561"/>
      <c r="M130" s="561"/>
      <c r="N130" s="106" t="s">
        <v>344</v>
      </c>
      <c r="O130" s="337" t="s">
        <v>1911</v>
      </c>
      <c r="P130" s="76" t="s">
        <v>27</v>
      </c>
      <c r="Q130" s="105">
        <v>2.3988099999999997</v>
      </c>
      <c r="R130" s="105">
        <v>2.3988099999999997</v>
      </c>
      <c r="S130" s="337" t="s">
        <v>289</v>
      </c>
      <c r="T130" s="104"/>
      <c r="U130" s="112"/>
      <c r="V130" s="510"/>
      <c r="W130" s="510"/>
      <c r="X130" s="513"/>
      <c r="Y130" s="513"/>
      <c r="Z130" s="563"/>
      <c r="AA130" s="98"/>
    </row>
    <row r="131" spans="1:27">
      <c r="A131" s="475"/>
      <c r="B131" s="556"/>
      <c r="C131" s="557"/>
      <c r="D131" s="559"/>
      <c r="E131" s="559"/>
      <c r="F131" s="557"/>
      <c r="G131" s="561"/>
      <c r="H131" s="561"/>
      <c r="I131" s="557"/>
      <c r="J131" s="561"/>
      <c r="K131" s="561"/>
      <c r="L131" s="561"/>
      <c r="M131" s="561"/>
      <c r="N131" s="106" t="s">
        <v>345</v>
      </c>
      <c r="O131" s="337" t="s">
        <v>346</v>
      </c>
      <c r="P131" s="76" t="s">
        <v>27</v>
      </c>
      <c r="Q131" s="105">
        <v>95</v>
      </c>
      <c r="R131" s="105">
        <v>95</v>
      </c>
      <c r="S131" s="337" t="s">
        <v>347</v>
      </c>
      <c r="T131" s="104">
        <v>60</v>
      </c>
      <c r="U131" s="112">
        <f t="shared" ref="U131" si="8">T131/Q131</f>
        <v>0.63157894736842102</v>
      </c>
      <c r="V131" s="510"/>
      <c r="W131" s="510"/>
      <c r="X131" s="513"/>
      <c r="Y131" s="513"/>
      <c r="Z131" s="563"/>
      <c r="AA131" s="98"/>
    </row>
    <row r="132" spans="1:27" ht="24">
      <c r="A132" s="475"/>
      <c r="B132" s="556"/>
      <c r="C132" s="557"/>
      <c r="D132" s="559"/>
      <c r="E132" s="559"/>
      <c r="F132" s="557"/>
      <c r="G132" s="561"/>
      <c r="H132" s="561"/>
      <c r="I132" s="557"/>
      <c r="J132" s="561"/>
      <c r="K132" s="561"/>
      <c r="L132" s="561"/>
      <c r="M132" s="561"/>
      <c r="N132" s="106" t="s">
        <v>348</v>
      </c>
      <c r="O132" s="337" t="s">
        <v>349</v>
      </c>
      <c r="P132" s="76" t="s">
        <v>27</v>
      </c>
      <c r="Q132" s="105">
        <v>15</v>
      </c>
      <c r="R132" s="105">
        <v>15</v>
      </c>
      <c r="S132" s="337"/>
      <c r="T132" s="104" t="s">
        <v>350</v>
      </c>
      <c r="U132" s="112"/>
      <c r="V132" s="510"/>
      <c r="W132" s="510"/>
      <c r="X132" s="513"/>
      <c r="Y132" s="513"/>
      <c r="Z132" s="563"/>
      <c r="AA132" s="98"/>
    </row>
    <row r="133" spans="1:27" ht="156" hidden="1">
      <c r="A133" s="475"/>
      <c r="B133" s="556"/>
      <c r="C133" s="557"/>
      <c r="D133" s="559"/>
      <c r="E133" s="559"/>
      <c r="F133" s="557"/>
      <c r="G133" s="561"/>
      <c r="H133" s="561"/>
      <c r="I133" s="557"/>
      <c r="J133" s="561"/>
      <c r="K133" s="561"/>
      <c r="L133" s="561"/>
      <c r="M133" s="561"/>
      <c r="N133" s="106" t="s">
        <v>351</v>
      </c>
      <c r="O133" s="337" t="s">
        <v>352</v>
      </c>
      <c r="P133" s="76" t="s">
        <v>36</v>
      </c>
      <c r="Q133" s="105">
        <v>50</v>
      </c>
      <c r="R133" s="105">
        <v>50</v>
      </c>
      <c r="S133" s="337" t="s">
        <v>192</v>
      </c>
      <c r="T133" s="104">
        <v>5.8664440000000004</v>
      </c>
      <c r="U133" s="112">
        <f t="shared" si="7"/>
        <v>0.11732888000000001</v>
      </c>
      <c r="V133" s="510"/>
      <c r="W133" s="510"/>
      <c r="X133" s="513"/>
      <c r="Y133" s="513"/>
      <c r="Z133" s="563"/>
      <c r="AA133" s="98"/>
    </row>
    <row r="134" spans="1:27" ht="72" hidden="1">
      <c r="A134" s="475"/>
      <c r="B134" s="556"/>
      <c r="C134" s="557" t="s">
        <v>318</v>
      </c>
      <c r="D134" s="560"/>
      <c r="E134" s="560"/>
      <c r="F134" s="557"/>
      <c r="G134" s="561"/>
      <c r="H134" s="561"/>
      <c r="I134" s="557"/>
      <c r="J134" s="561"/>
      <c r="K134" s="561"/>
      <c r="L134" s="561"/>
      <c r="M134" s="561"/>
      <c r="N134" s="106" t="s">
        <v>353</v>
      </c>
      <c r="O134" s="337" t="s">
        <v>354</v>
      </c>
      <c r="P134" s="76" t="s">
        <v>36</v>
      </c>
      <c r="Q134" s="105">
        <v>20</v>
      </c>
      <c r="R134" s="105">
        <v>30</v>
      </c>
      <c r="S134" s="337" t="s">
        <v>355</v>
      </c>
      <c r="T134" s="104">
        <v>11.714788</v>
      </c>
      <c r="U134" s="112">
        <f t="shared" si="7"/>
        <v>0.58573940000000002</v>
      </c>
      <c r="V134" s="511"/>
      <c r="W134" s="511"/>
      <c r="X134" s="514"/>
      <c r="Y134" s="514"/>
      <c r="Z134" s="337" t="s">
        <v>43</v>
      </c>
      <c r="AA134" s="98"/>
    </row>
    <row r="135" spans="1:27" hidden="1">
      <c r="A135" s="475"/>
      <c r="B135" s="529">
        <v>7</v>
      </c>
      <c r="C135" s="555" t="s">
        <v>1912</v>
      </c>
      <c r="D135" s="558">
        <v>77615.055600000007</v>
      </c>
      <c r="E135" s="558" t="s">
        <v>2062</v>
      </c>
      <c r="F135" s="555" t="s">
        <v>356</v>
      </c>
      <c r="G135" s="561">
        <v>236.64709999999999</v>
      </c>
      <c r="H135" s="561"/>
      <c r="I135" s="555" t="s">
        <v>356</v>
      </c>
      <c r="J135" s="561">
        <v>77.615055999999996</v>
      </c>
      <c r="K135" s="561"/>
      <c r="L135" s="561"/>
      <c r="M135" s="561">
        <f>G135+J135</f>
        <v>314.262156</v>
      </c>
      <c r="N135" s="332" t="s">
        <v>357</v>
      </c>
      <c r="O135" s="332" t="s">
        <v>358</v>
      </c>
      <c r="P135" s="76" t="s">
        <v>36</v>
      </c>
      <c r="Q135" s="102">
        <v>5.3</v>
      </c>
      <c r="R135" s="102">
        <v>21</v>
      </c>
      <c r="S135" s="122" t="s">
        <v>359</v>
      </c>
      <c r="T135" s="333">
        <v>9.1652830000000005</v>
      </c>
      <c r="U135" s="344">
        <f>T135/Q135</f>
        <v>1.7292986792452831</v>
      </c>
      <c r="V135" s="567">
        <f>SUM(Q135:Q140)</f>
        <v>16.388200000000001</v>
      </c>
      <c r="W135" s="567">
        <f>SUM(T135:T140)</f>
        <v>19.147899000000002</v>
      </c>
      <c r="X135" s="504">
        <f>W135/V135</f>
        <v>1.1683954918783028</v>
      </c>
      <c r="Y135" s="504">
        <f>W135/M135</f>
        <v>6.0929700361376002E-2</v>
      </c>
      <c r="Z135" s="555" t="s">
        <v>258</v>
      </c>
      <c r="AA135" s="98"/>
    </row>
    <row r="136" spans="1:27" hidden="1">
      <c r="A136" s="475"/>
      <c r="B136" s="529"/>
      <c r="C136" s="555"/>
      <c r="D136" s="559"/>
      <c r="E136" s="559"/>
      <c r="F136" s="555"/>
      <c r="G136" s="561"/>
      <c r="H136" s="561"/>
      <c r="I136" s="555"/>
      <c r="J136" s="561"/>
      <c r="K136" s="561"/>
      <c r="L136" s="561"/>
      <c r="M136" s="561"/>
      <c r="N136" s="332" t="s">
        <v>360</v>
      </c>
      <c r="O136" s="332" t="s">
        <v>361</v>
      </c>
      <c r="P136" s="76" t="s">
        <v>36</v>
      </c>
      <c r="Q136" s="102">
        <v>6.5</v>
      </c>
      <c r="R136" s="102">
        <v>12</v>
      </c>
      <c r="S136" s="122" t="s">
        <v>362</v>
      </c>
      <c r="T136" s="333">
        <v>6.0606910000000003</v>
      </c>
      <c r="U136" s="344">
        <f>T136/Q136</f>
        <v>0.93241400000000008</v>
      </c>
      <c r="V136" s="502"/>
      <c r="W136" s="502"/>
      <c r="X136" s="505"/>
      <c r="Y136" s="505"/>
      <c r="Z136" s="555"/>
      <c r="AA136" s="98"/>
    </row>
    <row r="137" spans="1:27">
      <c r="A137" s="475"/>
      <c r="B137" s="529"/>
      <c r="C137" s="555"/>
      <c r="D137" s="559"/>
      <c r="E137" s="559"/>
      <c r="F137" s="555"/>
      <c r="G137" s="561"/>
      <c r="H137" s="561"/>
      <c r="I137" s="555"/>
      <c r="J137" s="561"/>
      <c r="K137" s="561"/>
      <c r="L137" s="561"/>
      <c r="M137" s="561"/>
      <c r="N137" s="331" t="s">
        <v>363</v>
      </c>
      <c r="O137" s="331" t="s">
        <v>364</v>
      </c>
      <c r="P137" s="76" t="s">
        <v>27</v>
      </c>
      <c r="Q137" s="100">
        <v>0.44230000000000003</v>
      </c>
      <c r="R137" s="100">
        <v>0.44230000000000003</v>
      </c>
      <c r="S137" s="123" t="s">
        <v>365</v>
      </c>
      <c r="T137" s="330">
        <v>0.236544</v>
      </c>
      <c r="U137" s="344">
        <f t="shared" ref="U137:U140" si="9">T137/Q137</f>
        <v>0.53480443138141531</v>
      </c>
      <c r="V137" s="502"/>
      <c r="W137" s="502"/>
      <c r="X137" s="505"/>
      <c r="Y137" s="505"/>
      <c r="Z137" s="555"/>
      <c r="AA137" s="98"/>
    </row>
    <row r="138" spans="1:27" ht="24">
      <c r="A138" s="475"/>
      <c r="B138" s="529"/>
      <c r="C138" s="555"/>
      <c r="D138" s="559"/>
      <c r="E138" s="559"/>
      <c r="F138" s="555"/>
      <c r="G138" s="561"/>
      <c r="H138" s="561"/>
      <c r="I138" s="555"/>
      <c r="J138" s="561"/>
      <c r="K138" s="561"/>
      <c r="L138" s="561"/>
      <c r="M138" s="561"/>
      <c r="N138" s="331" t="s">
        <v>366</v>
      </c>
      <c r="O138" s="331" t="s">
        <v>364</v>
      </c>
      <c r="P138" s="76" t="s">
        <v>27</v>
      </c>
      <c r="Q138" s="100">
        <v>8.4500000000000006E-2</v>
      </c>
      <c r="R138" s="100">
        <v>8.4500000000000006E-2</v>
      </c>
      <c r="S138" s="123" t="s">
        <v>367</v>
      </c>
      <c r="T138" s="330">
        <v>2.7810000000000001E-2</v>
      </c>
      <c r="U138" s="344">
        <f t="shared" si="9"/>
        <v>0.32911242603550295</v>
      </c>
      <c r="V138" s="502"/>
      <c r="W138" s="502"/>
      <c r="X138" s="505"/>
      <c r="Y138" s="505"/>
      <c r="Z138" s="555"/>
      <c r="AA138" s="98"/>
    </row>
    <row r="139" spans="1:27">
      <c r="A139" s="475"/>
      <c r="B139" s="529"/>
      <c r="C139" s="555"/>
      <c r="D139" s="559"/>
      <c r="E139" s="559"/>
      <c r="F139" s="555"/>
      <c r="G139" s="561"/>
      <c r="H139" s="561"/>
      <c r="I139" s="555"/>
      <c r="J139" s="561"/>
      <c r="K139" s="561"/>
      <c r="L139" s="561"/>
      <c r="M139" s="561"/>
      <c r="N139" s="331" t="s">
        <v>368</v>
      </c>
      <c r="O139" s="331" t="s">
        <v>364</v>
      </c>
      <c r="P139" s="76" t="s">
        <v>27</v>
      </c>
      <c r="Q139" s="100">
        <v>2.5364</v>
      </c>
      <c r="R139" s="100">
        <v>2.5364</v>
      </c>
      <c r="S139" s="123" t="s">
        <v>369</v>
      </c>
      <c r="T139" s="330">
        <v>2.3690850000000001</v>
      </c>
      <c r="U139" s="344">
        <f t="shared" si="9"/>
        <v>0.93403445828733644</v>
      </c>
      <c r="V139" s="502"/>
      <c r="W139" s="502"/>
      <c r="X139" s="505"/>
      <c r="Y139" s="505"/>
      <c r="Z139" s="555"/>
      <c r="AA139" s="98"/>
    </row>
    <row r="140" spans="1:27">
      <c r="A140" s="475"/>
      <c r="B140" s="529"/>
      <c r="C140" s="555"/>
      <c r="D140" s="560"/>
      <c r="E140" s="560"/>
      <c r="F140" s="555"/>
      <c r="G140" s="561"/>
      <c r="H140" s="561"/>
      <c r="I140" s="555"/>
      <c r="J140" s="561"/>
      <c r="K140" s="561"/>
      <c r="L140" s="561"/>
      <c r="M140" s="561"/>
      <c r="N140" s="331" t="s">
        <v>370</v>
      </c>
      <c r="O140" s="331" t="s">
        <v>364</v>
      </c>
      <c r="P140" s="76" t="s">
        <v>27</v>
      </c>
      <c r="Q140" s="100">
        <v>1.5249999999999999</v>
      </c>
      <c r="R140" s="100">
        <v>1.5249999999999999</v>
      </c>
      <c r="S140" s="123" t="s">
        <v>371</v>
      </c>
      <c r="T140" s="330">
        <v>1.288486</v>
      </c>
      <c r="U140" s="344">
        <f t="shared" si="9"/>
        <v>0.84490885245901648</v>
      </c>
      <c r="V140" s="503"/>
      <c r="W140" s="503"/>
      <c r="X140" s="506"/>
      <c r="Y140" s="506"/>
      <c r="Z140" s="555"/>
      <c r="AA140" s="98"/>
    </row>
    <row r="141" spans="1:27" ht="36" hidden="1">
      <c r="A141" s="475"/>
      <c r="B141" s="334">
        <v>8</v>
      </c>
      <c r="C141" s="332" t="s">
        <v>1913</v>
      </c>
      <c r="D141" s="370">
        <v>12348.7989</v>
      </c>
      <c r="E141" s="370" t="s">
        <v>2063</v>
      </c>
      <c r="F141" s="332" t="s">
        <v>242</v>
      </c>
      <c r="G141" s="333">
        <v>33.196300000000001</v>
      </c>
      <c r="H141" s="333">
        <v>1</v>
      </c>
      <c r="I141" s="332" t="s">
        <v>372</v>
      </c>
      <c r="J141" s="333">
        <v>24.6</v>
      </c>
      <c r="K141" s="333"/>
      <c r="L141" s="333"/>
      <c r="M141" s="333">
        <f>SUM(G141,H141,J141,L141)</f>
        <v>58.796300000000002</v>
      </c>
      <c r="N141" s="332" t="s">
        <v>373</v>
      </c>
      <c r="O141" s="332" t="s">
        <v>374</v>
      </c>
      <c r="P141" s="76" t="s">
        <v>36</v>
      </c>
      <c r="Q141" s="102">
        <v>9</v>
      </c>
      <c r="R141" s="102">
        <v>16.5</v>
      </c>
      <c r="S141" s="122" t="s">
        <v>375</v>
      </c>
      <c r="T141" s="333">
        <v>9.1908999999999992</v>
      </c>
      <c r="U141" s="344">
        <f>T141/Q141</f>
        <v>1.0212111111111111</v>
      </c>
      <c r="V141" s="122">
        <f>Q141</f>
        <v>9</v>
      </c>
      <c r="W141" s="122">
        <f>T141</f>
        <v>9.1908999999999992</v>
      </c>
      <c r="X141" s="103">
        <f>W141/V141</f>
        <v>1.0212111111111111</v>
      </c>
      <c r="Y141" s="103">
        <f>W141/M141</f>
        <v>0.15631765944455686</v>
      </c>
      <c r="Z141" s="332" t="s">
        <v>258</v>
      </c>
      <c r="AA141" s="98"/>
    </row>
    <row r="142" spans="1:27" hidden="1">
      <c r="A142" s="475"/>
      <c r="B142" s="529">
        <v>9</v>
      </c>
      <c r="C142" s="555" t="s">
        <v>1914</v>
      </c>
      <c r="D142" s="564">
        <f>49897.8578</f>
        <v>49897.857799999998</v>
      </c>
      <c r="E142" s="564" t="s">
        <v>2064</v>
      </c>
      <c r="F142" s="555" t="s">
        <v>376</v>
      </c>
      <c r="G142" s="561">
        <v>146.4357</v>
      </c>
      <c r="H142" s="561"/>
      <c r="I142" s="555" t="s">
        <v>377</v>
      </c>
      <c r="J142" s="561">
        <v>49.194499999999998</v>
      </c>
      <c r="K142" s="561"/>
      <c r="L142" s="561"/>
      <c r="M142" s="561">
        <f>SUM(G142,H142,J142,L142)</f>
        <v>195.6302</v>
      </c>
      <c r="N142" s="332" t="s">
        <v>378</v>
      </c>
      <c r="O142" s="332" t="s">
        <v>379</v>
      </c>
      <c r="P142" s="76" t="s">
        <v>36</v>
      </c>
      <c r="Q142" s="102">
        <v>30</v>
      </c>
      <c r="R142" s="102">
        <v>62.5197</v>
      </c>
      <c r="S142" s="332" t="s">
        <v>380</v>
      </c>
      <c r="T142" s="568">
        <v>16.5913</v>
      </c>
      <c r="U142" s="569">
        <f>T142/(Q142+Q143)</f>
        <v>0.4147825</v>
      </c>
      <c r="V142" s="517">
        <f>SUM(Q142:Q148)</f>
        <v>162.13410000000002</v>
      </c>
      <c r="W142" s="517">
        <f>SUM(T142:T148)</f>
        <v>16.5913</v>
      </c>
      <c r="X142" s="504">
        <f>W142/V142</f>
        <v>0.10233072499862766</v>
      </c>
      <c r="Y142" s="504">
        <f>W142/M142</f>
        <v>8.4809502827273092E-2</v>
      </c>
      <c r="Z142" s="555" t="s">
        <v>381</v>
      </c>
      <c r="AA142" s="98"/>
    </row>
    <row r="143" spans="1:27" hidden="1">
      <c r="A143" s="475"/>
      <c r="B143" s="529"/>
      <c r="C143" s="555"/>
      <c r="D143" s="565"/>
      <c r="E143" s="565"/>
      <c r="F143" s="555"/>
      <c r="G143" s="561"/>
      <c r="H143" s="561"/>
      <c r="I143" s="555"/>
      <c r="J143" s="561"/>
      <c r="K143" s="561"/>
      <c r="L143" s="561"/>
      <c r="M143" s="561"/>
      <c r="N143" s="332" t="s">
        <v>382</v>
      </c>
      <c r="O143" s="332" t="s">
        <v>379</v>
      </c>
      <c r="P143" s="76" t="s">
        <v>36</v>
      </c>
      <c r="Q143" s="102">
        <v>10</v>
      </c>
      <c r="R143" s="102">
        <v>23.437100000000001</v>
      </c>
      <c r="S143" s="332" t="s">
        <v>380</v>
      </c>
      <c r="T143" s="568"/>
      <c r="U143" s="569"/>
      <c r="V143" s="502"/>
      <c r="W143" s="502"/>
      <c r="X143" s="505"/>
      <c r="Y143" s="505"/>
      <c r="Z143" s="555"/>
      <c r="AA143" s="98"/>
    </row>
    <row r="144" spans="1:27">
      <c r="A144" s="475"/>
      <c r="B144" s="529"/>
      <c r="C144" s="555"/>
      <c r="D144" s="565"/>
      <c r="E144" s="565"/>
      <c r="F144" s="555"/>
      <c r="G144" s="561"/>
      <c r="H144" s="561"/>
      <c r="I144" s="555"/>
      <c r="J144" s="561"/>
      <c r="K144" s="561"/>
      <c r="L144" s="561"/>
      <c r="M144" s="561"/>
      <c r="N144" s="332" t="s">
        <v>383</v>
      </c>
      <c r="O144" s="332" t="s">
        <v>384</v>
      </c>
      <c r="P144" s="76" t="s">
        <v>27</v>
      </c>
      <c r="Q144" s="102">
        <v>3.5960999999999999</v>
      </c>
      <c r="R144" s="102">
        <v>3.5960999999999999</v>
      </c>
      <c r="S144" s="332" t="s">
        <v>289</v>
      </c>
      <c r="T144" s="333"/>
      <c r="U144" s="332"/>
      <c r="V144" s="502"/>
      <c r="W144" s="502"/>
      <c r="X144" s="505"/>
      <c r="Y144" s="505"/>
      <c r="Z144" s="555"/>
      <c r="AA144" s="98"/>
    </row>
    <row r="145" spans="1:27">
      <c r="A145" s="475"/>
      <c r="B145" s="529"/>
      <c r="C145" s="555"/>
      <c r="D145" s="565"/>
      <c r="E145" s="565"/>
      <c r="F145" s="555"/>
      <c r="G145" s="561"/>
      <c r="H145" s="561"/>
      <c r="I145" s="555"/>
      <c r="J145" s="561"/>
      <c r="K145" s="561"/>
      <c r="L145" s="561"/>
      <c r="M145" s="561"/>
      <c r="N145" s="332" t="s">
        <v>385</v>
      </c>
      <c r="O145" s="332" t="s">
        <v>386</v>
      </c>
      <c r="P145" s="76" t="s">
        <v>27</v>
      </c>
      <c r="Q145" s="102">
        <v>100</v>
      </c>
      <c r="R145" s="102">
        <v>24.101900000000001</v>
      </c>
      <c r="S145" s="332" t="s">
        <v>289</v>
      </c>
      <c r="T145" s="333"/>
      <c r="U145" s="332"/>
      <c r="V145" s="502"/>
      <c r="W145" s="502"/>
      <c r="X145" s="505"/>
      <c r="Y145" s="505"/>
      <c r="Z145" s="555"/>
      <c r="AA145" s="98"/>
    </row>
    <row r="146" spans="1:27" ht="24">
      <c r="A146" s="475"/>
      <c r="B146" s="529"/>
      <c r="C146" s="555"/>
      <c r="D146" s="565"/>
      <c r="E146" s="565"/>
      <c r="F146" s="555"/>
      <c r="G146" s="561"/>
      <c r="H146" s="561"/>
      <c r="I146" s="555"/>
      <c r="J146" s="561"/>
      <c r="K146" s="561"/>
      <c r="L146" s="561"/>
      <c r="M146" s="561"/>
      <c r="N146" s="332" t="s">
        <v>387</v>
      </c>
      <c r="O146" s="332" t="s">
        <v>388</v>
      </c>
      <c r="P146" s="76" t="s">
        <v>27</v>
      </c>
      <c r="Q146" s="102">
        <v>12</v>
      </c>
      <c r="R146" s="102">
        <v>1.304</v>
      </c>
      <c r="S146" s="332" t="s">
        <v>289</v>
      </c>
      <c r="T146" s="333"/>
      <c r="U146" s="332"/>
      <c r="V146" s="502"/>
      <c r="W146" s="502"/>
      <c r="X146" s="505"/>
      <c r="Y146" s="505"/>
      <c r="Z146" s="555"/>
      <c r="AA146" s="98"/>
    </row>
    <row r="147" spans="1:27">
      <c r="A147" s="475"/>
      <c r="B147" s="529"/>
      <c r="C147" s="555"/>
      <c r="D147" s="565"/>
      <c r="E147" s="565"/>
      <c r="F147" s="555"/>
      <c r="G147" s="561"/>
      <c r="H147" s="561"/>
      <c r="I147" s="555"/>
      <c r="J147" s="561"/>
      <c r="K147" s="561"/>
      <c r="L147" s="561"/>
      <c r="M147" s="561"/>
      <c r="N147" s="332" t="s">
        <v>389</v>
      </c>
      <c r="O147" s="332" t="s">
        <v>390</v>
      </c>
      <c r="P147" s="76" t="s">
        <v>27</v>
      </c>
      <c r="Q147" s="102">
        <v>3</v>
      </c>
      <c r="R147" s="102">
        <v>0.73740000000000006</v>
      </c>
      <c r="S147" s="332" t="s">
        <v>289</v>
      </c>
      <c r="T147" s="333"/>
      <c r="U147" s="332"/>
      <c r="V147" s="502"/>
      <c r="W147" s="502"/>
      <c r="X147" s="505"/>
      <c r="Y147" s="505"/>
      <c r="Z147" s="555"/>
      <c r="AA147" s="98"/>
    </row>
    <row r="148" spans="1:27" ht="24">
      <c r="A148" s="475"/>
      <c r="B148" s="529"/>
      <c r="C148" s="555"/>
      <c r="D148" s="566"/>
      <c r="E148" s="566"/>
      <c r="F148" s="555"/>
      <c r="G148" s="561"/>
      <c r="H148" s="561"/>
      <c r="I148" s="555"/>
      <c r="J148" s="561"/>
      <c r="K148" s="561"/>
      <c r="L148" s="561"/>
      <c r="M148" s="561"/>
      <c r="N148" s="332" t="s">
        <v>391</v>
      </c>
      <c r="O148" s="332" t="s">
        <v>392</v>
      </c>
      <c r="P148" s="76" t="s">
        <v>27</v>
      </c>
      <c r="Q148" s="102">
        <v>3.5379999999999998</v>
      </c>
      <c r="R148" s="102">
        <v>3.5379999999999998</v>
      </c>
      <c r="S148" s="332" t="s">
        <v>289</v>
      </c>
      <c r="T148" s="333"/>
      <c r="U148" s="332"/>
      <c r="V148" s="503"/>
      <c r="W148" s="503"/>
      <c r="X148" s="506"/>
      <c r="Y148" s="506"/>
      <c r="Z148" s="555"/>
      <c r="AA148" s="98"/>
    </row>
    <row r="149" spans="1:27">
      <c r="A149" s="475"/>
      <c r="B149" s="529">
        <v>10</v>
      </c>
      <c r="C149" s="555" t="s">
        <v>393</v>
      </c>
      <c r="D149" s="558">
        <v>46243.580099999999</v>
      </c>
      <c r="E149" s="558" t="s">
        <v>2065</v>
      </c>
      <c r="F149" s="555" t="s">
        <v>394</v>
      </c>
      <c r="G149" s="561">
        <v>202.33</v>
      </c>
      <c r="H149" s="561">
        <v>5</v>
      </c>
      <c r="I149" s="555" t="s">
        <v>394</v>
      </c>
      <c r="J149" s="561">
        <v>50.46</v>
      </c>
      <c r="K149" s="561"/>
      <c r="L149" s="561"/>
      <c r="M149" s="561">
        <v>257.79000000000002</v>
      </c>
      <c r="N149" s="332" t="s">
        <v>395</v>
      </c>
      <c r="O149" s="332" t="s">
        <v>396</v>
      </c>
      <c r="P149" s="76" t="s">
        <v>27</v>
      </c>
      <c r="Q149" s="102">
        <f>123534.12/10000</f>
        <v>12.353411999999999</v>
      </c>
      <c r="R149" s="102">
        <f>123534.12/10000</f>
        <v>12.353411999999999</v>
      </c>
      <c r="S149" s="124" t="s">
        <v>397</v>
      </c>
      <c r="T149" s="333">
        <v>5</v>
      </c>
      <c r="U149" s="344">
        <f>T149/Q149</f>
        <v>0.40474647813899517</v>
      </c>
      <c r="V149" s="517">
        <f>SUM(Q149:Q165)</f>
        <v>214.973412</v>
      </c>
      <c r="W149" s="517">
        <f>SUM(T149:T165)</f>
        <v>415.44799999999998</v>
      </c>
      <c r="X149" s="504">
        <f>W149/V149</f>
        <v>1.932555268741792</v>
      </c>
      <c r="Y149" s="504">
        <f>W149/M149</f>
        <v>1.6115753132394584</v>
      </c>
      <c r="Z149" s="555" t="s">
        <v>258</v>
      </c>
      <c r="AA149" s="98"/>
    </row>
    <row r="150" spans="1:27">
      <c r="A150" s="475"/>
      <c r="B150" s="529"/>
      <c r="C150" s="555"/>
      <c r="D150" s="559"/>
      <c r="E150" s="559"/>
      <c r="F150" s="555"/>
      <c r="G150" s="561"/>
      <c r="H150" s="561"/>
      <c r="I150" s="555"/>
      <c r="J150" s="561"/>
      <c r="K150" s="561"/>
      <c r="L150" s="561"/>
      <c r="M150" s="561"/>
      <c r="N150" s="332" t="s">
        <v>398</v>
      </c>
      <c r="O150" s="332" t="s">
        <v>399</v>
      </c>
      <c r="P150" s="76" t="s">
        <v>27</v>
      </c>
      <c r="Q150" s="102">
        <v>3</v>
      </c>
      <c r="R150" s="102">
        <v>3</v>
      </c>
      <c r="S150" s="124" t="s">
        <v>400</v>
      </c>
      <c r="T150" s="333">
        <v>2.5</v>
      </c>
      <c r="U150" s="344">
        <f t="shared" ref="U150:U162" si="10">T150/Q150</f>
        <v>0.83333333333333337</v>
      </c>
      <c r="V150" s="502"/>
      <c r="W150" s="502"/>
      <c r="X150" s="505"/>
      <c r="Y150" s="505"/>
      <c r="Z150" s="555"/>
      <c r="AA150" s="98"/>
    </row>
    <row r="151" spans="1:27">
      <c r="A151" s="475"/>
      <c r="B151" s="529"/>
      <c r="C151" s="555"/>
      <c r="D151" s="559"/>
      <c r="E151" s="559"/>
      <c r="F151" s="555"/>
      <c r="G151" s="561"/>
      <c r="H151" s="561"/>
      <c r="I151" s="555"/>
      <c r="J151" s="561"/>
      <c r="K151" s="561"/>
      <c r="L151" s="561"/>
      <c r="M151" s="561"/>
      <c r="N151" s="332" t="s">
        <v>401</v>
      </c>
      <c r="O151" s="332" t="s">
        <v>399</v>
      </c>
      <c r="P151" s="76" t="s">
        <v>27</v>
      </c>
      <c r="Q151" s="102">
        <v>3.6</v>
      </c>
      <c r="R151" s="102">
        <v>3.6</v>
      </c>
      <c r="S151" s="124" t="s">
        <v>183</v>
      </c>
      <c r="T151" s="333">
        <v>2.6</v>
      </c>
      <c r="U151" s="344">
        <f t="shared" si="10"/>
        <v>0.72222222222222221</v>
      </c>
      <c r="V151" s="502"/>
      <c r="W151" s="502"/>
      <c r="X151" s="505"/>
      <c r="Y151" s="505"/>
      <c r="Z151" s="555"/>
      <c r="AA151" s="98"/>
    </row>
    <row r="152" spans="1:27">
      <c r="A152" s="475"/>
      <c r="B152" s="529"/>
      <c r="C152" s="555"/>
      <c r="D152" s="559"/>
      <c r="E152" s="559"/>
      <c r="F152" s="555"/>
      <c r="G152" s="561"/>
      <c r="H152" s="561"/>
      <c r="I152" s="555"/>
      <c r="J152" s="561"/>
      <c r="K152" s="561"/>
      <c r="L152" s="561"/>
      <c r="M152" s="561"/>
      <c r="N152" s="332" t="s">
        <v>402</v>
      </c>
      <c r="O152" s="332" t="s">
        <v>403</v>
      </c>
      <c r="P152" s="76" t="s">
        <v>27</v>
      </c>
      <c r="Q152" s="102">
        <v>0.6</v>
      </c>
      <c r="R152" s="102">
        <v>0.6</v>
      </c>
      <c r="S152" s="124" t="s">
        <v>404</v>
      </c>
      <c r="T152" s="333">
        <v>0.45</v>
      </c>
      <c r="U152" s="344">
        <f t="shared" si="10"/>
        <v>0.75</v>
      </c>
      <c r="V152" s="502"/>
      <c r="W152" s="502"/>
      <c r="X152" s="505"/>
      <c r="Y152" s="505"/>
      <c r="Z152" s="555"/>
      <c r="AA152" s="98"/>
    </row>
    <row r="153" spans="1:27">
      <c r="A153" s="475"/>
      <c r="B153" s="529"/>
      <c r="C153" s="555"/>
      <c r="D153" s="559"/>
      <c r="E153" s="559"/>
      <c r="F153" s="555"/>
      <c r="G153" s="561"/>
      <c r="H153" s="561"/>
      <c r="I153" s="555"/>
      <c r="J153" s="561"/>
      <c r="K153" s="561"/>
      <c r="L153" s="561"/>
      <c r="M153" s="561"/>
      <c r="N153" s="332" t="s">
        <v>405</v>
      </c>
      <c r="O153" s="332" t="s">
        <v>403</v>
      </c>
      <c r="P153" s="76" t="s">
        <v>27</v>
      </c>
      <c r="Q153" s="102">
        <v>0.98</v>
      </c>
      <c r="R153" s="102">
        <v>0.98</v>
      </c>
      <c r="S153" s="124" t="s">
        <v>406</v>
      </c>
      <c r="T153" s="333">
        <v>0.79</v>
      </c>
      <c r="U153" s="344">
        <f t="shared" si="10"/>
        <v>0.80612244897959184</v>
      </c>
      <c r="V153" s="502"/>
      <c r="W153" s="502"/>
      <c r="X153" s="505"/>
      <c r="Y153" s="505"/>
      <c r="Z153" s="555"/>
      <c r="AA153" s="98"/>
    </row>
    <row r="154" spans="1:27" ht="24">
      <c r="A154" s="475"/>
      <c r="B154" s="529"/>
      <c r="C154" s="555"/>
      <c r="D154" s="559"/>
      <c r="E154" s="559"/>
      <c r="F154" s="555"/>
      <c r="G154" s="561"/>
      <c r="H154" s="561"/>
      <c r="I154" s="555"/>
      <c r="J154" s="561"/>
      <c r="K154" s="561"/>
      <c r="L154" s="561"/>
      <c r="M154" s="561"/>
      <c r="N154" s="332" t="s">
        <v>407</v>
      </c>
      <c r="O154" s="332" t="s">
        <v>408</v>
      </c>
      <c r="P154" s="76" t="s">
        <v>27</v>
      </c>
      <c r="Q154" s="102">
        <v>2.06</v>
      </c>
      <c r="R154" s="102">
        <v>2.06</v>
      </c>
      <c r="S154" s="124" t="s">
        <v>409</v>
      </c>
      <c r="T154" s="333">
        <v>1.53</v>
      </c>
      <c r="U154" s="344">
        <f t="shared" si="10"/>
        <v>0.74271844660194175</v>
      </c>
      <c r="V154" s="502"/>
      <c r="W154" s="502"/>
      <c r="X154" s="505"/>
      <c r="Y154" s="505"/>
      <c r="Z154" s="555"/>
      <c r="AA154" s="98"/>
    </row>
    <row r="155" spans="1:27" ht="24">
      <c r="A155" s="475"/>
      <c r="B155" s="529"/>
      <c r="C155" s="555"/>
      <c r="D155" s="559"/>
      <c r="E155" s="559"/>
      <c r="F155" s="555"/>
      <c r="G155" s="561"/>
      <c r="H155" s="561"/>
      <c r="I155" s="555"/>
      <c r="J155" s="561"/>
      <c r="K155" s="561"/>
      <c r="L155" s="561"/>
      <c r="M155" s="561"/>
      <c r="N155" s="332" t="s">
        <v>410</v>
      </c>
      <c r="O155" s="332" t="s">
        <v>411</v>
      </c>
      <c r="P155" s="76" t="s">
        <v>27</v>
      </c>
      <c r="Q155" s="102">
        <v>5.54</v>
      </c>
      <c r="R155" s="102">
        <v>5.54</v>
      </c>
      <c r="S155" s="124" t="s">
        <v>321</v>
      </c>
      <c r="T155" s="333">
        <v>12.76</v>
      </c>
      <c r="U155" s="344">
        <f t="shared" si="10"/>
        <v>2.3032490974729241</v>
      </c>
      <c r="V155" s="502"/>
      <c r="W155" s="502"/>
      <c r="X155" s="505"/>
      <c r="Y155" s="505"/>
      <c r="Z155" s="555"/>
      <c r="AA155" s="98"/>
    </row>
    <row r="156" spans="1:27">
      <c r="A156" s="475"/>
      <c r="B156" s="529"/>
      <c r="C156" s="555"/>
      <c r="D156" s="559"/>
      <c r="E156" s="559"/>
      <c r="F156" s="555"/>
      <c r="G156" s="561"/>
      <c r="H156" s="561"/>
      <c r="I156" s="555"/>
      <c r="J156" s="561"/>
      <c r="K156" s="561"/>
      <c r="L156" s="561"/>
      <c r="M156" s="561"/>
      <c r="N156" s="332" t="s">
        <v>412</v>
      </c>
      <c r="O156" s="332" t="s">
        <v>403</v>
      </c>
      <c r="P156" s="76" t="s">
        <v>27</v>
      </c>
      <c r="Q156" s="102">
        <v>0.94</v>
      </c>
      <c r="R156" s="102">
        <v>0.94</v>
      </c>
      <c r="S156" s="124" t="s">
        <v>413</v>
      </c>
      <c r="T156" s="333">
        <v>0.48</v>
      </c>
      <c r="U156" s="344">
        <f t="shared" si="10"/>
        <v>0.51063829787234039</v>
      </c>
      <c r="V156" s="502"/>
      <c r="W156" s="502"/>
      <c r="X156" s="505"/>
      <c r="Y156" s="505"/>
      <c r="Z156" s="555"/>
      <c r="AA156" s="98"/>
    </row>
    <row r="157" spans="1:27" ht="24">
      <c r="A157" s="475"/>
      <c r="B157" s="529"/>
      <c r="C157" s="555"/>
      <c r="D157" s="559"/>
      <c r="E157" s="559"/>
      <c r="F157" s="555"/>
      <c r="G157" s="561"/>
      <c r="H157" s="561"/>
      <c r="I157" s="555"/>
      <c r="J157" s="561"/>
      <c r="K157" s="561"/>
      <c r="L157" s="561"/>
      <c r="M157" s="561"/>
      <c r="N157" s="332" t="s">
        <v>1915</v>
      </c>
      <c r="O157" s="332" t="s">
        <v>414</v>
      </c>
      <c r="P157" s="76" t="s">
        <v>27</v>
      </c>
      <c r="Q157" s="102">
        <v>1.02</v>
      </c>
      <c r="R157" s="102">
        <v>1.02</v>
      </c>
      <c r="S157" s="124" t="s">
        <v>413</v>
      </c>
      <c r="T157" s="333">
        <v>0.8</v>
      </c>
      <c r="U157" s="344">
        <f t="shared" si="10"/>
        <v>0.78431372549019607</v>
      </c>
      <c r="V157" s="502"/>
      <c r="W157" s="502"/>
      <c r="X157" s="505"/>
      <c r="Y157" s="505"/>
      <c r="Z157" s="555"/>
      <c r="AA157" s="98"/>
    </row>
    <row r="158" spans="1:27" ht="24">
      <c r="A158" s="475"/>
      <c r="B158" s="529"/>
      <c r="C158" s="555"/>
      <c r="D158" s="559"/>
      <c r="E158" s="559"/>
      <c r="F158" s="555"/>
      <c r="G158" s="561"/>
      <c r="H158" s="561"/>
      <c r="I158" s="555"/>
      <c r="J158" s="561"/>
      <c r="K158" s="561"/>
      <c r="L158" s="561"/>
      <c r="M158" s="561"/>
      <c r="N158" s="332" t="s">
        <v>415</v>
      </c>
      <c r="O158" s="332" t="s">
        <v>416</v>
      </c>
      <c r="P158" s="76" t="s">
        <v>27</v>
      </c>
      <c r="Q158" s="102">
        <v>0.39</v>
      </c>
      <c r="R158" s="102">
        <v>0.39</v>
      </c>
      <c r="S158" s="95" t="s">
        <v>417</v>
      </c>
      <c r="T158" s="333">
        <v>0.31</v>
      </c>
      <c r="U158" s="344">
        <f t="shared" si="10"/>
        <v>0.79487179487179482</v>
      </c>
      <c r="V158" s="502"/>
      <c r="W158" s="502"/>
      <c r="X158" s="505"/>
      <c r="Y158" s="505"/>
      <c r="Z158" s="555"/>
      <c r="AA158" s="98"/>
    </row>
    <row r="159" spans="1:27">
      <c r="A159" s="475"/>
      <c r="B159" s="529"/>
      <c r="C159" s="555"/>
      <c r="D159" s="559"/>
      <c r="E159" s="559"/>
      <c r="F159" s="555"/>
      <c r="G159" s="561"/>
      <c r="H159" s="561"/>
      <c r="I159" s="555"/>
      <c r="J159" s="561"/>
      <c r="K159" s="561"/>
      <c r="L159" s="561"/>
      <c r="M159" s="561"/>
      <c r="N159" s="332" t="s">
        <v>418</v>
      </c>
      <c r="O159" s="332" t="s">
        <v>419</v>
      </c>
      <c r="P159" s="76" t="s">
        <v>27</v>
      </c>
      <c r="Q159" s="102">
        <v>0.34</v>
      </c>
      <c r="R159" s="102">
        <v>0.34</v>
      </c>
      <c r="S159" s="94" t="s">
        <v>420</v>
      </c>
      <c r="T159" s="333">
        <v>0.27200000000000002</v>
      </c>
      <c r="U159" s="344">
        <f t="shared" si="10"/>
        <v>0.8</v>
      </c>
      <c r="V159" s="502"/>
      <c r="W159" s="502"/>
      <c r="X159" s="505"/>
      <c r="Y159" s="505"/>
      <c r="Z159" s="555"/>
      <c r="AA159" s="98"/>
    </row>
    <row r="160" spans="1:27">
      <c r="A160" s="475"/>
      <c r="B160" s="529"/>
      <c r="C160" s="555"/>
      <c r="D160" s="559"/>
      <c r="E160" s="559"/>
      <c r="F160" s="555"/>
      <c r="G160" s="561"/>
      <c r="H160" s="561"/>
      <c r="I160" s="555"/>
      <c r="J160" s="561"/>
      <c r="K160" s="561"/>
      <c r="L160" s="561"/>
      <c r="M160" s="561"/>
      <c r="N160" s="332" t="s">
        <v>421</v>
      </c>
      <c r="O160" s="332" t="s">
        <v>422</v>
      </c>
      <c r="P160" s="76" t="s">
        <v>27</v>
      </c>
      <c r="Q160" s="102">
        <v>1.46</v>
      </c>
      <c r="R160" s="102">
        <v>1.46</v>
      </c>
      <c r="S160" s="94" t="s">
        <v>423</v>
      </c>
      <c r="T160" s="333">
        <v>1.1679999999999999</v>
      </c>
      <c r="U160" s="344">
        <f t="shared" si="10"/>
        <v>0.79999999999999993</v>
      </c>
      <c r="V160" s="502"/>
      <c r="W160" s="502"/>
      <c r="X160" s="505"/>
      <c r="Y160" s="505"/>
      <c r="Z160" s="555"/>
      <c r="AA160" s="98"/>
    </row>
    <row r="161" spans="1:27">
      <c r="A161" s="475"/>
      <c r="B161" s="529"/>
      <c r="C161" s="555"/>
      <c r="D161" s="559"/>
      <c r="E161" s="559"/>
      <c r="F161" s="555"/>
      <c r="G161" s="561"/>
      <c r="H161" s="561"/>
      <c r="I161" s="555"/>
      <c r="J161" s="561"/>
      <c r="K161" s="561"/>
      <c r="L161" s="561"/>
      <c r="M161" s="561"/>
      <c r="N161" s="332" t="s">
        <v>1916</v>
      </c>
      <c r="O161" s="332" t="s">
        <v>424</v>
      </c>
      <c r="P161" s="76" t="s">
        <v>27</v>
      </c>
      <c r="Q161" s="102">
        <v>3.18</v>
      </c>
      <c r="R161" s="102">
        <v>3.18</v>
      </c>
      <c r="S161" s="94" t="s">
        <v>417</v>
      </c>
      <c r="T161" s="333">
        <v>2.5440000000000005</v>
      </c>
      <c r="U161" s="344">
        <f t="shared" si="10"/>
        <v>0.80000000000000016</v>
      </c>
      <c r="V161" s="502"/>
      <c r="W161" s="502"/>
      <c r="X161" s="505"/>
      <c r="Y161" s="505"/>
      <c r="Z161" s="555"/>
      <c r="AA161" s="98"/>
    </row>
    <row r="162" spans="1:27">
      <c r="A162" s="475"/>
      <c r="B162" s="529"/>
      <c r="C162" s="555"/>
      <c r="D162" s="559"/>
      <c r="E162" s="559"/>
      <c r="F162" s="555"/>
      <c r="G162" s="561"/>
      <c r="H162" s="561"/>
      <c r="I162" s="555"/>
      <c r="J162" s="561"/>
      <c r="K162" s="561"/>
      <c r="L162" s="561"/>
      <c r="M162" s="561"/>
      <c r="N162" s="332" t="s">
        <v>338</v>
      </c>
      <c r="O162" s="332" t="s">
        <v>403</v>
      </c>
      <c r="P162" s="76" t="s">
        <v>27</v>
      </c>
      <c r="Q162" s="102">
        <v>0.51</v>
      </c>
      <c r="R162" s="102">
        <v>0.51</v>
      </c>
      <c r="S162" s="94" t="s">
        <v>417</v>
      </c>
      <c r="T162" s="333">
        <v>0.40800000000000003</v>
      </c>
      <c r="U162" s="344">
        <f t="shared" si="10"/>
        <v>0.8</v>
      </c>
      <c r="V162" s="502"/>
      <c r="W162" s="502"/>
      <c r="X162" s="505"/>
      <c r="Y162" s="505"/>
      <c r="Z162" s="555"/>
      <c r="AA162" s="98"/>
    </row>
    <row r="163" spans="1:27" hidden="1">
      <c r="A163" s="475"/>
      <c r="B163" s="529"/>
      <c r="C163" s="555"/>
      <c r="D163" s="559"/>
      <c r="E163" s="559"/>
      <c r="F163" s="555"/>
      <c r="G163" s="561"/>
      <c r="H163" s="561"/>
      <c r="I163" s="555"/>
      <c r="J163" s="561"/>
      <c r="K163" s="561"/>
      <c r="L163" s="561"/>
      <c r="M163" s="561"/>
      <c r="N163" s="106" t="s">
        <v>425</v>
      </c>
      <c r="O163" s="332" t="s">
        <v>426</v>
      </c>
      <c r="P163" s="76" t="s">
        <v>36</v>
      </c>
      <c r="Q163" s="102">
        <v>15</v>
      </c>
      <c r="R163" s="102">
        <v>55.45</v>
      </c>
      <c r="S163" s="125" t="s">
        <v>427</v>
      </c>
      <c r="T163" s="292">
        <v>30</v>
      </c>
      <c r="U163" s="344">
        <f>T163/Q163</f>
        <v>2</v>
      </c>
      <c r="V163" s="502"/>
      <c r="W163" s="502"/>
      <c r="X163" s="505"/>
      <c r="Y163" s="505"/>
      <c r="Z163" s="555"/>
      <c r="AA163" s="98"/>
    </row>
    <row r="164" spans="1:27" hidden="1">
      <c r="A164" s="475"/>
      <c r="B164" s="529"/>
      <c r="C164" s="555"/>
      <c r="D164" s="559"/>
      <c r="E164" s="559"/>
      <c r="F164" s="555"/>
      <c r="G164" s="561"/>
      <c r="H164" s="561"/>
      <c r="I164" s="555"/>
      <c r="J164" s="561"/>
      <c r="K164" s="561"/>
      <c r="L164" s="561"/>
      <c r="M164" s="561"/>
      <c r="N164" s="106" t="s">
        <v>428</v>
      </c>
      <c r="O164" s="332" t="s">
        <v>429</v>
      </c>
      <c r="P164" s="76" t="s">
        <v>36</v>
      </c>
      <c r="Q164" s="102">
        <v>68</v>
      </c>
      <c r="R164" s="102">
        <v>419</v>
      </c>
      <c r="S164" s="125" t="s">
        <v>430</v>
      </c>
      <c r="T164" s="292">
        <v>110</v>
      </c>
      <c r="U164" s="344">
        <f>T164/Q164</f>
        <v>1.6176470588235294</v>
      </c>
      <c r="V164" s="502"/>
      <c r="W164" s="502"/>
      <c r="X164" s="505"/>
      <c r="Y164" s="505"/>
      <c r="Z164" s="555"/>
      <c r="AA164" s="98"/>
    </row>
    <row r="165" spans="1:27" hidden="1">
      <c r="A165" s="475"/>
      <c r="B165" s="529"/>
      <c r="C165" s="555"/>
      <c r="D165" s="560"/>
      <c r="E165" s="560"/>
      <c r="F165" s="555"/>
      <c r="G165" s="561"/>
      <c r="H165" s="561"/>
      <c r="I165" s="555"/>
      <c r="J165" s="561"/>
      <c r="K165" s="561"/>
      <c r="L165" s="561"/>
      <c r="M165" s="561"/>
      <c r="N165" s="106" t="s">
        <v>431</v>
      </c>
      <c r="O165" s="332" t="s">
        <v>1917</v>
      </c>
      <c r="P165" s="76" t="s">
        <v>36</v>
      </c>
      <c r="Q165" s="102">
        <v>96</v>
      </c>
      <c r="R165" s="102">
        <v>345</v>
      </c>
      <c r="S165" s="125" t="s">
        <v>432</v>
      </c>
      <c r="T165" s="292">
        <v>243.83600000000001</v>
      </c>
      <c r="U165" s="344">
        <f>T165/Q165</f>
        <v>2.5399583333333333</v>
      </c>
      <c r="V165" s="503"/>
      <c r="W165" s="503"/>
      <c r="X165" s="506"/>
      <c r="Y165" s="506"/>
      <c r="Z165" s="555"/>
      <c r="AA165" s="98"/>
    </row>
    <row r="166" spans="1:27" hidden="1">
      <c r="A166" s="475"/>
      <c r="B166" s="529">
        <v>11</v>
      </c>
      <c r="C166" s="555" t="s">
        <v>433</v>
      </c>
      <c r="D166" s="558">
        <v>65377.645799999998</v>
      </c>
      <c r="E166" s="558" t="s">
        <v>2064</v>
      </c>
      <c r="F166" s="555" t="s">
        <v>376</v>
      </c>
      <c r="G166" s="561">
        <v>156.20529999999999</v>
      </c>
      <c r="H166" s="561"/>
      <c r="I166" s="555" t="s">
        <v>377</v>
      </c>
      <c r="J166" s="561">
        <v>52.476500000000001</v>
      </c>
      <c r="K166" s="561"/>
      <c r="L166" s="561"/>
      <c r="M166" s="561">
        <f>SUM(G166,H166,J166,L166)</f>
        <v>208.68180000000001</v>
      </c>
      <c r="N166" s="332" t="s">
        <v>378</v>
      </c>
      <c r="O166" s="332" t="s">
        <v>379</v>
      </c>
      <c r="P166" s="76" t="s">
        <v>36</v>
      </c>
      <c r="Q166" s="102">
        <v>151.589</v>
      </c>
      <c r="R166" s="102">
        <v>185</v>
      </c>
      <c r="S166" s="332" t="s">
        <v>380</v>
      </c>
      <c r="T166" s="561">
        <v>59.486199999999997</v>
      </c>
      <c r="U166" s="574">
        <f>T166/(Q166+Q167)</f>
        <v>0.28114032392988292</v>
      </c>
      <c r="V166" s="501">
        <f>SUM(Q166:Q169)</f>
        <v>213.78899999999999</v>
      </c>
      <c r="W166" s="501">
        <f>SUM(T166:T169)</f>
        <v>59.486199999999997</v>
      </c>
      <c r="X166" s="504">
        <f>W166/V166</f>
        <v>0.27824724377774346</v>
      </c>
      <c r="Y166" s="504">
        <f>W166/M166</f>
        <v>0.2850569623225408</v>
      </c>
      <c r="Z166" s="332" t="s">
        <v>381</v>
      </c>
      <c r="AA166" s="98"/>
    </row>
    <row r="167" spans="1:27" hidden="1">
      <c r="A167" s="475"/>
      <c r="B167" s="529"/>
      <c r="C167" s="555"/>
      <c r="D167" s="559"/>
      <c r="E167" s="559"/>
      <c r="F167" s="555"/>
      <c r="G167" s="561"/>
      <c r="H167" s="561"/>
      <c r="I167" s="555"/>
      <c r="J167" s="561"/>
      <c r="K167" s="561"/>
      <c r="L167" s="561"/>
      <c r="M167" s="561"/>
      <c r="N167" s="332" t="s">
        <v>382</v>
      </c>
      <c r="O167" s="332" t="s">
        <v>379</v>
      </c>
      <c r="P167" s="76" t="s">
        <v>36</v>
      </c>
      <c r="Q167" s="102">
        <v>60</v>
      </c>
      <c r="R167" s="102">
        <v>130</v>
      </c>
      <c r="S167" s="332" t="s">
        <v>380</v>
      </c>
      <c r="T167" s="561"/>
      <c r="U167" s="574"/>
      <c r="V167" s="502"/>
      <c r="W167" s="502"/>
      <c r="X167" s="505"/>
      <c r="Y167" s="505"/>
      <c r="Z167" s="332" t="s">
        <v>381</v>
      </c>
      <c r="AA167" s="98"/>
    </row>
    <row r="168" spans="1:27">
      <c r="A168" s="475"/>
      <c r="B168" s="529"/>
      <c r="C168" s="555"/>
      <c r="D168" s="559"/>
      <c r="E168" s="559"/>
      <c r="F168" s="555"/>
      <c r="G168" s="561"/>
      <c r="H168" s="561"/>
      <c r="I168" s="555"/>
      <c r="J168" s="561"/>
      <c r="K168" s="561"/>
      <c r="L168" s="561"/>
      <c r="M168" s="561"/>
      <c r="N168" s="332" t="s">
        <v>434</v>
      </c>
      <c r="O168" s="332" t="s">
        <v>435</v>
      </c>
      <c r="P168" s="76" t="s">
        <v>27</v>
      </c>
      <c r="Q168" s="102">
        <v>2</v>
      </c>
      <c r="R168" s="102">
        <v>2</v>
      </c>
      <c r="S168" s="332" t="s">
        <v>289</v>
      </c>
      <c r="T168" s="333"/>
      <c r="U168" s="332"/>
      <c r="V168" s="502"/>
      <c r="W168" s="502"/>
      <c r="X168" s="505"/>
      <c r="Y168" s="505"/>
      <c r="Z168" s="332" t="s">
        <v>381</v>
      </c>
      <c r="AA168" s="98"/>
    </row>
    <row r="169" spans="1:27">
      <c r="A169" s="475"/>
      <c r="B169" s="529"/>
      <c r="C169" s="555"/>
      <c r="D169" s="560"/>
      <c r="E169" s="560"/>
      <c r="F169" s="555"/>
      <c r="G169" s="561"/>
      <c r="H169" s="561"/>
      <c r="I169" s="555"/>
      <c r="J169" s="561"/>
      <c r="K169" s="561"/>
      <c r="L169" s="561"/>
      <c r="M169" s="561"/>
      <c r="N169" s="332" t="s">
        <v>436</v>
      </c>
      <c r="O169" s="332" t="s">
        <v>437</v>
      </c>
      <c r="P169" s="76" t="s">
        <v>27</v>
      </c>
      <c r="Q169" s="102">
        <v>0.2</v>
      </c>
      <c r="R169" s="102">
        <v>0.2</v>
      </c>
      <c r="S169" s="332" t="s">
        <v>289</v>
      </c>
      <c r="T169" s="333"/>
      <c r="U169" s="332"/>
      <c r="V169" s="503"/>
      <c r="W169" s="503"/>
      <c r="X169" s="506"/>
      <c r="Y169" s="506"/>
      <c r="Z169" s="332" t="s">
        <v>381</v>
      </c>
      <c r="AA169" s="98"/>
    </row>
    <row r="170" spans="1:27" hidden="1">
      <c r="A170" s="475"/>
      <c r="B170" s="529">
        <v>12</v>
      </c>
      <c r="C170" s="555" t="s">
        <v>438</v>
      </c>
      <c r="D170" s="571">
        <v>118800</v>
      </c>
      <c r="E170" s="571" t="s">
        <v>2066</v>
      </c>
      <c r="F170" s="555" t="s">
        <v>439</v>
      </c>
      <c r="G170" s="561" t="s">
        <v>440</v>
      </c>
      <c r="H170" s="561"/>
      <c r="I170" s="555" t="s">
        <v>439</v>
      </c>
      <c r="J170" s="561" t="s">
        <v>441</v>
      </c>
      <c r="K170" s="570"/>
      <c r="L170" s="570"/>
      <c r="M170" s="561">
        <v>321.14999999999998</v>
      </c>
      <c r="N170" s="332" t="s">
        <v>442</v>
      </c>
      <c r="O170" s="332" t="s">
        <v>443</v>
      </c>
      <c r="P170" s="76" t="s">
        <v>36</v>
      </c>
      <c r="Q170" s="102">
        <f>9227.6/10000</f>
        <v>0.92276000000000002</v>
      </c>
      <c r="R170" s="102">
        <f>Q170</f>
        <v>0.92276000000000002</v>
      </c>
      <c r="S170" s="332" t="s">
        <v>279</v>
      </c>
      <c r="T170" s="333">
        <f>4227.6/10000</f>
        <v>0.42276000000000002</v>
      </c>
      <c r="U170" s="344">
        <f t="shared" ref="U170:U175" si="11">T170/Q170</f>
        <v>0.45814729723871866</v>
      </c>
      <c r="V170" s="498">
        <f>SUM(Q170:Q175)</f>
        <v>26.946306</v>
      </c>
      <c r="W170" s="498">
        <f>SUM(T170:T175)</f>
        <v>22.743859999999998</v>
      </c>
      <c r="X170" s="504">
        <f>W170/V170</f>
        <v>0.84404370677004847</v>
      </c>
      <c r="Y170" s="504">
        <f>W170/M170</f>
        <v>7.082005293476569E-2</v>
      </c>
      <c r="Z170" s="332" t="s">
        <v>258</v>
      </c>
      <c r="AA170" s="98"/>
    </row>
    <row r="171" spans="1:27" hidden="1">
      <c r="A171" s="475"/>
      <c r="B171" s="529"/>
      <c r="C171" s="555"/>
      <c r="D171" s="572"/>
      <c r="E171" s="572"/>
      <c r="F171" s="555"/>
      <c r="G171" s="561"/>
      <c r="H171" s="561"/>
      <c r="I171" s="555"/>
      <c r="J171" s="561"/>
      <c r="K171" s="570"/>
      <c r="L171" s="570"/>
      <c r="M171" s="561"/>
      <c r="N171" s="332" t="s">
        <v>444</v>
      </c>
      <c r="O171" s="332" t="s">
        <v>443</v>
      </c>
      <c r="P171" s="76" t="s">
        <v>36</v>
      </c>
      <c r="Q171" s="102">
        <f>T171/0.9</f>
        <v>17.765900000000002</v>
      </c>
      <c r="R171" s="102">
        <f t="shared" ref="R171:R175" si="12">Q171</f>
        <v>17.765900000000002</v>
      </c>
      <c r="S171" s="332" t="s">
        <v>445</v>
      </c>
      <c r="T171" s="333">
        <f>159893.1/10000</f>
        <v>15.989310000000001</v>
      </c>
      <c r="U171" s="344">
        <f t="shared" si="11"/>
        <v>0.9</v>
      </c>
      <c r="V171" s="499"/>
      <c r="W171" s="499"/>
      <c r="X171" s="505"/>
      <c r="Y171" s="505"/>
      <c r="Z171" s="332" t="s">
        <v>258</v>
      </c>
      <c r="AA171" s="98"/>
    </row>
    <row r="172" spans="1:27" ht="48">
      <c r="A172" s="475"/>
      <c r="B172" s="529"/>
      <c r="C172" s="555"/>
      <c r="D172" s="572"/>
      <c r="E172" s="572"/>
      <c r="F172" s="555"/>
      <c r="G172" s="561"/>
      <c r="H172" s="561"/>
      <c r="I172" s="555"/>
      <c r="J172" s="561"/>
      <c r="K172" s="570"/>
      <c r="L172" s="570"/>
      <c r="M172" s="561"/>
      <c r="N172" s="332" t="s">
        <v>446</v>
      </c>
      <c r="O172" s="332" t="s">
        <v>447</v>
      </c>
      <c r="P172" s="76" t="s">
        <v>27</v>
      </c>
      <c r="Q172" s="102">
        <f>8122.93/10000</f>
        <v>0.81229300000000004</v>
      </c>
      <c r="R172" s="102">
        <f t="shared" si="12"/>
        <v>0.81229300000000004</v>
      </c>
      <c r="S172" s="332" t="s">
        <v>448</v>
      </c>
      <c r="T172" s="333">
        <f>7550.9/10000</f>
        <v>0.75508999999999993</v>
      </c>
      <c r="U172" s="344">
        <f t="shared" si="11"/>
        <v>0.92957836642689262</v>
      </c>
      <c r="V172" s="499"/>
      <c r="W172" s="499"/>
      <c r="X172" s="505"/>
      <c r="Y172" s="505"/>
      <c r="Z172" s="332" t="s">
        <v>258</v>
      </c>
      <c r="AA172" s="98"/>
    </row>
    <row r="173" spans="1:27" ht="24">
      <c r="A173" s="475"/>
      <c r="B173" s="529"/>
      <c r="C173" s="555"/>
      <c r="D173" s="572"/>
      <c r="E173" s="572"/>
      <c r="F173" s="555"/>
      <c r="G173" s="561"/>
      <c r="H173" s="561"/>
      <c r="I173" s="555"/>
      <c r="J173" s="561"/>
      <c r="K173" s="570"/>
      <c r="L173" s="570"/>
      <c r="M173" s="561"/>
      <c r="N173" s="332" t="s">
        <v>449</v>
      </c>
      <c r="O173" s="332" t="s">
        <v>450</v>
      </c>
      <c r="P173" s="76" t="s">
        <v>27</v>
      </c>
      <c r="Q173" s="102">
        <f>7421.98/10000</f>
        <v>0.74219799999999991</v>
      </c>
      <c r="R173" s="102">
        <f t="shared" si="12"/>
        <v>0.74219799999999991</v>
      </c>
      <c r="S173" s="332" t="s">
        <v>451</v>
      </c>
      <c r="T173" s="333">
        <f>6354.9/10000</f>
        <v>0.63549</v>
      </c>
      <c r="U173" s="344">
        <f t="shared" si="11"/>
        <v>0.85622704453528586</v>
      </c>
      <c r="V173" s="499"/>
      <c r="W173" s="499"/>
      <c r="X173" s="505"/>
      <c r="Y173" s="505"/>
      <c r="Z173" s="332" t="s">
        <v>258</v>
      </c>
      <c r="AA173" s="98"/>
    </row>
    <row r="174" spans="1:27" ht="24">
      <c r="A174" s="475"/>
      <c r="B174" s="529"/>
      <c r="C174" s="555"/>
      <c r="D174" s="572"/>
      <c r="E174" s="572"/>
      <c r="F174" s="555"/>
      <c r="G174" s="561"/>
      <c r="H174" s="561"/>
      <c r="I174" s="555"/>
      <c r="J174" s="561"/>
      <c r="K174" s="570"/>
      <c r="L174" s="570"/>
      <c r="M174" s="561"/>
      <c r="N174" s="332" t="s">
        <v>452</v>
      </c>
      <c r="O174" s="332" t="s">
        <v>453</v>
      </c>
      <c r="P174" s="76" t="s">
        <v>27</v>
      </c>
      <c r="Q174" s="102">
        <f>214.21/10000</f>
        <v>2.1420999999999999E-2</v>
      </c>
      <c r="R174" s="102">
        <f t="shared" si="12"/>
        <v>2.1420999999999999E-2</v>
      </c>
      <c r="S174" s="332" t="s">
        <v>273</v>
      </c>
      <c r="T174" s="333">
        <f>160.11/10000</f>
        <v>1.6011000000000001E-2</v>
      </c>
      <c r="U174" s="344">
        <f t="shared" si="11"/>
        <v>0.74744409691424307</v>
      </c>
      <c r="V174" s="499"/>
      <c r="W174" s="499"/>
      <c r="X174" s="505"/>
      <c r="Y174" s="505"/>
      <c r="Z174" s="332" t="s">
        <v>258</v>
      </c>
      <c r="AA174" s="98"/>
    </row>
    <row r="175" spans="1:27" ht="36">
      <c r="A175" s="475"/>
      <c r="B175" s="529"/>
      <c r="C175" s="555"/>
      <c r="D175" s="573"/>
      <c r="E175" s="573"/>
      <c r="F175" s="555"/>
      <c r="G175" s="561"/>
      <c r="H175" s="561"/>
      <c r="I175" s="555"/>
      <c r="J175" s="561"/>
      <c r="K175" s="570"/>
      <c r="L175" s="570"/>
      <c r="M175" s="561"/>
      <c r="N175" s="332" t="s">
        <v>454</v>
      </c>
      <c r="O175" s="332" t="s">
        <v>455</v>
      </c>
      <c r="P175" s="76" t="s">
        <v>27</v>
      </c>
      <c r="Q175" s="102">
        <f>66817.34/10000</f>
        <v>6.6817339999999996</v>
      </c>
      <c r="R175" s="102">
        <f t="shared" si="12"/>
        <v>6.6817339999999996</v>
      </c>
      <c r="S175" s="332">
        <v>2015.3</v>
      </c>
      <c r="T175" s="333">
        <f>49251.99/10000</f>
        <v>4.9251990000000001</v>
      </c>
      <c r="U175" s="344">
        <f t="shared" si="11"/>
        <v>0.73711389887714784</v>
      </c>
      <c r="V175" s="500"/>
      <c r="W175" s="500"/>
      <c r="X175" s="506"/>
      <c r="Y175" s="506"/>
      <c r="Z175" s="332" t="s">
        <v>258</v>
      </c>
      <c r="AA175" s="98"/>
    </row>
    <row r="176" spans="1:27" hidden="1">
      <c r="A176" s="475"/>
      <c r="B176" s="529">
        <v>13</v>
      </c>
      <c r="C176" s="555" t="s">
        <v>456</v>
      </c>
      <c r="D176" s="558">
        <v>49445.197800000002</v>
      </c>
      <c r="E176" s="558" t="s">
        <v>2067</v>
      </c>
      <c r="F176" s="555" t="s">
        <v>457</v>
      </c>
      <c r="G176" s="561">
        <v>222.04</v>
      </c>
      <c r="H176" s="561"/>
      <c r="I176" s="555" t="s">
        <v>372</v>
      </c>
      <c r="J176" s="561">
        <v>63</v>
      </c>
      <c r="K176" s="561"/>
      <c r="L176" s="561"/>
      <c r="M176" s="561">
        <f>SUM(G176,H176,J176,L176)</f>
        <v>285.03999999999996</v>
      </c>
      <c r="N176" s="332" t="s">
        <v>458</v>
      </c>
      <c r="O176" s="332" t="s">
        <v>459</v>
      </c>
      <c r="P176" s="76" t="s">
        <v>36</v>
      </c>
      <c r="Q176" s="102">
        <v>20</v>
      </c>
      <c r="R176" s="102">
        <v>25</v>
      </c>
      <c r="S176" s="332">
        <v>2014.9</v>
      </c>
      <c r="T176" s="333">
        <v>17.2196</v>
      </c>
      <c r="U176" s="344">
        <f>T176/Q176</f>
        <v>0.86097999999999997</v>
      </c>
      <c r="V176" s="501">
        <f>SUM(Q176:Q177)</f>
        <v>22</v>
      </c>
      <c r="W176" s="501">
        <f>SUM(T176:T177)</f>
        <v>17.886299999999999</v>
      </c>
      <c r="X176" s="504">
        <f>W176/V176</f>
        <v>0.81301363636363633</v>
      </c>
      <c r="Y176" s="504">
        <f>W176/M176</f>
        <v>6.2750140331181592E-2</v>
      </c>
      <c r="Z176" s="332" t="s">
        <v>299</v>
      </c>
      <c r="AA176" s="98"/>
    </row>
    <row r="177" spans="1:27" hidden="1">
      <c r="A177" s="475"/>
      <c r="B177" s="529"/>
      <c r="C177" s="555"/>
      <c r="D177" s="560"/>
      <c r="E177" s="560"/>
      <c r="F177" s="555"/>
      <c r="G177" s="561"/>
      <c r="H177" s="561"/>
      <c r="I177" s="555"/>
      <c r="J177" s="561"/>
      <c r="K177" s="561"/>
      <c r="L177" s="561"/>
      <c r="M177" s="561"/>
      <c r="N177" s="332" t="s">
        <v>262</v>
      </c>
      <c r="O177" s="332" t="s">
        <v>459</v>
      </c>
      <c r="P177" s="76" t="s">
        <v>36</v>
      </c>
      <c r="Q177" s="102">
        <v>2</v>
      </c>
      <c r="R177" s="102">
        <v>4</v>
      </c>
      <c r="S177" s="332">
        <v>2014.12</v>
      </c>
      <c r="T177" s="333">
        <v>0.66669999999999996</v>
      </c>
      <c r="U177" s="344">
        <f>T177/Q177</f>
        <v>0.33334999999999998</v>
      </c>
      <c r="V177" s="503"/>
      <c r="W177" s="503"/>
      <c r="X177" s="506"/>
      <c r="Y177" s="506"/>
      <c r="Z177" s="332" t="s">
        <v>299</v>
      </c>
      <c r="AA177" s="98"/>
    </row>
    <row r="178" spans="1:27" ht="156" hidden="1">
      <c r="A178" s="475"/>
      <c r="B178" s="126">
        <v>14</v>
      </c>
      <c r="C178" s="332" t="s">
        <v>1918</v>
      </c>
      <c r="D178" s="373">
        <v>158277</v>
      </c>
      <c r="E178" s="374" t="s">
        <v>2068</v>
      </c>
      <c r="F178" s="332" t="s">
        <v>266</v>
      </c>
      <c r="G178" s="333">
        <v>713.48400500000002</v>
      </c>
      <c r="H178" s="333">
        <v>24.9</v>
      </c>
      <c r="I178" s="332" t="s">
        <v>267</v>
      </c>
      <c r="J178" s="333">
        <v>174.6318</v>
      </c>
      <c r="K178" s="333"/>
      <c r="L178" s="333"/>
      <c r="M178" s="333">
        <f>SUM(G178,H178,J178,L178)</f>
        <v>913.015805</v>
      </c>
      <c r="N178" s="332" t="s">
        <v>460</v>
      </c>
      <c r="O178" s="332" t="s">
        <v>1919</v>
      </c>
      <c r="P178" s="76" t="s">
        <v>36</v>
      </c>
      <c r="Q178" s="102">
        <v>32.004899999999999</v>
      </c>
      <c r="R178" s="102">
        <v>32.004899999999999</v>
      </c>
      <c r="S178" s="332" t="s">
        <v>461</v>
      </c>
      <c r="T178" s="333">
        <v>16.857900000000001</v>
      </c>
      <c r="U178" s="344">
        <f>T178/Q178</f>
        <v>0.52672871966480139</v>
      </c>
      <c r="V178" s="101">
        <f>SUM(Q178)</f>
        <v>32.004899999999999</v>
      </c>
      <c r="W178" s="101">
        <f>SUM(T178)</f>
        <v>16.857900000000001</v>
      </c>
      <c r="X178" s="103">
        <f>W178/V178</f>
        <v>0.52672871966480139</v>
      </c>
      <c r="Y178" s="103">
        <f>W178/M178</f>
        <v>1.8463973906782481E-2</v>
      </c>
      <c r="Z178" s="332" t="s">
        <v>258</v>
      </c>
      <c r="AA178" s="98"/>
    </row>
    <row r="179" spans="1:27" ht="48" hidden="1">
      <c r="A179" s="475" t="s">
        <v>1829</v>
      </c>
      <c r="B179" s="339">
        <v>1</v>
      </c>
      <c r="C179" s="127" t="s">
        <v>463</v>
      </c>
      <c r="D179" s="375">
        <v>48968</v>
      </c>
      <c r="E179" s="375" t="s">
        <v>2069</v>
      </c>
      <c r="F179" s="128" t="s">
        <v>464</v>
      </c>
      <c r="G179" s="325">
        <v>91.500439</v>
      </c>
      <c r="H179" s="129"/>
      <c r="I179" s="128" t="s">
        <v>464</v>
      </c>
      <c r="J179" s="129"/>
      <c r="K179" s="129"/>
      <c r="L179" s="129"/>
      <c r="M179" s="325">
        <f t="shared" ref="M179:M185" si="13">SUM(G179,H179,J179,L179)</f>
        <v>91.500439</v>
      </c>
      <c r="N179" s="342"/>
      <c r="O179" s="342"/>
      <c r="P179" s="342"/>
      <c r="Q179" s="347"/>
      <c r="R179" s="347"/>
      <c r="S179" s="342"/>
      <c r="T179" s="325"/>
      <c r="U179" s="16"/>
      <c r="V179" s="25"/>
      <c r="W179" s="25"/>
      <c r="X179" s="25"/>
      <c r="Y179" s="25"/>
      <c r="Z179" s="342" t="s">
        <v>167</v>
      </c>
      <c r="AA179" s="98"/>
    </row>
    <row r="180" spans="1:27" ht="36">
      <c r="A180" s="475"/>
      <c r="B180" s="131">
        <v>2</v>
      </c>
      <c r="C180" s="127" t="s">
        <v>465</v>
      </c>
      <c r="D180" s="376">
        <v>62736.014947000003</v>
      </c>
      <c r="E180" s="376" t="s">
        <v>2070</v>
      </c>
      <c r="F180" s="128" t="s">
        <v>466</v>
      </c>
      <c r="G180" s="325">
        <v>178.72139999999999</v>
      </c>
      <c r="H180" s="325">
        <v>0.35</v>
      </c>
      <c r="I180" s="128" t="s">
        <v>466</v>
      </c>
      <c r="J180" s="325">
        <v>29.433599999999998</v>
      </c>
      <c r="K180" s="325"/>
      <c r="L180" s="325"/>
      <c r="M180" s="325">
        <f t="shared" si="13"/>
        <v>208.505</v>
      </c>
      <c r="N180" s="342" t="s">
        <v>1920</v>
      </c>
      <c r="O180" s="128" t="s">
        <v>467</v>
      </c>
      <c r="P180" s="76" t="s">
        <v>27</v>
      </c>
      <c r="Q180" s="347">
        <v>5.831982</v>
      </c>
      <c r="R180" s="347">
        <v>5.831982</v>
      </c>
      <c r="S180" s="342" t="s">
        <v>468</v>
      </c>
      <c r="T180" s="325">
        <v>4.7360440000000006</v>
      </c>
      <c r="U180" s="16">
        <f t="shared" ref="U180" si="14">T180/Q180</f>
        <v>0.81208138159548515</v>
      </c>
      <c r="V180" s="25">
        <f>Q180</f>
        <v>5.831982</v>
      </c>
      <c r="W180" s="25">
        <f>T180</f>
        <v>4.7360440000000006</v>
      </c>
      <c r="X180" s="46">
        <f>W180/V180</f>
        <v>0.81208138159548515</v>
      </c>
      <c r="Y180" s="46">
        <f>W180/M180</f>
        <v>2.2714294621232107E-2</v>
      </c>
      <c r="Z180" s="128" t="s">
        <v>469</v>
      </c>
      <c r="AA180" s="98"/>
    </row>
    <row r="181" spans="1:27" ht="36">
      <c r="A181" s="475"/>
      <c r="B181" s="131">
        <v>3</v>
      </c>
      <c r="C181" s="127" t="s">
        <v>470</v>
      </c>
      <c r="D181" s="376">
        <v>68279.576799999995</v>
      </c>
      <c r="E181" s="376" t="s">
        <v>2071</v>
      </c>
      <c r="F181" s="128" t="s">
        <v>471</v>
      </c>
      <c r="G181" s="325">
        <v>194.51277400000001</v>
      </c>
      <c r="H181" s="325">
        <v>0.35</v>
      </c>
      <c r="I181" s="128" t="s">
        <v>471</v>
      </c>
      <c r="J181" s="325">
        <v>31.9986</v>
      </c>
      <c r="K181" s="304"/>
      <c r="L181" s="325"/>
      <c r="M181" s="325">
        <f>SUM(H181,G181,J181,L181)</f>
        <v>226.86137400000001</v>
      </c>
      <c r="N181" s="342" t="s">
        <v>472</v>
      </c>
      <c r="O181" s="128" t="s">
        <v>473</v>
      </c>
      <c r="P181" s="76" t="s">
        <v>27</v>
      </c>
      <c r="Q181" s="347">
        <f>10528.79/10000</f>
        <v>1.0528790000000001</v>
      </c>
      <c r="R181" s="347">
        <f>10528.79/10000</f>
        <v>1.0528790000000001</v>
      </c>
      <c r="S181" s="342" t="s">
        <v>468</v>
      </c>
      <c r="T181" s="325">
        <f>8886.97/10000</f>
        <v>0.88869699999999996</v>
      </c>
      <c r="U181" s="16">
        <f>T181/Q181</f>
        <v>0.84406375281490076</v>
      </c>
      <c r="V181" s="25">
        <f>Q181</f>
        <v>1.0528790000000001</v>
      </c>
      <c r="W181" s="25">
        <f>T181</f>
        <v>0.88869699999999996</v>
      </c>
      <c r="X181" s="25">
        <f>W181/V181</f>
        <v>0.84406375281490076</v>
      </c>
      <c r="Y181" s="25">
        <f>W181/M181</f>
        <v>3.9173570376065869E-3</v>
      </c>
      <c r="Z181" s="128" t="s">
        <v>469</v>
      </c>
      <c r="AA181" s="98"/>
    </row>
    <row r="182" spans="1:27" ht="48" hidden="1">
      <c r="A182" s="475"/>
      <c r="B182" s="131">
        <v>4</v>
      </c>
      <c r="C182" s="127" t="s">
        <v>474</v>
      </c>
      <c r="D182" s="376">
        <v>74337.583599999998</v>
      </c>
      <c r="E182" s="376" t="s">
        <v>2072</v>
      </c>
      <c r="F182" s="342" t="s">
        <v>475</v>
      </c>
      <c r="G182" s="325">
        <v>692.93517499999996</v>
      </c>
      <c r="H182" s="325">
        <v>17.991</v>
      </c>
      <c r="I182" s="342" t="s">
        <v>476</v>
      </c>
      <c r="J182" s="325">
        <v>188.99199999999999</v>
      </c>
      <c r="K182" s="325"/>
      <c r="L182" s="325"/>
      <c r="M182" s="325">
        <f t="shared" si="13"/>
        <v>899.91817499999991</v>
      </c>
      <c r="N182" s="342" t="s">
        <v>477</v>
      </c>
      <c r="O182" s="128" t="s">
        <v>478</v>
      </c>
      <c r="P182" s="76" t="s">
        <v>36</v>
      </c>
      <c r="Q182" s="347">
        <v>3.3395999999999999</v>
      </c>
      <c r="R182" s="347"/>
      <c r="S182" s="342" t="s">
        <v>1921</v>
      </c>
      <c r="T182" s="325"/>
      <c r="U182" s="133"/>
      <c r="V182" s="581">
        <f>SUM(Q182:Q184)</f>
        <v>97.544999999999987</v>
      </c>
      <c r="W182" s="581">
        <f>SUM(T182:T184)</f>
        <v>79.846499999999992</v>
      </c>
      <c r="X182" s="584">
        <f>W182/V182</f>
        <v>0.81856066430878061</v>
      </c>
      <c r="Y182" s="584">
        <f>W182/M182</f>
        <v>8.8726400041870476E-2</v>
      </c>
      <c r="Z182" s="128" t="s">
        <v>167</v>
      </c>
      <c r="AA182" s="98"/>
    </row>
    <row r="183" spans="1:27" ht="24" hidden="1">
      <c r="A183" s="475"/>
      <c r="B183" s="131"/>
      <c r="C183" s="127"/>
      <c r="D183" s="127"/>
      <c r="E183" s="127"/>
      <c r="F183" s="134"/>
      <c r="G183" s="135"/>
      <c r="H183" s="135"/>
      <c r="I183" s="134"/>
      <c r="J183" s="135"/>
      <c r="K183" s="135"/>
      <c r="L183" s="135"/>
      <c r="M183" s="325"/>
      <c r="N183" s="342" t="s">
        <v>479</v>
      </c>
      <c r="O183" s="128" t="s">
        <v>478</v>
      </c>
      <c r="P183" s="76" t="s">
        <v>36</v>
      </c>
      <c r="Q183" s="347">
        <v>32.934100000000001</v>
      </c>
      <c r="R183" s="347">
        <v>32.934100000000001</v>
      </c>
      <c r="S183" s="342" t="s">
        <v>480</v>
      </c>
      <c r="T183" s="135">
        <v>28.575199999999999</v>
      </c>
      <c r="U183" s="16">
        <f t="shared" ref="U183:U184" si="15">T183/Q183</f>
        <v>0.86764781791516998</v>
      </c>
      <c r="V183" s="582"/>
      <c r="W183" s="582"/>
      <c r="X183" s="585"/>
      <c r="Y183" s="585"/>
      <c r="Z183" s="128" t="s">
        <v>167</v>
      </c>
      <c r="AA183" s="98"/>
    </row>
    <row r="184" spans="1:27" ht="24" hidden="1">
      <c r="A184" s="475"/>
      <c r="B184" s="131"/>
      <c r="C184" s="127"/>
      <c r="D184" s="127"/>
      <c r="E184" s="127"/>
      <c r="F184" s="134"/>
      <c r="G184" s="135"/>
      <c r="H184" s="135"/>
      <c r="I184" s="134"/>
      <c r="J184" s="135"/>
      <c r="K184" s="135"/>
      <c r="L184" s="135"/>
      <c r="M184" s="325"/>
      <c r="N184" s="342" t="s">
        <v>481</v>
      </c>
      <c r="O184" s="128" t="s">
        <v>482</v>
      </c>
      <c r="P184" s="76" t="s">
        <v>36</v>
      </c>
      <c r="Q184" s="347">
        <v>61.271299999999997</v>
      </c>
      <c r="R184" s="347">
        <v>61.271299999999997</v>
      </c>
      <c r="S184" s="342" t="s">
        <v>480</v>
      </c>
      <c r="T184" s="135">
        <v>51.271299999999997</v>
      </c>
      <c r="U184" s="16">
        <f t="shared" si="15"/>
        <v>0.83679145048334214</v>
      </c>
      <c r="V184" s="583"/>
      <c r="W184" s="583"/>
      <c r="X184" s="586"/>
      <c r="Y184" s="586"/>
      <c r="Z184" s="128" t="s">
        <v>167</v>
      </c>
      <c r="AA184" s="98"/>
    </row>
    <row r="185" spans="1:27" ht="48" hidden="1">
      <c r="A185" s="475"/>
      <c r="B185" s="131">
        <v>5</v>
      </c>
      <c r="C185" s="127" t="s">
        <v>483</v>
      </c>
      <c r="D185" s="376">
        <v>23361.490300000001</v>
      </c>
      <c r="E185" s="376" t="s">
        <v>2073</v>
      </c>
      <c r="F185" s="342" t="s">
        <v>394</v>
      </c>
      <c r="G185" s="325">
        <v>83.9285</v>
      </c>
      <c r="H185" s="325">
        <v>1</v>
      </c>
      <c r="I185" s="342" t="s">
        <v>255</v>
      </c>
      <c r="J185" s="325">
        <v>32.535699999999999</v>
      </c>
      <c r="K185" s="136" t="s">
        <v>484</v>
      </c>
      <c r="L185" s="325">
        <v>42.050600000000003</v>
      </c>
      <c r="M185" s="325">
        <f t="shared" si="13"/>
        <v>159.51480000000001</v>
      </c>
      <c r="N185" s="342" t="s">
        <v>485</v>
      </c>
      <c r="O185" s="128" t="s">
        <v>486</v>
      </c>
      <c r="P185" s="76" t="s">
        <v>36</v>
      </c>
      <c r="Q185" s="347">
        <v>50.288400000000003</v>
      </c>
      <c r="R185" s="347">
        <v>50.288400000000003</v>
      </c>
      <c r="S185" s="342" t="s">
        <v>487</v>
      </c>
      <c r="T185" s="325">
        <v>30.288399999999999</v>
      </c>
      <c r="U185" s="16">
        <f>T185/Q185</f>
        <v>0.60229396839032456</v>
      </c>
      <c r="V185" s="575">
        <f>SUM(Q185:Q187)</f>
        <v>67.695499999999996</v>
      </c>
      <c r="W185" s="575">
        <f>SUM(T185:T187)</f>
        <v>46.343000000000004</v>
      </c>
      <c r="X185" s="578">
        <f>W185/V185</f>
        <v>0.68458021581936768</v>
      </c>
      <c r="Y185" s="578">
        <f>W185/M185</f>
        <v>0.2905247663539684</v>
      </c>
      <c r="Z185" s="128" t="s">
        <v>488</v>
      </c>
      <c r="AA185" s="98"/>
    </row>
    <row r="186" spans="1:27" ht="24" hidden="1">
      <c r="A186" s="475"/>
      <c r="B186" s="131"/>
      <c r="C186" s="127"/>
      <c r="D186" s="127"/>
      <c r="E186" s="127"/>
      <c r="F186" s="127"/>
      <c r="G186" s="341"/>
      <c r="H186" s="341"/>
      <c r="I186" s="127"/>
      <c r="J186" s="341"/>
      <c r="K186" s="341"/>
      <c r="L186" s="341"/>
      <c r="M186" s="325"/>
      <c r="N186" s="342" t="s">
        <v>489</v>
      </c>
      <c r="O186" s="128" t="s">
        <v>490</v>
      </c>
      <c r="P186" s="76" t="s">
        <v>36</v>
      </c>
      <c r="Q186" s="347">
        <v>5.7591000000000001</v>
      </c>
      <c r="R186" s="347">
        <v>5.7591000000000001</v>
      </c>
      <c r="S186" s="342" t="s">
        <v>491</v>
      </c>
      <c r="T186" s="325">
        <v>5.4444999999999997</v>
      </c>
      <c r="U186" s="16">
        <f>T186/Q186</f>
        <v>0.94537340903960676</v>
      </c>
      <c r="V186" s="576"/>
      <c r="W186" s="576"/>
      <c r="X186" s="579"/>
      <c r="Y186" s="579"/>
      <c r="Z186" s="128" t="s">
        <v>488</v>
      </c>
      <c r="AA186" s="98"/>
    </row>
    <row r="187" spans="1:27" ht="24" hidden="1">
      <c r="A187" s="475"/>
      <c r="B187" s="131"/>
      <c r="C187" s="127"/>
      <c r="D187" s="127"/>
      <c r="E187" s="127"/>
      <c r="F187" s="127"/>
      <c r="G187" s="341"/>
      <c r="H187" s="341"/>
      <c r="I187" s="127"/>
      <c r="J187" s="341"/>
      <c r="K187" s="341"/>
      <c r="L187" s="341"/>
      <c r="M187" s="325"/>
      <c r="N187" s="342" t="s">
        <v>492</v>
      </c>
      <c r="O187" s="128" t="s">
        <v>493</v>
      </c>
      <c r="P187" s="76" t="s">
        <v>36</v>
      </c>
      <c r="Q187" s="347">
        <v>11.648</v>
      </c>
      <c r="R187" s="347">
        <v>11.648</v>
      </c>
      <c r="S187" s="342" t="s">
        <v>480</v>
      </c>
      <c r="T187" s="325">
        <v>10.610099999999999</v>
      </c>
      <c r="U187" s="16">
        <f>T187/Q187</f>
        <v>0.91089457417582409</v>
      </c>
      <c r="V187" s="577"/>
      <c r="W187" s="577"/>
      <c r="X187" s="580"/>
      <c r="Y187" s="580"/>
      <c r="Z187" s="128" t="s">
        <v>488</v>
      </c>
      <c r="AA187" s="98"/>
    </row>
    <row r="188" spans="1:27" ht="36" hidden="1">
      <c r="A188" s="475"/>
      <c r="B188" s="131">
        <v>6</v>
      </c>
      <c r="C188" s="127" t="s">
        <v>494</v>
      </c>
      <c r="D188" s="376">
        <v>22929.3387</v>
      </c>
      <c r="E188" s="376" t="s">
        <v>2074</v>
      </c>
      <c r="F188" s="94" t="s">
        <v>495</v>
      </c>
      <c r="G188" s="325">
        <f>307.2201*0.27</f>
        <v>82.949427</v>
      </c>
      <c r="H188" s="325">
        <f>3*0.27</f>
        <v>0.81</v>
      </c>
      <c r="I188" s="94" t="s">
        <v>495</v>
      </c>
      <c r="J188" s="136">
        <f>62.96*0.27</f>
        <v>16.999200000000002</v>
      </c>
      <c r="K188" s="136"/>
      <c r="L188" s="136"/>
      <c r="M188" s="325">
        <f t="shared" ref="M188:M203" si="16">SUM(G188,H188,J188,L188)</f>
        <v>100.758627</v>
      </c>
      <c r="N188" s="342" t="s">
        <v>496</v>
      </c>
      <c r="O188" s="342" t="s">
        <v>497</v>
      </c>
      <c r="P188" s="76" t="s">
        <v>36</v>
      </c>
      <c r="Q188" s="347">
        <v>15</v>
      </c>
      <c r="R188" s="347">
        <v>231.4023</v>
      </c>
      <c r="S188" s="342">
        <v>2014.07</v>
      </c>
      <c r="T188" s="325">
        <v>20.473400000000002</v>
      </c>
      <c r="U188" s="16">
        <f t="shared" ref="U188:U192" si="17">T188/Q188</f>
        <v>1.3648933333333335</v>
      </c>
      <c r="V188" s="575">
        <f>SUM(Q188:Q191)</f>
        <v>105</v>
      </c>
      <c r="W188" s="575">
        <f>SUM(T188:T191)</f>
        <v>148.24510000000001</v>
      </c>
      <c r="X188" s="578">
        <f>W188/V188</f>
        <v>1.4118580952380952</v>
      </c>
      <c r="Y188" s="578">
        <f>W188/M188</f>
        <v>1.4712894013531963</v>
      </c>
      <c r="Z188" s="128" t="s">
        <v>498</v>
      </c>
      <c r="AA188" s="98"/>
    </row>
    <row r="189" spans="1:27" ht="24" hidden="1">
      <c r="A189" s="475"/>
      <c r="B189" s="131"/>
      <c r="C189" s="127"/>
      <c r="D189" s="127"/>
      <c r="E189" s="127"/>
      <c r="F189" s="94"/>
      <c r="G189" s="136"/>
      <c r="H189" s="136"/>
      <c r="I189" s="94"/>
      <c r="J189" s="136"/>
      <c r="K189" s="136"/>
      <c r="L189" s="136"/>
      <c r="M189" s="325"/>
      <c r="N189" s="342" t="s">
        <v>499</v>
      </c>
      <c r="O189" s="342" t="s">
        <v>497</v>
      </c>
      <c r="P189" s="76" t="s">
        <v>36</v>
      </c>
      <c r="Q189" s="347">
        <v>20</v>
      </c>
      <c r="R189" s="347">
        <v>24.966000000000001</v>
      </c>
      <c r="S189" s="342">
        <v>2014.07</v>
      </c>
      <c r="T189" s="325">
        <v>18.871700000000001</v>
      </c>
      <c r="U189" s="16">
        <f t="shared" si="17"/>
        <v>0.94358500000000001</v>
      </c>
      <c r="V189" s="576"/>
      <c r="W189" s="576"/>
      <c r="X189" s="579"/>
      <c r="Y189" s="579"/>
      <c r="Z189" s="128" t="s">
        <v>498</v>
      </c>
      <c r="AA189" s="98"/>
    </row>
    <row r="190" spans="1:27" ht="24" hidden="1">
      <c r="A190" s="475"/>
      <c r="B190" s="131"/>
      <c r="C190" s="127"/>
      <c r="D190" s="127"/>
      <c r="E190" s="127"/>
      <c r="F190" s="94"/>
      <c r="G190" s="136"/>
      <c r="H190" s="136"/>
      <c r="I190" s="94"/>
      <c r="J190" s="136"/>
      <c r="K190" s="136"/>
      <c r="L190" s="136"/>
      <c r="M190" s="325"/>
      <c r="N190" s="342" t="s">
        <v>500</v>
      </c>
      <c r="O190" s="342" t="s">
        <v>497</v>
      </c>
      <c r="P190" s="76" t="s">
        <v>36</v>
      </c>
      <c r="Q190" s="347">
        <v>50</v>
      </c>
      <c r="R190" s="347">
        <v>78.971900000000005</v>
      </c>
      <c r="S190" s="342">
        <v>2014.12</v>
      </c>
      <c r="T190" s="325">
        <v>78.900000000000006</v>
      </c>
      <c r="U190" s="16">
        <f t="shared" si="17"/>
        <v>1.5780000000000001</v>
      </c>
      <c r="V190" s="576"/>
      <c r="W190" s="576"/>
      <c r="X190" s="579"/>
      <c r="Y190" s="579"/>
      <c r="Z190" s="128" t="s">
        <v>498</v>
      </c>
      <c r="AA190" s="98"/>
    </row>
    <row r="191" spans="1:27" ht="24" hidden="1">
      <c r="A191" s="475"/>
      <c r="B191" s="131"/>
      <c r="C191" s="127"/>
      <c r="D191" s="127"/>
      <c r="E191" s="127"/>
      <c r="F191" s="94"/>
      <c r="G191" s="136"/>
      <c r="H191" s="136"/>
      <c r="I191" s="94"/>
      <c r="J191" s="136"/>
      <c r="K191" s="136"/>
      <c r="L191" s="136"/>
      <c r="M191" s="325"/>
      <c r="N191" s="342" t="s">
        <v>501</v>
      </c>
      <c r="O191" s="342" t="s">
        <v>497</v>
      </c>
      <c r="P191" s="76" t="s">
        <v>36</v>
      </c>
      <c r="Q191" s="347">
        <v>20</v>
      </c>
      <c r="R191" s="347">
        <v>50</v>
      </c>
      <c r="S191" s="342">
        <v>2014.12</v>
      </c>
      <c r="T191" s="325">
        <v>30</v>
      </c>
      <c r="U191" s="16">
        <f t="shared" si="17"/>
        <v>1.5</v>
      </c>
      <c r="V191" s="577"/>
      <c r="W191" s="577"/>
      <c r="X191" s="580"/>
      <c r="Y191" s="580"/>
      <c r="Z191" s="128" t="s">
        <v>498</v>
      </c>
      <c r="AA191" s="98"/>
    </row>
    <row r="192" spans="1:27" ht="60" hidden="1">
      <c r="A192" s="475"/>
      <c r="B192" s="131">
        <v>7</v>
      </c>
      <c r="C192" s="127" t="s">
        <v>502</v>
      </c>
      <c r="D192" s="376">
        <v>94988.893400000001</v>
      </c>
      <c r="E192" s="376" t="s">
        <v>2075</v>
      </c>
      <c r="F192" s="342" t="s">
        <v>372</v>
      </c>
      <c r="G192" s="325">
        <v>515.54999999999995</v>
      </c>
      <c r="H192" s="325">
        <v>4.2</v>
      </c>
      <c r="I192" s="342" t="s">
        <v>394</v>
      </c>
      <c r="J192" s="325">
        <v>16.9511</v>
      </c>
      <c r="K192" s="325"/>
      <c r="L192" s="325"/>
      <c r="M192" s="325">
        <f t="shared" si="16"/>
        <v>536.7011</v>
      </c>
      <c r="N192" s="342" t="s">
        <v>503</v>
      </c>
      <c r="O192" s="342" t="s">
        <v>504</v>
      </c>
      <c r="P192" s="76" t="s">
        <v>36</v>
      </c>
      <c r="Q192" s="347">
        <v>15</v>
      </c>
      <c r="R192" s="347">
        <v>38</v>
      </c>
      <c r="S192" s="342" t="s">
        <v>505</v>
      </c>
      <c r="T192" s="325"/>
      <c r="U192" s="16">
        <f t="shared" si="17"/>
        <v>0</v>
      </c>
      <c r="V192" s="25">
        <f>Q191</f>
        <v>20</v>
      </c>
      <c r="W192" s="25">
        <f>T191</f>
        <v>30</v>
      </c>
      <c r="X192" s="46">
        <f>W192/V192</f>
        <v>1.5</v>
      </c>
      <c r="Y192" s="46">
        <f>W192/M192</f>
        <v>5.5897034680942523E-2</v>
      </c>
      <c r="Z192" s="128" t="s">
        <v>506</v>
      </c>
      <c r="AA192" s="98"/>
    </row>
    <row r="193" spans="1:27" hidden="1">
      <c r="A193" s="475"/>
      <c r="B193" s="131">
        <v>8</v>
      </c>
      <c r="C193" s="127" t="s">
        <v>1922</v>
      </c>
      <c r="D193" s="376">
        <v>62305.806299999997</v>
      </c>
      <c r="E193" s="376" t="s">
        <v>2076</v>
      </c>
      <c r="F193" s="342" t="s">
        <v>31</v>
      </c>
      <c r="G193" s="325">
        <v>156.06</v>
      </c>
      <c r="H193" s="325">
        <v>3.6</v>
      </c>
      <c r="I193" s="342" t="s">
        <v>507</v>
      </c>
      <c r="J193" s="325">
        <v>28</v>
      </c>
      <c r="K193" s="325"/>
      <c r="L193" s="325"/>
      <c r="M193" s="325">
        <f t="shared" si="16"/>
        <v>187.66</v>
      </c>
      <c r="N193" s="130"/>
      <c r="O193" s="130"/>
      <c r="P193" s="130"/>
      <c r="Q193" s="137"/>
      <c r="R193" s="137"/>
      <c r="S193" s="130"/>
      <c r="T193" s="129"/>
      <c r="U193" s="16"/>
      <c r="V193" s="25"/>
      <c r="W193" s="25"/>
      <c r="X193" s="25"/>
      <c r="Y193" s="25"/>
      <c r="Z193" s="128" t="s">
        <v>506</v>
      </c>
      <c r="AA193" s="98"/>
    </row>
    <row r="194" spans="1:27" ht="48" hidden="1">
      <c r="A194" s="475"/>
      <c r="B194" s="131">
        <v>9</v>
      </c>
      <c r="C194" s="127" t="s">
        <v>508</v>
      </c>
      <c r="D194" s="376">
        <v>32671.232800000002</v>
      </c>
      <c r="E194" s="376" t="s">
        <v>2077</v>
      </c>
      <c r="F194" s="342" t="s">
        <v>457</v>
      </c>
      <c r="G194" s="325">
        <v>41.04786</v>
      </c>
      <c r="H194" s="325">
        <v>1.5</v>
      </c>
      <c r="I194" s="342" t="s">
        <v>457</v>
      </c>
      <c r="J194" s="325">
        <v>32.251890000000003</v>
      </c>
      <c r="K194" s="325"/>
      <c r="L194" s="325"/>
      <c r="M194" s="325">
        <f t="shared" si="16"/>
        <v>74.799750000000003</v>
      </c>
      <c r="N194" s="342" t="s">
        <v>509</v>
      </c>
      <c r="O194" s="94" t="s">
        <v>1923</v>
      </c>
      <c r="P194" s="76" t="s">
        <v>36</v>
      </c>
      <c r="Q194" s="347">
        <v>167</v>
      </c>
      <c r="R194" s="347">
        <v>167</v>
      </c>
      <c r="S194" s="342" t="s">
        <v>271</v>
      </c>
      <c r="T194" s="325">
        <v>98.4</v>
      </c>
      <c r="U194" s="16">
        <f>T194/Q194</f>
        <v>0.58922155688622757</v>
      </c>
      <c r="V194" s="25">
        <f>Q194</f>
        <v>167</v>
      </c>
      <c r="W194" s="25">
        <f>T194</f>
        <v>98.4</v>
      </c>
      <c r="X194" s="46">
        <f>W194/V194</f>
        <v>0.58922155688622757</v>
      </c>
      <c r="Y194" s="46">
        <f>W194/M194</f>
        <v>1.3155124181564779</v>
      </c>
      <c r="Z194" s="128" t="s">
        <v>469</v>
      </c>
      <c r="AA194" s="98"/>
    </row>
    <row r="195" spans="1:27" ht="24" hidden="1">
      <c r="A195" s="475"/>
      <c r="B195" s="131">
        <v>10</v>
      </c>
      <c r="C195" s="127" t="s">
        <v>510</v>
      </c>
      <c r="D195" s="376">
        <v>22966.0471</v>
      </c>
      <c r="E195" s="376" t="s">
        <v>2078</v>
      </c>
      <c r="F195" s="94" t="s">
        <v>242</v>
      </c>
      <c r="G195" s="136">
        <v>66.3643</v>
      </c>
      <c r="H195" s="136"/>
      <c r="I195" s="94"/>
      <c r="J195" s="136"/>
      <c r="K195" s="136"/>
      <c r="L195" s="136"/>
      <c r="M195" s="325">
        <f t="shared" si="16"/>
        <v>66.3643</v>
      </c>
      <c r="N195" s="94"/>
      <c r="O195" s="94"/>
      <c r="P195" s="342"/>
      <c r="Q195" s="95"/>
      <c r="R195" s="95"/>
      <c r="S195" s="94"/>
      <c r="T195" s="136"/>
      <c r="U195" s="16"/>
      <c r="V195" s="25"/>
      <c r="W195" s="25"/>
      <c r="X195" s="25"/>
      <c r="Y195" s="25"/>
      <c r="Z195" s="128" t="s">
        <v>511</v>
      </c>
      <c r="AA195" s="98"/>
    </row>
    <row r="196" spans="1:27" hidden="1">
      <c r="A196" s="475"/>
      <c r="B196" s="131">
        <v>11</v>
      </c>
      <c r="C196" s="127" t="s">
        <v>512</v>
      </c>
      <c r="D196" s="376">
        <v>85805.896399999998</v>
      </c>
      <c r="E196" s="376" t="s">
        <v>2079</v>
      </c>
      <c r="F196" s="94" t="s">
        <v>513</v>
      </c>
      <c r="G196" s="136">
        <v>1601.4</v>
      </c>
      <c r="H196" s="136" t="s">
        <v>514</v>
      </c>
      <c r="I196" s="94" t="s">
        <v>515</v>
      </c>
      <c r="J196" s="325">
        <v>745.5</v>
      </c>
      <c r="K196" s="144"/>
      <c r="L196" s="144"/>
      <c r="M196" s="325">
        <f t="shared" si="16"/>
        <v>2346.9</v>
      </c>
      <c r="N196" s="138"/>
      <c r="O196" s="138"/>
      <c r="P196" s="138"/>
      <c r="Q196" s="139"/>
      <c r="R196" s="139"/>
      <c r="S196" s="138"/>
      <c r="T196" s="144"/>
      <c r="U196" s="133"/>
      <c r="V196" s="140"/>
      <c r="W196" s="140"/>
      <c r="X196" s="140"/>
      <c r="Y196" s="140"/>
      <c r="Z196" s="128" t="s">
        <v>167</v>
      </c>
      <c r="AA196" s="98"/>
    </row>
    <row r="197" spans="1:27" ht="36">
      <c r="A197" s="475"/>
      <c r="B197" s="131">
        <v>12</v>
      </c>
      <c r="C197" s="127" t="s">
        <v>516</v>
      </c>
      <c r="D197" s="376">
        <v>41793.5213</v>
      </c>
      <c r="E197" s="376" t="s">
        <v>2080</v>
      </c>
      <c r="F197" s="342"/>
      <c r="G197" s="325"/>
      <c r="H197" s="325"/>
      <c r="I197" s="94" t="s">
        <v>517</v>
      </c>
      <c r="J197" s="325">
        <v>49</v>
      </c>
      <c r="K197" s="144"/>
      <c r="L197" s="144"/>
      <c r="M197" s="325">
        <f>J197+J198</f>
        <v>60</v>
      </c>
      <c r="N197" s="342" t="s">
        <v>518</v>
      </c>
      <c r="O197" s="342" t="s">
        <v>519</v>
      </c>
      <c r="P197" s="76" t="s">
        <v>27</v>
      </c>
      <c r="Q197" s="347">
        <v>0.83572000000000002</v>
      </c>
      <c r="R197" s="347">
        <v>1.33572</v>
      </c>
      <c r="S197" s="342" t="s">
        <v>520</v>
      </c>
      <c r="T197" s="325">
        <v>0.70828100000000005</v>
      </c>
      <c r="U197" s="16">
        <f>T197/Q197</f>
        <v>0.84750993155602361</v>
      </c>
      <c r="V197" s="575">
        <f>SUM(Q197:Q198)</f>
        <v>2.82389</v>
      </c>
      <c r="W197" s="575">
        <f>SUM(T197:T198)</f>
        <v>2.4497260000000001</v>
      </c>
      <c r="X197" s="578">
        <f>W197/V197</f>
        <v>0.8675005046230555</v>
      </c>
      <c r="Y197" s="578">
        <f>W197/M197</f>
        <v>4.0828766666666669E-2</v>
      </c>
      <c r="Z197" s="128" t="s">
        <v>167</v>
      </c>
      <c r="AA197" s="98"/>
    </row>
    <row r="198" spans="1:27" ht="24">
      <c r="A198" s="475"/>
      <c r="B198" s="131"/>
      <c r="C198" s="127"/>
      <c r="D198" s="127"/>
      <c r="E198" s="127"/>
      <c r="F198" s="342"/>
      <c r="G198" s="325"/>
      <c r="H198" s="325"/>
      <c r="I198" s="94" t="s">
        <v>521</v>
      </c>
      <c r="J198" s="325">
        <v>11</v>
      </c>
      <c r="K198" s="135"/>
      <c r="L198" s="135"/>
      <c r="M198" s="325"/>
      <c r="N198" s="342" t="s">
        <v>522</v>
      </c>
      <c r="O198" s="342" t="s">
        <v>523</v>
      </c>
      <c r="P198" s="76" t="s">
        <v>27</v>
      </c>
      <c r="Q198" s="347">
        <v>1.98817</v>
      </c>
      <c r="R198" s="347">
        <v>2.4881700000000002</v>
      </c>
      <c r="S198" s="342" t="s">
        <v>524</v>
      </c>
      <c r="T198" s="325">
        <v>1.7414450000000001</v>
      </c>
      <c r="U198" s="16">
        <f>T198/Q198</f>
        <v>0.87590346901924898</v>
      </c>
      <c r="V198" s="577"/>
      <c r="W198" s="577"/>
      <c r="X198" s="580"/>
      <c r="Y198" s="580"/>
      <c r="Z198" s="128" t="s">
        <v>167</v>
      </c>
      <c r="AA198" s="98"/>
    </row>
    <row r="199" spans="1:27" ht="24" hidden="1">
      <c r="A199" s="475"/>
      <c r="B199" s="131">
        <v>13</v>
      </c>
      <c r="C199" s="127" t="s">
        <v>525</v>
      </c>
      <c r="D199" s="376">
        <v>20608.107</v>
      </c>
      <c r="E199" s="376" t="s">
        <v>2081</v>
      </c>
      <c r="F199" s="342"/>
      <c r="G199" s="325"/>
      <c r="H199" s="325"/>
      <c r="I199" s="342"/>
      <c r="J199" s="325"/>
      <c r="K199" s="325"/>
      <c r="L199" s="325"/>
      <c r="M199" s="325"/>
      <c r="N199" s="342"/>
      <c r="O199" s="342"/>
      <c r="P199" s="342"/>
      <c r="Q199" s="347"/>
      <c r="R199" s="347"/>
      <c r="S199" s="342"/>
      <c r="T199" s="325"/>
      <c r="U199" s="16"/>
      <c r="V199" s="25"/>
      <c r="W199" s="25"/>
      <c r="X199" s="25"/>
      <c r="Y199" s="25"/>
      <c r="Z199" s="128" t="s">
        <v>526</v>
      </c>
      <c r="AA199" s="98"/>
    </row>
    <row r="200" spans="1:27" ht="24" hidden="1">
      <c r="A200" s="475"/>
      <c r="B200" s="131">
        <v>14</v>
      </c>
      <c r="C200" s="127" t="s">
        <v>527</v>
      </c>
      <c r="D200" s="376">
        <v>22943.1558</v>
      </c>
      <c r="E200" s="376" t="s">
        <v>2082</v>
      </c>
      <c r="F200" s="342"/>
      <c r="G200" s="325"/>
      <c r="H200" s="325"/>
      <c r="I200" s="342" t="s">
        <v>528</v>
      </c>
      <c r="J200" s="325">
        <v>34.414700000000003</v>
      </c>
      <c r="K200" s="325"/>
      <c r="L200" s="325"/>
      <c r="M200" s="325">
        <f t="shared" si="16"/>
        <v>34.414700000000003</v>
      </c>
      <c r="N200" s="342"/>
      <c r="O200" s="342"/>
      <c r="P200" s="342"/>
      <c r="Q200" s="347"/>
      <c r="R200" s="347"/>
      <c r="S200" s="342"/>
      <c r="T200" s="325"/>
      <c r="U200" s="16"/>
      <c r="V200" s="25"/>
      <c r="W200" s="25"/>
      <c r="X200" s="25"/>
      <c r="Y200" s="25"/>
      <c r="Z200" s="128" t="s">
        <v>167</v>
      </c>
      <c r="AA200" s="98"/>
    </row>
    <row r="201" spans="1:27" ht="36" hidden="1">
      <c r="A201" s="475"/>
      <c r="B201" s="131">
        <v>15</v>
      </c>
      <c r="C201" s="127" t="s">
        <v>529</v>
      </c>
      <c r="D201" s="376">
        <f>54225.4973-15630.153</f>
        <v>38595.344300000004</v>
      </c>
      <c r="E201" s="376" t="s">
        <v>2083</v>
      </c>
      <c r="F201" s="342" t="s">
        <v>255</v>
      </c>
      <c r="G201" s="325"/>
      <c r="H201" s="325"/>
      <c r="I201" s="342" t="s">
        <v>255</v>
      </c>
      <c r="J201" s="325">
        <v>77.108599999999996</v>
      </c>
      <c r="K201" s="325" t="s">
        <v>255</v>
      </c>
      <c r="L201" s="325">
        <v>20.497199999999999</v>
      </c>
      <c r="M201" s="325">
        <f t="shared" si="16"/>
        <v>97.605799999999988</v>
      </c>
      <c r="N201" s="342"/>
      <c r="O201" s="342"/>
      <c r="P201" s="342"/>
      <c r="Q201" s="347"/>
      <c r="R201" s="347"/>
      <c r="S201" s="342"/>
      <c r="T201" s="325"/>
      <c r="U201" s="342"/>
      <c r="V201" s="25"/>
      <c r="W201" s="25"/>
      <c r="X201" s="25"/>
      <c r="Y201" s="25"/>
      <c r="Z201" s="128" t="s">
        <v>167</v>
      </c>
      <c r="AA201" s="98"/>
    </row>
    <row r="202" spans="1:27" ht="24" hidden="1">
      <c r="A202" s="475"/>
      <c r="B202" s="131">
        <v>16</v>
      </c>
      <c r="C202" s="127" t="s">
        <v>530</v>
      </c>
      <c r="D202" s="376">
        <v>32507.43</v>
      </c>
      <c r="E202" s="376" t="s">
        <v>2084</v>
      </c>
      <c r="F202" s="342"/>
      <c r="G202" s="325"/>
      <c r="H202" s="325"/>
      <c r="I202" s="342"/>
      <c r="J202" s="325"/>
      <c r="K202" s="325"/>
      <c r="L202" s="325"/>
      <c r="M202" s="325"/>
      <c r="N202" s="342"/>
      <c r="O202" s="342"/>
      <c r="P202" s="342"/>
      <c r="Q202" s="347"/>
      <c r="R202" s="347"/>
      <c r="S202" s="342"/>
      <c r="T202" s="325"/>
      <c r="U202" s="16"/>
      <c r="V202" s="25"/>
      <c r="W202" s="25"/>
      <c r="X202" s="25"/>
      <c r="Y202" s="25"/>
      <c r="Z202" s="128" t="s">
        <v>526</v>
      </c>
      <c r="AA202" s="98"/>
    </row>
    <row r="203" spans="1:27" ht="36" hidden="1">
      <c r="A203" s="475"/>
      <c r="B203" s="131">
        <v>17</v>
      </c>
      <c r="C203" s="127" t="s">
        <v>531</v>
      </c>
      <c r="D203" s="376">
        <v>16355.01</v>
      </c>
      <c r="E203" s="376" t="s">
        <v>2085</v>
      </c>
      <c r="F203" s="342"/>
      <c r="G203" s="325"/>
      <c r="H203" s="325"/>
      <c r="I203" s="342"/>
      <c r="J203" s="325"/>
      <c r="K203" s="325" t="s">
        <v>532</v>
      </c>
      <c r="L203" s="325">
        <v>15.739663999999999</v>
      </c>
      <c r="M203" s="325">
        <f t="shared" si="16"/>
        <v>15.739663999999999</v>
      </c>
      <c r="N203" s="342"/>
      <c r="O203" s="342"/>
      <c r="P203" s="342"/>
      <c r="Q203" s="347"/>
      <c r="R203" s="347"/>
      <c r="S203" s="342"/>
      <c r="T203" s="325"/>
      <c r="U203" s="16"/>
      <c r="V203" s="25"/>
      <c r="W203" s="25"/>
      <c r="X203" s="25"/>
      <c r="Y203" s="25"/>
      <c r="Z203" s="128" t="s">
        <v>526</v>
      </c>
      <c r="AA203" s="98"/>
    </row>
    <row r="204" spans="1:27" hidden="1">
      <c r="A204" s="475"/>
      <c r="B204" s="141">
        <v>18</v>
      </c>
      <c r="C204" s="142" t="s">
        <v>533</v>
      </c>
      <c r="D204" s="376">
        <v>45272.518600000003</v>
      </c>
      <c r="E204" s="376" t="s">
        <v>2086</v>
      </c>
      <c r="F204" s="342"/>
      <c r="G204" s="325"/>
      <c r="H204" s="325"/>
      <c r="I204" s="342"/>
      <c r="J204" s="325"/>
      <c r="K204" s="325"/>
      <c r="L204" s="325"/>
      <c r="M204" s="325"/>
      <c r="N204" s="342"/>
      <c r="O204" s="342"/>
      <c r="P204" s="342"/>
      <c r="Q204" s="347"/>
      <c r="R204" s="347"/>
      <c r="S204" s="342"/>
      <c r="T204" s="325"/>
      <c r="U204" s="16"/>
      <c r="V204" s="25"/>
      <c r="W204" s="25"/>
      <c r="X204" s="25"/>
      <c r="Y204" s="25"/>
      <c r="Z204" s="128"/>
      <c r="AA204" s="98"/>
    </row>
    <row r="205" spans="1:27" ht="36" hidden="1">
      <c r="A205" s="475"/>
      <c r="B205" s="141">
        <v>19</v>
      </c>
      <c r="C205" s="143" t="s">
        <v>534</v>
      </c>
      <c r="D205" s="376">
        <v>27623.769</v>
      </c>
      <c r="E205" s="376" t="s">
        <v>2087</v>
      </c>
      <c r="F205" s="138" t="s">
        <v>356</v>
      </c>
      <c r="G205" s="144">
        <v>52.485100000000003</v>
      </c>
      <c r="H205" s="144"/>
      <c r="I205" s="138" t="s">
        <v>356</v>
      </c>
      <c r="J205" s="144">
        <v>21.822700000000001</v>
      </c>
      <c r="K205" s="144"/>
      <c r="L205" s="144"/>
      <c r="M205" s="144">
        <f>SUM(G205,H205,J205,L205)</f>
        <v>74.3078</v>
      </c>
      <c r="N205" s="138"/>
      <c r="O205" s="138"/>
      <c r="P205" s="138"/>
      <c r="Q205" s="139"/>
      <c r="R205" s="139"/>
      <c r="S205" s="138"/>
      <c r="T205" s="144"/>
      <c r="U205" s="133"/>
      <c r="V205" s="140"/>
      <c r="W205" s="140"/>
      <c r="X205" s="140"/>
      <c r="Y205" s="140"/>
      <c r="Z205" s="138" t="s">
        <v>312</v>
      </c>
      <c r="AA205" s="98"/>
    </row>
    <row r="206" spans="1:27" hidden="1">
      <c r="A206" s="475"/>
      <c r="B206" s="141">
        <v>20</v>
      </c>
      <c r="C206" s="145" t="s">
        <v>535</v>
      </c>
      <c r="D206" s="376">
        <v>13889</v>
      </c>
      <c r="E206" s="376" t="s">
        <v>2088</v>
      </c>
      <c r="F206" s="342"/>
      <c r="G206" s="325"/>
      <c r="H206" s="325"/>
      <c r="I206" s="342"/>
      <c r="J206" s="325"/>
      <c r="K206" s="325"/>
      <c r="L206" s="325"/>
      <c r="M206" s="325"/>
      <c r="N206" s="342"/>
      <c r="O206" s="342"/>
      <c r="P206" s="342"/>
      <c r="Q206" s="347"/>
      <c r="R206" s="347"/>
      <c r="S206" s="342"/>
      <c r="T206" s="325"/>
      <c r="U206" s="16"/>
      <c r="V206" s="25"/>
      <c r="W206" s="25"/>
      <c r="X206" s="25"/>
      <c r="Y206" s="25"/>
      <c r="Z206" s="128"/>
      <c r="AA206" s="98"/>
    </row>
    <row r="207" spans="1:27" ht="36" hidden="1">
      <c r="A207" s="475" t="s">
        <v>728</v>
      </c>
      <c r="B207" s="352">
        <v>1</v>
      </c>
      <c r="C207" s="356" t="s">
        <v>536</v>
      </c>
      <c r="D207" s="76">
        <v>29054.5</v>
      </c>
      <c r="E207" s="76" t="s">
        <v>2089</v>
      </c>
      <c r="F207" s="356" t="s">
        <v>243</v>
      </c>
      <c r="G207" s="313">
        <v>45.990563000000002</v>
      </c>
      <c r="H207" s="313">
        <v>0.45</v>
      </c>
      <c r="I207" s="6" t="s">
        <v>243</v>
      </c>
      <c r="J207" s="313">
        <v>38.325470000000003</v>
      </c>
      <c r="K207" s="313"/>
      <c r="L207" s="313"/>
      <c r="M207" s="313">
        <f>J207+L207+H207+G207</f>
        <v>84.766033000000007</v>
      </c>
      <c r="N207" s="356" t="s">
        <v>537</v>
      </c>
      <c r="O207" s="356" t="s">
        <v>538</v>
      </c>
      <c r="P207" s="76" t="s">
        <v>36</v>
      </c>
      <c r="Q207" s="434">
        <v>9</v>
      </c>
      <c r="R207" s="434">
        <v>26</v>
      </c>
      <c r="S207" s="356" t="s">
        <v>539</v>
      </c>
      <c r="T207" s="313">
        <v>7</v>
      </c>
      <c r="U207" s="5">
        <f>T207/Q207</f>
        <v>0.77777777777777779</v>
      </c>
      <c r="V207" s="24">
        <f>Q207</f>
        <v>9</v>
      </c>
      <c r="W207" s="24">
        <f>T207</f>
        <v>7</v>
      </c>
      <c r="X207" s="27">
        <f>W207/V207</f>
        <v>0.77777777777777779</v>
      </c>
      <c r="Y207" s="27">
        <f>W207/M207</f>
        <v>8.2580247680105537E-2</v>
      </c>
      <c r="Z207" s="356" t="s">
        <v>540</v>
      </c>
      <c r="AA207" s="98"/>
    </row>
    <row r="208" spans="1:27" ht="24" hidden="1">
      <c r="A208" s="475"/>
      <c r="B208" s="352">
        <v>2</v>
      </c>
      <c r="C208" s="356" t="s">
        <v>541</v>
      </c>
      <c r="D208" s="76">
        <v>55262</v>
      </c>
      <c r="E208" s="76" t="s">
        <v>2090</v>
      </c>
      <c r="F208" s="356" t="s">
        <v>372</v>
      </c>
      <c r="G208" s="313">
        <v>175.79</v>
      </c>
      <c r="H208" s="313">
        <v>5</v>
      </c>
      <c r="I208" s="6" t="s">
        <v>372</v>
      </c>
      <c r="J208" s="313">
        <v>60.23</v>
      </c>
      <c r="K208" s="313"/>
      <c r="L208" s="313"/>
      <c r="M208" s="313">
        <f t="shared" ref="M208:M212" si="18">J208+L208+H208+G208</f>
        <v>241.01999999999998</v>
      </c>
      <c r="N208" s="342" t="s">
        <v>542</v>
      </c>
      <c r="O208" s="342"/>
      <c r="P208" s="342"/>
      <c r="Q208" s="347"/>
      <c r="R208" s="347"/>
      <c r="S208" s="342"/>
      <c r="T208" s="325"/>
      <c r="U208" s="5" t="e">
        <f t="shared" ref="U208:U271" si="19">T208/Q208</f>
        <v>#DIV/0!</v>
      </c>
      <c r="V208" s="24"/>
      <c r="W208" s="24"/>
      <c r="X208" s="24"/>
      <c r="Y208" s="24"/>
      <c r="Z208" s="356" t="s">
        <v>381</v>
      </c>
      <c r="AA208" s="98"/>
    </row>
    <row r="209" spans="1:27" ht="36" hidden="1">
      <c r="A209" s="475"/>
      <c r="B209" s="352">
        <v>3</v>
      </c>
      <c r="C209" s="146" t="s">
        <v>1924</v>
      </c>
      <c r="D209" s="147">
        <v>12684</v>
      </c>
      <c r="E209" s="147" t="s">
        <v>2091</v>
      </c>
      <c r="F209" s="146" t="s">
        <v>543</v>
      </c>
      <c r="G209" s="148">
        <v>40.35</v>
      </c>
      <c r="H209" s="148">
        <v>1</v>
      </c>
      <c r="I209" s="149" t="s">
        <v>544</v>
      </c>
      <c r="J209" s="148">
        <v>12.8</v>
      </c>
      <c r="K209" s="305"/>
      <c r="L209" s="305"/>
      <c r="M209" s="313">
        <f t="shared" si="18"/>
        <v>54.150000000000006</v>
      </c>
      <c r="N209" s="342" t="s">
        <v>542</v>
      </c>
      <c r="O209" s="342"/>
      <c r="P209" s="342"/>
      <c r="Q209" s="347"/>
      <c r="R209" s="347"/>
      <c r="S209" s="342"/>
      <c r="T209" s="325"/>
      <c r="U209" s="5" t="e">
        <f t="shared" si="19"/>
        <v>#DIV/0!</v>
      </c>
      <c r="V209" s="24"/>
      <c r="W209" s="24"/>
      <c r="X209" s="24"/>
      <c r="Y209" s="24"/>
      <c r="Z209" s="356" t="s">
        <v>381</v>
      </c>
      <c r="AA209" s="98"/>
    </row>
    <row r="210" spans="1:27" ht="24" hidden="1">
      <c r="A210" s="475"/>
      <c r="B210" s="352">
        <v>4</v>
      </c>
      <c r="C210" s="356" t="s">
        <v>545</v>
      </c>
      <c r="D210" s="76">
        <v>4999</v>
      </c>
      <c r="E210" s="76" t="s">
        <v>2092</v>
      </c>
      <c r="F210" s="356" t="s">
        <v>372</v>
      </c>
      <c r="G210" s="313">
        <v>15.900499999999999</v>
      </c>
      <c r="H210" s="313">
        <v>1</v>
      </c>
      <c r="I210" s="6" t="s">
        <v>242</v>
      </c>
      <c r="J210" s="313">
        <v>4.3931950000000004</v>
      </c>
      <c r="K210" s="313"/>
      <c r="L210" s="313"/>
      <c r="M210" s="313">
        <f t="shared" si="18"/>
        <v>21.293695</v>
      </c>
      <c r="N210" s="342" t="s">
        <v>542</v>
      </c>
      <c r="O210" s="342"/>
      <c r="P210" s="342"/>
      <c r="Q210" s="347"/>
      <c r="R210" s="347"/>
      <c r="S210" s="342"/>
      <c r="T210" s="325"/>
      <c r="U210" s="5" t="e">
        <f t="shared" si="19"/>
        <v>#DIV/0!</v>
      </c>
      <c r="V210" s="24"/>
      <c r="W210" s="24"/>
      <c r="X210" s="24"/>
      <c r="Y210" s="24"/>
      <c r="Z210" s="356" t="s">
        <v>381</v>
      </c>
      <c r="AA210" s="98"/>
    </row>
    <row r="211" spans="1:27" ht="36" hidden="1">
      <c r="A211" s="475"/>
      <c r="B211" s="352">
        <v>5</v>
      </c>
      <c r="C211" s="342" t="s">
        <v>1925</v>
      </c>
      <c r="D211" s="76">
        <v>8826</v>
      </c>
      <c r="E211" s="76" t="s">
        <v>2093</v>
      </c>
      <c r="F211" s="342" t="s">
        <v>546</v>
      </c>
      <c r="G211" s="325">
        <v>30.901499999999999</v>
      </c>
      <c r="H211" s="325"/>
      <c r="I211" s="150" t="s">
        <v>547</v>
      </c>
      <c r="J211" s="325">
        <v>15.0098</v>
      </c>
      <c r="K211" s="325"/>
      <c r="L211" s="325"/>
      <c r="M211" s="313">
        <f t="shared" si="18"/>
        <v>45.911299999999997</v>
      </c>
      <c r="N211" s="342" t="s">
        <v>542</v>
      </c>
      <c r="O211" s="342"/>
      <c r="P211" s="342"/>
      <c r="Q211" s="347"/>
      <c r="R211" s="347"/>
      <c r="S211" s="342"/>
      <c r="T211" s="325"/>
      <c r="U211" s="5" t="e">
        <f t="shared" si="19"/>
        <v>#DIV/0!</v>
      </c>
      <c r="V211" s="24"/>
      <c r="W211" s="24"/>
      <c r="X211" s="24"/>
      <c r="Y211" s="24"/>
      <c r="Z211" s="342" t="s">
        <v>548</v>
      </c>
      <c r="AA211" s="98"/>
    </row>
    <row r="212" spans="1:27" ht="48">
      <c r="A212" s="475"/>
      <c r="B212" s="352">
        <v>6</v>
      </c>
      <c r="C212" s="356" t="s">
        <v>549</v>
      </c>
      <c r="D212" s="76">
        <v>16414.59</v>
      </c>
      <c r="E212" s="76" t="s">
        <v>2094</v>
      </c>
      <c r="F212" s="356"/>
      <c r="G212" s="313"/>
      <c r="H212" s="313"/>
      <c r="I212" s="151" t="s">
        <v>550</v>
      </c>
      <c r="J212" s="293">
        <v>13.868567000000001</v>
      </c>
      <c r="K212" s="306"/>
      <c r="L212" s="306"/>
      <c r="M212" s="313">
        <f t="shared" si="18"/>
        <v>13.868567000000001</v>
      </c>
      <c r="N212" s="152" t="s">
        <v>551</v>
      </c>
      <c r="O212" s="152" t="s">
        <v>552</v>
      </c>
      <c r="P212" s="76" t="s">
        <v>27</v>
      </c>
      <c r="Q212" s="153">
        <v>0</v>
      </c>
      <c r="R212" s="153">
        <v>0.303645</v>
      </c>
      <c r="S212" s="152" t="s">
        <v>553</v>
      </c>
      <c r="T212" s="293">
        <v>0.23491600000000001</v>
      </c>
      <c r="U212" s="5" t="e">
        <f t="shared" si="19"/>
        <v>#DIV/0!</v>
      </c>
      <c r="V212" s="24"/>
      <c r="W212" s="24"/>
      <c r="X212" s="24"/>
      <c r="Y212" s="24"/>
      <c r="Z212" s="152" t="s">
        <v>554</v>
      </c>
      <c r="AA212" s="98"/>
    </row>
    <row r="213" spans="1:27" ht="48">
      <c r="A213" s="475"/>
      <c r="B213" s="352">
        <v>7</v>
      </c>
      <c r="C213" s="356"/>
      <c r="D213" s="76"/>
      <c r="E213" s="76"/>
      <c r="F213" s="356"/>
      <c r="G213" s="313"/>
      <c r="H213" s="313"/>
      <c r="I213" s="6"/>
      <c r="J213" s="313"/>
      <c r="K213" s="313"/>
      <c r="L213" s="313"/>
      <c r="M213" s="313"/>
      <c r="N213" s="152" t="s">
        <v>555</v>
      </c>
      <c r="O213" s="152" t="s">
        <v>556</v>
      </c>
      <c r="P213" s="76" t="s">
        <v>27</v>
      </c>
      <c r="Q213" s="153">
        <v>0</v>
      </c>
      <c r="R213" s="153">
        <v>4.5949999999999998E-2</v>
      </c>
      <c r="S213" s="152" t="s">
        <v>553</v>
      </c>
      <c r="T213" s="293">
        <v>2.8760000000000001E-2</v>
      </c>
      <c r="U213" s="5" t="e">
        <f t="shared" si="19"/>
        <v>#DIV/0!</v>
      </c>
      <c r="V213" s="24"/>
      <c r="W213" s="24"/>
      <c r="X213" s="24"/>
      <c r="Y213" s="24"/>
      <c r="Z213" s="152" t="s">
        <v>554</v>
      </c>
      <c r="AA213" s="98"/>
    </row>
    <row r="214" spans="1:27" ht="24">
      <c r="A214" s="475"/>
      <c r="B214" s="352">
        <v>8</v>
      </c>
      <c r="C214" s="356" t="s">
        <v>557</v>
      </c>
      <c r="D214" s="76">
        <v>107741.42</v>
      </c>
      <c r="E214" s="76" t="s">
        <v>2095</v>
      </c>
      <c r="F214" s="356" t="s">
        <v>558</v>
      </c>
      <c r="G214" s="313">
        <v>169.7</v>
      </c>
      <c r="H214" s="313">
        <v>5.3</v>
      </c>
      <c r="I214" s="6" t="s">
        <v>559</v>
      </c>
      <c r="J214" s="313">
        <v>146.80000000000001</v>
      </c>
      <c r="K214" s="313"/>
      <c r="L214" s="313"/>
      <c r="M214" s="313">
        <f>J214+L214+H214+G214</f>
        <v>321.8</v>
      </c>
      <c r="N214" s="356" t="s">
        <v>170</v>
      </c>
      <c r="O214" s="356" t="s">
        <v>560</v>
      </c>
      <c r="P214" s="76" t="s">
        <v>27</v>
      </c>
      <c r="Q214" s="434">
        <v>7.6</v>
      </c>
      <c r="R214" s="434">
        <v>7.6</v>
      </c>
      <c r="S214" s="356" t="s">
        <v>561</v>
      </c>
      <c r="T214" s="313">
        <v>4</v>
      </c>
      <c r="U214" s="5">
        <f t="shared" si="19"/>
        <v>0.52631578947368418</v>
      </c>
      <c r="V214" s="587">
        <f>SUM(Q214:Q228)</f>
        <v>213.11</v>
      </c>
      <c r="W214" s="587">
        <f>SUM(T214:T228)</f>
        <v>144.68</v>
      </c>
      <c r="X214" s="589">
        <f>W214/V214</f>
        <v>0.67889822157571211</v>
      </c>
      <c r="Y214" s="589">
        <f>X214/M214</f>
        <v>2.1096899365311127E-3</v>
      </c>
      <c r="Z214" s="356" t="s">
        <v>562</v>
      </c>
      <c r="AA214" s="98"/>
    </row>
    <row r="215" spans="1:27" ht="24">
      <c r="A215" s="475"/>
      <c r="B215" s="352">
        <v>9</v>
      </c>
      <c r="C215" s="154"/>
      <c r="D215" s="155"/>
      <c r="E215" s="155"/>
      <c r="F215" s="84"/>
      <c r="G215" s="156"/>
      <c r="H215" s="156"/>
      <c r="I215" s="157"/>
      <c r="J215" s="156"/>
      <c r="K215" s="156"/>
      <c r="L215" s="156"/>
      <c r="M215" s="156"/>
      <c r="N215" s="356" t="s">
        <v>563</v>
      </c>
      <c r="O215" s="356" t="s">
        <v>564</v>
      </c>
      <c r="P215" s="76" t="s">
        <v>27</v>
      </c>
      <c r="Q215" s="434">
        <v>1</v>
      </c>
      <c r="R215" s="434">
        <v>1</v>
      </c>
      <c r="S215" s="356" t="s">
        <v>561</v>
      </c>
      <c r="T215" s="313">
        <v>0.7</v>
      </c>
      <c r="U215" s="5">
        <f t="shared" si="19"/>
        <v>0.7</v>
      </c>
      <c r="V215" s="591"/>
      <c r="W215" s="591"/>
      <c r="X215" s="592"/>
      <c r="Y215" s="592"/>
      <c r="Z215" s="356" t="s">
        <v>562</v>
      </c>
      <c r="AA215" s="98"/>
    </row>
    <row r="216" spans="1:27" ht="24">
      <c r="A216" s="475"/>
      <c r="B216" s="352">
        <v>10</v>
      </c>
      <c r="C216" s="84"/>
      <c r="D216" s="158"/>
      <c r="E216" s="158"/>
      <c r="F216" s="84"/>
      <c r="G216" s="156"/>
      <c r="H216" s="156"/>
      <c r="I216" s="157"/>
      <c r="J216" s="156"/>
      <c r="K216" s="156"/>
      <c r="L216" s="156"/>
      <c r="M216" s="156"/>
      <c r="N216" s="356" t="s">
        <v>565</v>
      </c>
      <c r="O216" s="356" t="s">
        <v>566</v>
      </c>
      <c r="P216" s="76" t="s">
        <v>27</v>
      </c>
      <c r="Q216" s="434">
        <v>1.2</v>
      </c>
      <c r="R216" s="434">
        <v>1.2</v>
      </c>
      <c r="S216" s="356" t="s">
        <v>561</v>
      </c>
      <c r="T216" s="313">
        <v>0.72</v>
      </c>
      <c r="U216" s="5">
        <f t="shared" si="19"/>
        <v>0.6</v>
      </c>
      <c r="V216" s="591"/>
      <c r="W216" s="591"/>
      <c r="X216" s="592"/>
      <c r="Y216" s="592"/>
      <c r="Z216" s="356" t="s">
        <v>562</v>
      </c>
      <c r="AA216" s="98"/>
    </row>
    <row r="217" spans="1:27" ht="24">
      <c r="A217" s="475"/>
      <c r="B217" s="352">
        <v>11</v>
      </c>
      <c r="C217" s="84"/>
      <c r="D217" s="158"/>
      <c r="E217" s="158"/>
      <c r="F217" s="84"/>
      <c r="G217" s="156"/>
      <c r="H217" s="156"/>
      <c r="I217" s="157"/>
      <c r="J217" s="156"/>
      <c r="K217" s="156"/>
      <c r="L217" s="156"/>
      <c r="M217" s="156"/>
      <c r="N217" s="356" t="s">
        <v>567</v>
      </c>
      <c r="O217" s="356" t="s">
        <v>568</v>
      </c>
      <c r="P217" s="76" t="s">
        <v>27</v>
      </c>
      <c r="Q217" s="434">
        <v>0.3</v>
      </c>
      <c r="R217" s="434">
        <v>0.3</v>
      </c>
      <c r="S217" s="356" t="s">
        <v>561</v>
      </c>
      <c r="T217" s="313">
        <v>0.2</v>
      </c>
      <c r="U217" s="5">
        <f t="shared" si="19"/>
        <v>0.66666666666666674</v>
      </c>
      <c r="V217" s="591"/>
      <c r="W217" s="591"/>
      <c r="X217" s="592"/>
      <c r="Y217" s="592"/>
      <c r="Z217" s="356" t="s">
        <v>562</v>
      </c>
      <c r="AA217" s="98"/>
    </row>
    <row r="218" spans="1:27" ht="24">
      <c r="A218" s="475"/>
      <c r="B218" s="352">
        <v>12</v>
      </c>
      <c r="C218" s="84"/>
      <c r="D218" s="158"/>
      <c r="E218" s="158"/>
      <c r="F218" s="84"/>
      <c r="G218" s="156"/>
      <c r="H218" s="156"/>
      <c r="I218" s="157"/>
      <c r="J218" s="156"/>
      <c r="K218" s="156"/>
      <c r="L218" s="156"/>
      <c r="M218" s="156"/>
      <c r="N218" s="356" t="s">
        <v>569</v>
      </c>
      <c r="O218" s="356" t="s">
        <v>570</v>
      </c>
      <c r="P218" s="76" t="s">
        <v>27</v>
      </c>
      <c r="Q218" s="434">
        <v>0.28000000000000003</v>
      </c>
      <c r="R218" s="434">
        <v>0.28000000000000003</v>
      </c>
      <c r="S218" s="356" t="s">
        <v>561</v>
      </c>
      <c r="T218" s="313">
        <v>0.18</v>
      </c>
      <c r="U218" s="5">
        <f t="shared" si="19"/>
        <v>0.64285714285714279</v>
      </c>
      <c r="V218" s="591"/>
      <c r="W218" s="591"/>
      <c r="X218" s="592"/>
      <c r="Y218" s="592"/>
      <c r="Z218" s="356" t="s">
        <v>562</v>
      </c>
      <c r="AA218" s="98"/>
    </row>
    <row r="219" spans="1:27" ht="24">
      <c r="A219" s="475"/>
      <c r="B219" s="352">
        <v>13</v>
      </c>
      <c r="C219" s="84"/>
      <c r="D219" s="158"/>
      <c r="E219" s="158"/>
      <c r="F219" s="84"/>
      <c r="G219" s="156"/>
      <c r="H219" s="156"/>
      <c r="I219" s="157"/>
      <c r="J219" s="156"/>
      <c r="K219" s="156"/>
      <c r="L219" s="156"/>
      <c r="M219" s="156"/>
      <c r="N219" s="356" t="s">
        <v>571</v>
      </c>
      <c r="O219" s="356" t="s">
        <v>572</v>
      </c>
      <c r="P219" s="76" t="s">
        <v>27</v>
      </c>
      <c r="Q219" s="434">
        <v>6.3</v>
      </c>
      <c r="R219" s="434">
        <v>6.3</v>
      </c>
      <c r="S219" s="356" t="s">
        <v>573</v>
      </c>
      <c r="T219" s="313">
        <v>4</v>
      </c>
      <c r="U219" s="5">
        <f t="shared" si="19"/>
        <v>0.63492063492063489</v>
      </c>
      <c r="V219" s="591"/>
      <c r="W219" s="591"/>
      <c r="X219" s="592"/>
      <c r="Y219" s="592"/>
      <c r="Z219" s="356" t="s">
        <v>562</v>
      </c>
      <c r="AA219" s="98"/>
    </row>
    <row r="220" spans="1:27" ht="24">
      <c r="A220" s="475"/>
      <c r="B220" s="352">
        <v>14</v>
      </c>
      <c r="C220" s="84"/>
      <c r="D220" s="158"/>
      <c r="E220" s="158"/>
      <c r="F220" s="84"/>
      <c r="G220" s="156"/>
      <c r="H220" s="156"/>
      <c r="I220" s="157"/>
      <c r="J220" s="156"/>
      <c r="K220" s="156"/>
      <c r="L220" s="156"/>
      <c r="M220" s="156"/>
      <c r="N220" s="356" t="s">
        <v>574</v>
      </c>
      <c r="O220" s="356" t="s">
        <v>575</v>
      </c>
      <c r="P220" s="76" t="s">
        <v>27</v>
      </c>
      <c r="Q220" s="434">
        <v>0.54</v>
      </c>
      <c r="R220" s="434">
        <v>0.54</v>
      </c>
      <c r="S220" s="356" t="s">
        <v>237</v>
      </c>
      <c r="T220" s="313">
        <v>0.34</v>
      </c>
      <c r="U220" s="5">
        <f t="shared" si="19"/>
        <v>0.62962962962962965</v>
      </c>
      <c r="V220" s="591"/>
      <c r="W220" s="591"/>
      <c r="X220" s="592"/>
      <c r="Y220" s="592"/>
      <c r="Z220" s="356" t="s">
        <v>562</v>
      </c>
      <c r="AA220" s="98"/>
    </row>
    <row r="221" spans="1:27" ht="24">
      <c r="A221" s="475"/>
      <c r="B221" s="352">
        <v>15</v>
      </c>
      <c r="C221" s="84"/>
      <c r="D221" s="158"/>
      <c r="E221" s="158"/>
      <c r="F221" s="84"/>
      <c r="G221" s="156"/>
      <c r="H221" s="156"/>
      <c r="I221" s="157"/>
      <c r="J221" s="156"/>
      <c r="K221" s="156"/>
      <c r="L221" s="156"/>
      <c r="M221" s="156"/>
      <c r="N221" s="356" t="s">
        <v>576</v>
      </c>
      <c r="O221" s="356" t="s">
        <v>577</v>
      </c>
      <c r="P221" s="76" t="s">
        <v>27</v>
      </c>
      <c r="Q221" s="434">
        <v>0.49</v>
      </c>
      <c r="R221" s="434">
        <v>0.49</v>
      </c>
      <c r="S221" s="356" t="s">
        <v>237</v>
      </c>
      <c r="T221" s="313">
        <v>0.31</v>
      </c>
      <c r="U221" s="5">
        <f t="shared" si="19"/>
        <v>0.63265306122448983</v>
      </c>
      <c r="V221" s="591"/>
      <c r="W221" s="591"/>
      <c r="X221" s="592"/>
      <c r="Y221" s="592"/>
      <c r="Z221" s="356" t="s">
        <v>562</v>
      </c>
      <c r="AA221" s="98"/>
    </row>
    <row r="222" spans="1:27">
      <c r="A222" s="475"/>
      <c r="B222" s="352">
        <v>16</v>
      </c>
      <c r="C222" s="84"/>
      <c r="D222" s="158"/>
      <c r="E222" s="158"/>
      <c r="F222" s="84"/>
      <c r="G222" s="156"/>
      <c r="H222" s="156"/>
      <c r="I222" s="157"/>
      <c r="J222" s="156"/>
      <c r="K222" s="156"/>
      <c r="L222" s="156"/>
      <c r="M222" s="156"/>
      <c r="N222" s="356" t="s">
        <v>578</v>
      </c>
      <c r="O222" s="356" t="s">
        <v>579</v>
      </c>
      <c r="P222" s="76" t="s">
        <v>27</v>
      </c>
      <c r="Q222" s="434">
        <v>0.78</v>
      </c>
      <c r="R222" s="434">
        <v>0.78</v>
      </c>
      <c r="S222" s="356" t="s">
        <v>237</v>
      </c>
      <c r="T222" s="313">
        <v>0.49</v>
      </c>
      <c r="U222" s="5">
        <f t="shared" si="19"/>
        <v>0.62820512820512819</v>
      </c>
      <c r="V222" s="591"/>
      <c r="W222" s="591"/>
      <c r="X222" s="592"/>
      <c r="Y222" s="592"/>
      <c r="Z222" s="356" t="s">
        <v>562</v>
      </c>
      <c r="AA222" s="98"/>
    </row>
    <row r="223" spans="1:27">
      <c r="A223" s="475"/>
      <c r="B223" s="352">
        <v>17</v>
      </c>
      <c r="C223" s="84"/>
      <c r="D223" s="158"/>
      <c r="E223" s="158"/>
      <c r="F223" s="84"/>
      <c r="G223" s="156"/>
      <c r="H223" s="156"/>
      <c r="I223" s="157"/>
      <c r="J223" s="156"/>
      <c r="K223" s="156"/>
      <c r="L223" s="156"/>
      <c r="M223" s="156"/>
      <c r="N223" s="356" t="s">
        <v>580</v>
      </c>
      <c r="O223" s="356" t="s">
        <v>581</v>
      </c>
      <c r="P223" s="76" t="s">
        <v>27</v>
      </c>
      <c r="Q223" s="434">
        <v>1.23</v>
      </c>
      <c r="R223" s="434">
        <v>1.23</v>
      </c>
      <c r="S223" s="356" t="s">
        <v>573</v>
      </c>
      <c r="T223" s="313">
        <v>0.77</v>
      </c>
      <c r="U223" s="5">
        <f t="shared" si="19"/>
        <v>0.6260162601626017</v>
      </c>
      <c r="V223" s="591"/>
      <c r="W223" s="591"/>
      <c r="X223" s="592"/>
      <c r="Y223" s="592"/>
      <c r="Z223" s="356" t="s">
        <v>562</v>
      </c>
      <c r="AA223" s="98"/>
    </row>
    <row r="224" spans="1:27" ht="24">
      <c r="A224" s="475"/>
      <c r="B224" s="352">
        <v>18</v>
      </c>
      <c r="C224" s="84"/>
      <c r="D224" s="158"/>
      <c r="E224" s="158"/>
      <c r="F224" s="84"/>
      <c r="G224" s="156"/>
      <c r="H224" s="156"/>
      <c r="I224" s="157"/>
      <c r="J224" s="156"/>
      <c r="K224" s="156"/>
      <c r="L224" s="156"/>
      <c r="M224" s="156"/>
      <c r="N224" s="356" t="s">
        <v>582</v>
      </c>
      <c r="O224" s="356" t="s">
        <v>583</v>
      </c>
      <c r="P224" s="76" t="s">
        <v>27</v>
      </c>
      <c r="Q224" s="434">
        <v>0.39</v>
      </c>
      <c r="R224" s="434">
        <v>0.39</v>
      </c>
      <c r="S224" s="356" t="s">
        <v>573</v>
      </c>
      <c r="T224" s="313">
        <v>0.24</v>
      </c>
      <c r="U224" s="5">
        <f t="shared" si="19"/>
        <v>0.61538461538461531</v>
      </c>
      <c r="V224" s="591"/>
      <c r="W224" s="591"/>
      <c r="X224" s="592"/>
      <c r="Y224" s="592"/>
      <c r="Z224" s="356" t="s">
        <v>562</v>
      </c>
      <c r="AA224" s="98"/>
    </row>
    <row r="225" spans="1:27" ht="24" hidden="1">
      <c r="A225" s="475"/>
      <c r="B225" s="352">
        <v>19</v>
      </c>
      <c r="C225" s="84"/>
      <c r="D225" s="158"/>
      <c r="E225" s="158"/>
      <c r="F225" s="84"/>
      <c r="G225" s="156"/>
      <c r="H225" s="156"/>
      <c r="I225" s="157"/>
      <c r="J225" s="156"/>
      <c r="K225" s="156"/>
      <c r="L225" s="156"/>
      <c r="M225" s="156"/>
      <c r="N225" s="356" t="s">
        <v>415</v>
      </c>
      <c r="O225" s="356" t="s">
        <v>584</v>
      </c>
      <c r="P225" s="76" t="s">
        <v>36</v>
      </c>
      <c r="Q225" s="434">
        <v>56</v>
      </c>
      <c r="R225" s="434">
        <v>81</v>
      </c>
      <c r="S225" s="356" t="s">
        <v>585</v>
      </c>
      <c r="T225" s="313">
        <v>35.299999999999997</v>
      </c>
      <c r="U225" s="5">
        <f t="shared" si="19"/>
        <v>0.63035714285714284</v>
      </c>
      <c r="V225" s="591"/>
      <c r="W225" s="591"/>
      <c r="X225" s="592"/>
      <c r="Y225" s="592"/>
      <c r="Z225" s="356" t="s">
        <v>562</v>
      </c>
      <c r="AA225" s="98"/>
    </row>
    <row r="226" spans="1:27" ht="24" hidden="1">
      <c r="A226" s="475"/>
      <c r="B226" s="352">
        <v>20</v>
      </c>
      <c r="C226" s="84"/>
      <c r="D226" s="158"/>
      <c r="E226" s="158"/>
      <c r="F226" s="84"/>
      <c r="G226" s="156"/>
      <c r="H226" s="156"/>
      <c r="I226" s="157"/>
      <c r="J226" s="156"/>
      <c r="K226" s="156"/>
      <c r="L226" s="156"/>
      <c r="M226" s="156"/>
      <c r="N226" s="356" t="s">
        <v>586</v>
      </c>
      <c r="O226" s="356" t="s">
        <v>587</v>
      </c>
      <c r="P226" s="76" t="s">
        <v>36</v>
      </c>
      <c r="Q226" s="434">
        <v>52</v>
      </c>
      <c r="R226" s="434">
        <v>91</v>
      </c>
      <c r="S226" s="356" t="s">
        <v>588</v>
      </c>
      <c r="T226" s="313">
        <f>56.6-22</f>
        <v>34.6</v>
      </c>
      <c r="U226" s="5">
        <f t="shared" si="19"/>
        <v>0.66538461538461546</v>
      </c>
      <c r="V226" s="591"/>
      <c r="W226" s="591"/>
      <c r="X226" s="592"/>
      <c r="Y226" s="592"/>
      <c r="Z226" s="356" t="s">
        <v>562</v>
      </c>
      <c r="AA226" s="98"/>
    </row>
    <row r="227" spans="1:27" ht="24" hidden="1">
      <c r="A227" s="475"/>
      <c r="B227" s="352">
        <v>21</v>
      </c>
      <c r="C227" s="84"/>
      <c r="D227" s="158"/>
      <c r="E227" s="158"/>
      <c r="F227" s="84"/>
      <c r="G227" s="156"/>
      <c r="H227" s="156"/>
      <c r="I227" s="157"/>
      <c r="J227" s="156"/>
      <c r="K227" s="156"/>
      <c r="L227" s="156"/>
      <c r="M227" s="156"/>
      <c r="N227" s="356" t="s">
        <v>586</v>
      </c>
      <c r="O227" s="356" t="s">
        <v>589</v>
      </c>
      <c r="P227" s="76" t="s">
        <v>36</v>
      </c>
      <c r="Q227" s="434">
        <v>49</v>
      </c>
      <c r="R227" s="434">
        <v>64.65079999999999</v>
      </c>
      <c r="S227" s="356" t="s">
        <v>585</v>
      </c>
      <c r="T227" s="313">
        <v>37.47</v>
      </c>
      <c r="U227" s="5">
        <f t="shared" si="19"/>
        <v>0.76469387755102036</v>
      </c>
      <c r="V227" s="591"/>
      <c r="W227" s="591"/>
      <c r="X227" s="592"/>
      <c r="Y227" s="592"/>
      <c r="Z227" s="356" t="s">
        <v>562</v>
      </c>
      <c r="AA227" s="98"/>
    </row>
    <row r="228" spans="1:27" ht="24" hidden="1">
      <c r="A228" s="475"/>
      <c r="B228" s="352">
        <v>22</v>
      </c>
      <c r="C228" s="84"/>
      <c r="D228" s="158"/>
      <c r="E228" s="158"/>
      <c r="F228" s="84"/>
      <c r="G228" s="156"/>
      <c r="H228" s="156"/>
      <c r="I228" s="157"/>
      <c r="J228" s="156"/>
      <c r="K228" s="156"/>
      <c r="L228" s="156"/>
      <c r="M228" s="156"/>
      <c r="N228" s="356" t="s">
        <v>590</v>
      </c>
      <c r="O228" s="356" t="s">
        <v>591</v>
      </c>
      <c r="P228" s="76" t="s">
        <v>36</v>
      </c>
      <c r="Q228" s="434">
        <v>36</v>
      </c>
      <c r="R228" s="434">
        <v>31.81</v>
      </c>
      <c r="S228" s="356" t="s">
        <v>585</v>
      </c>
      <c r="T228" s="313">
        <v>25.36</v>
      </c>
      <c r="U228" s="5">
        <f t="shared" si="19"/>
        <v>0.70444444444444443</v>
      </c>
      <c r="V228" s="588"/>
      <c r="W228" s="588"/>
      <c r="X228" s="590"/>
      <c r="Y228" s="590"/>
      <c r="Z228" s="356" t="s">
        <v>562</v>
      </c>
      <c r="AA228" s="98"/>
    </row>
    <row r="229" spans="1:27" ht="24" hidden="1">
      <c r="A229" s="475"/>
      <c r="B229" s="352">
        <v>23</v>
      </c>
      <c r="C229" s="356" t="s">
        <v>1926</v>
      </c>
      <c r="D229" s="76">
        <v>40684.161200000002</v>
      </c>
      <c r="E229" s="76" t="s">
        <v>2096</v>
      </c>
      <c r="F229" s="356" t="s">
        <v>593</v>
      </c>
      <c r="G229" s="313">
        <v>129</v>
      </c>
      <c r="H229" s="313">
        <v>5</v>
      </c>
      <c r="I229" s="6" t="s">
        <v>593</v>
      </c>
      <c r="J229" s="313">
        <v>34</v>
      </c>
      <c r="K229" s="313"/>
      <c r="L229" s="313"/>
      <c r="M229" s="313">
        <f>J229+L229+H229+G229</f>
        <v>168</v>
      </c>
      <c r="N229" s="356" t="s">
        <v>594</v>
      </c>
      <c r="O229" s="356" t="s">
        <v>595</v>
      </c>
      <c r="P229" s="76" t="s">
        <v>36</v>
      </c>
      <c r="Q229" s="434">
        <v>5</v>
      </c>
      <c r="R229" s="434">
        <v>9</v>
      </c>
      <c r="S229" s="356" t="s">
        <v>596</v>
      </c>
      <c r="T229" s="313">
        <v>4</v>
      </c>
      <c r="U229" s="5">
        <f t="shared" si="19"/>
        <v>0.8</v>
      </c>
      <c r="V229" s="587">
        <f>SUM(Q229:Q230)</f>
        <v>25</v>
      </c>
      <c r="W229" s="587">
        <f>SUM(T229:T230)</f>
        <v>29</v>
      </c>
      <c r="X229" s="589">
        <f>W229/V229</f>
        <v>1.1599999999999999</v>
      </c>
      <c r="Y229" s="589">
        <f>W229/M229</f>
        <v>0.17261904761904762</v>
      </c>
      <c r="Z229" s="356" t="s">
        <v>381</v>
      </c>
      <c r="AA229" s="98"/>
    </row>
    <row r="230" spans="1:27" hidden="1">
      <c r="A230" s="475"/>
      <c r="B230" s="352">
        <v>24</v>
      </c>
      <c r="C230" s="356"/>
      <c r="D230" s="76"/>
      <c r="E230" s="76"/>
      <c r="F230" s="356"/>
      <c r="G230" s="313"/>
      <c r="H230" s="313"/>
      <c r="I230" s="6"/>
      <c r="J230" s="313"/>
      <c r="K230" s="313"/>
      <c r="L230" s="313"/>
      <c r="M230" s="313"/>
      <c r="N230" s="356" t="s">
        <v>597</v>
      </c>
      <c r="O230" s="356" t="s">
        <v>595</v>
      </c>
      <c r="P230" s="76" t="s">
        <v>36</v>
      </c>
      <c r="Q230" s="434">
        <v>20</v>
      </c>
      <c r="R230" s="434">
        <v>31</v>
      </c>
      <c r="S230" s="356" t="s">
        <v>596</v>
      </c>
      <c r="T230" s="313">
        <v>25</v>
      </c>
      <c r="U230" s="5">
        <f t="shared" si="19"/>
        <v>1.25</v>
      </c>
      <c r="V230" s="588"/>
      <c r="W230" s="588"/>
      <c r="X230" s="590"/>
      <c r="Y230" s="590"/>
      <c r="Z230" s="356" t="s">
        <v>381</v>
      </c>
      <c r="AA230" s="98"/>
    </row>
    <row r="231" spans="1:27" ht="24" hidden="1">
      <c r="A231" s="475"/>
      <c r="B231" s="352">
        <v>25</v>
      </c>
      <c r="C231" s="356" t="s">
        <v>598</v>
      </c>
      <c r="D231" s="76">
        <v>73883.600000000006</v>
      </c>
      <c r="E231" s="76" t="s">
        <v>2097</v>
      </c>
      <c r="F231" s="356" t="s">
        <v>599</v>
      </c>
      <c r="G231" s="313">
        <v>236.5</v>
      </c>
      <c r="H231" s="313"/>
      <c r="I231" s="6" t="s">
        <v>515</v>
      </c>
      <c r="J231" s="313">
        <v>56.7</v>
      </c>
      <c r="K231" s="313"/>
      <c r="L231" s="313"/>
      <c r="M231" s="313">
        <f>J231+L231+H231+G231</f>
        <v>293.2</v>
      </c>
      <c r="N231" s="356" t="s">
        <v>600</v>
      </c>
      <c r="O231" s="356" t="s">
        <v>601</v>
      </c>
      <c r="P231" s="76" t="s">
        <v>36</v>
      </c>
      <c r="Q231" s="434">
        <v>75.2</v>
      </c>
      <c r="R231" s="434">
        <v>878.8</v>
      </c>
      <c r="S231" s="356" t="s">
        <v>602</v>
      </c>
      <c r="T231" s="313">
        <v>100</v>
      </c>
      <c r="U231" s="5">
        <f t="shared" si="19"/>
        <v>1.3297872340425532</v>
      </c>
      <c r="V231" s="587">
        <f>SUM(Q231:Q242)</f>
        <v>391.79999999999995</v>
      </c>
      <c r="W231" s="587">
        <f>SUM(T231:T242)</f>
        <v>543.30999999999995</v>
      </c>
      <c r="X231" s="589">
        <f>W231/V231</f>
        <v>1.3867023991832568</v>
      </c>
      <c r="Y231" s="589">
        <f>W231/M231</f>
        <v>1.8530354706684855</v>
      </c>
      <c r="Z231" s="356" t="s">
        <v>603</v>
      </c>
      <c r="AA231" s="98"/>
    </row>
    <row r="232" spans="1:27" hidden="1">
      <c r="A232" s="475"/>
      <c r="B232" s="352">
        <v>26</v>
      </c>
      <c r="C232" s="356"/>
      <c r="D232" s="76"/>
      <c r="E232" s="76"/>
      <c r="F232" s="356"/>
      <c r="G232" s="313"/>
      <c r="H232" s="313"/>
      <c r="I232" s="6"/>
      <c r="J232" s="313"/>
      <c r="K232" s="313"/>
      <c r="L232" s="313"/>
      <c r="M232" s="313"/>
      <c r="N232" s="356" t="s">
        <v>604</v>
      </c>
      <c r="O232" s="356" t="s">
        <v>601</v>
      </c>
      <c r="P232" s="76" t="s">
        <v>36</v>
      </c>
      <c r="Q232" s="434">
        <v>274.60000000000002</v>
      </c>
      <c r="R232" s="434">
        <v>2471.4</v>
      </c>
      <c r="S232" s="356" t="s">
        <v>605</v>
      </c>
      <c r="T232" s="313">
        <v>342.4</v>
      </c>
      <c r="U232" s="5">
        <f t="shared" si="19"/>
        <v>1.2469045884923524</v>
      </c>
      <c r="V232" s="591"/>
      <c r="W232" s="591"/>
      <c r="X232" s="592"/>
      <c r="Y232" s="592"/>
      <c r="Z232" s="356" t="s">
        <v>603</v>
      </c>
      <c r="AA232" s="98"/>
    </row>
    <row r="233" spans="1:27" hidden="1">
      <c r="A233" s="475"/>
      <c r="B233" s="352">
        <v>27</v>
      </c>
      <c r="C233" s="356"/>
      <c r="D233" s="76"/>
      <c r="E233" s="76"/>
      <c r="F233" s="356"/>
      <c r="G233" s="313"/>
      <c r="H233" s="313"/>
      <c r="I233" s="6"/>
      <c r="J233" s="313"/>
      <c r="K233" s="313"/>
      <c r="L233" s="313"/>
      <c r="M233" s="313"/>
      <c r="N233" s="356" t="s">
        <v>606</v>
      </c>
      <c r="O233" s="356" t="s">
        <v>601</v>
      </c>
      <c r="P233" s="76" t="s">
        <v>36</v>
      </c>
      <c r="Q233" s="434">
        <v>10.5</v>
      </c>
      <c r="R233" s="434">
        <v>698.5</v>
      </c>
      <c r="S233" s="356" t="s">
        <v>607</v>
      </c>
      <c r="T233" s="313">
        <v>30.1</v>
      </c>
      <c r="U233" s="5">
        <f t="shared" si="19"/>
        <v>2.8666666666666667</v>
      </c>
      <c r="V233" s="591"/>
      <c r="W233" s="591"/>
      <c r="X233" s="592"/>
      <c r="Y233" s="592"/>
      <c r="Z233" s="356" t="s">
        <v>603</v>
      </c>
      <c r="AA233" s="98"/>
    </row>
    <row r="234" spans="1:27" hidden="1">
      <c r="A234" s="475"/>
      <c r="B234" s="352">
        <v>28</v>
      </c>
      <c r="C234" s="356"/>
      <c r="D234" s="76"/>
      <c r="E234" s="76"/>
      <c r="F234" s="356"/>
      <c r="G234" s="313"/>
      <c r="H234" s="313"/>
      <c r="I234" s="6"/>
      <c r="J234" s="313"/>
      <c r="K234" s="313"/>
      <c r="L234" s="313"/>
      <c r="M234" s="313"/>
      <c r="N234" s="356" t="s">
        <v>608</v>
      </c>
      <c r="O234" s="356" t="s">
        <v>601</v>
      </c>
      <c r="P234" s="76" t="s">
        <v>36</v>
      </c>
      <c r="Q234" s="434">
        <v>18.2</v>
      </c>
      <c r="R234" s="434">
        <v>627.5</v>
      </c>
      <c r="S234" s="356" t="s">
        <v>609</v>
      </c>
      <c r="T234" s="313">
        <v>49.5</v>
      </c>
      <c r="U234" s="5">
        <f t="shared" si="19"/>
        <v>2.7197802197802199</v>
      </c>
      <c r="V234" s="591"/>
      <c r="W234" s="591"/>
      <c r="X234" s="592"/>
      <c r="Y234" s="592"/>
      <c r="Z234" s="356" t="s">
        <v>603</v>
      </c>
      <c r="AA234" s="98"/>
    </row>
    <row r="235" spans="1:27" hidden="1">
      <c r="A235" s="475"/>
      <c r="B235" s="352">
        <v>29</v>
      </c>
      <c r="C235" s="356"/>
      <c r="D235" s="76"/>
      <c r="E235" s="76"/>
      <c r="F235" s="356"/>
      <c r="G235" s="313"/>
      <c r="H235" s="313"/>
      <c r="I235" s="6"/>
      <c r="J235" s="313"/>
      <c r="K235" s="313"/>
      <c r="L235" s="313"/>
      <c r="M235" s="313"/>
      <c r="N235" s="356" t="s">
        <v>610</v>
      </c>
      <c r="O235" s="356" t="s">
        <v>601</v>
      </c>
      <c r="P235" s="76" t="s">
        <v>36</v>
      </c>
      <c r="Q235" s="434">
        <v>1.2</v>
      </c>
      <c r="R235" s="434">
        <v>151.4</v>
      </c>
      <c r="S235" s="356" t="s">
        <v>611</v>
      </c>
      <c r="T235" s="313">
        <v>7.9</v>
      </c>
      <c r="U235" s="5">
        <f t="shared" si="19"/>
        <v>6.5833333333333339</v>
      </c>
      <c r="V235" s="591"/>
      <c r="W235" s="591"/>
      <c r="X235" s="592"/>
      <c r="Y235" s="592"/>
      <c r="Z235" s="356" t="s">
        <v>603</v>
      </c>
      <c r="AA235" s="98"/>
    </row>
    <row r="236" spans="1:27" ht="24">
      <c r="A236" s="475"/>
      <c r="B236" s="352">
        <v>30</v>
      </c>
      <c r="C236" s="356"/>
      <c r="D236" s="76"/>
      <c r="E236" s="76"/>
      <c r="F236" s="356"/>
      <c r="G236" s="313"/>
      <c r="H236" s="313"/>
      <c r="I236" s="6"/>
      <c r="J236" s="313"/>
      <c r="K236" s="313"/>
      <c r="L236" s="313"/>
      <c r="M236" s="313"/>
      <c r="N236" s="356" t="s">
        <v>612</v>
      </c>
      <c r="O236" s="356" t="s">
        <v>613</v>
      </c>
      <c r="P236" s="76" t="s">
        <v>27</v>
      </c>
      <c r="Q236" s="434">
        <v>0.22</v>
      </c>
      <c r="R236" s="434">
        <v>0.45</v>
      </c>
      <c r="S236" s="356" t="s">
        <v>614</v>
      </c>
      <c r="T236" s="313">
        <v>0.27</v>
      </c>
      <c r="U236" s="5">
        <f t="shared" si="19"/>
        <v>1.2272727272727273</v>
      </c>
      <c r="V236" s="591"/>
      <c r="W236" s="591"/>
      <c r="X236" s="592"/>
      <c r="Y236" s="592"/>
      <c r="Z236" s="356" t="s">
        <v>603</v>
      </c>
      <c r="AA236" s="98"/>
    </row>
    <row r="237" spans="1:27">
      <c r="A237" s="475"/>
      <c r="B237" s="352">
        <v>31</v>
      </c>
      <c r="C237" s="356"/>
      <c r="D237" s="76"/>
      <c r="E237" s="76"/>
      <c r="F237" s="356"/>
      <c r="G237" s="313"/>
      <c r="H237" s="313"/>
      <c r="I237" s="6"/>
      <c r="J237" s="313"/>
      <c r="K237" s="313"/>
      <c r="L237" s="313"/>
      <c r="M237" s="313"/>
      <c r="N237" s="356" t="s">
        <v>615</v>
      </c>
      <c r="O237" s="356" t="s">
        <v>613</v>
      </c>
      <c r="P237" s="76" t="s">
        <v>27</v>
      </c>
      <c r="Q237" s="434">
        <v>0.75</v>
      </c>
      <c r="R237" s="434">
        <v>2</v>
      </c>
      <c r="S237" s="356" t="s">
        <v>616</v>
      </c>
      <c r="T237" s="313">
        <v>1</v>
      </c>
      <c r="U237" s="5">
        <f t="shared" si="19"/>
        <v>1.3333333333333333</v>
      </c>
      <c r="V237" s="591"/>
      <c r="W237" s="591"/>
      <c r="X237" s="592"/>
      <c r="Y237" s="592"/>
      <c r="Z237" s="356" t="s">
        <v>603</v>
      </c>
      <c r="AA237" s="98"/>
    </row>
    <row r="238" spans="1:27">
      <c r="A238" s="475"/>
      <c r="B238" s="352">
        <v>32</v>
      </c>
      <c r="C238" s="356"/>
      <c r="D238" s="76"/>
      <c r="E238" s="76"/>
      <c r="F238" s="356"/>
      <c r="G238" s="313"/>
      <c r="H238" s="313"/>
      <c r="I238" s="6"/>
      <c r="J238" s="313"/>
      <c r="K238" s="313"/>
      <c r="L238" s="313"/>
      <c r="M238" s="313"/>
      <c r="N238" s="356" t="s">
        <v>617</v>
      </c>
      <c r="O238" s="356" t="s">
        <v>613</v>
      </c>
      <c r="P238" s="76" t="s">
        <v>27</v>
      </c>
      <c r="Q238" s="434">
        <v>0.15</v>
      </c>
      <c r="R238" s="434">
        <v>0.22</v>
      </c>
      <c r="S238" s="356" t="s">
        <v>618</v>
      </c>
      <c r="T238" s="313">
        <v>0.15</v>
      </c>
      <c r="U238" s="5">
        <f t="shared" si="19"/>
        <v>1</v>
      </c>
      <c r="V238" s="591"/>
      <c r="W238" s="591"/>
      <c r="X238" s="592"/>
      <c r="Y238" s="592"/>
      <c r="Z238" s="356" t="s">
        <v>603</v>
      </c>
      <c r="AA238" s="98"/>
    </row>
    <row r="239" spans="1:27">
      <c r="A239" s="475"/>
      <c r="B239" s="352">
        <v>33</v>
      </c>
      <c r="C239" s="356"/>
      <c r="D239" s="76"/>
      <c r="E239" s="76"/>
      <c r="F239" s="356"/>
      <c r="G239" s="313"/>
      <c r="H239" s="313"/>
      <c r="I239" s="6"/>
      <c r="J239" s="313"/>
      <c r="K239" s="313"/>
      <c r="L239" s="313"/>
      <c r="M239" s="313"/>
      <c r="N239" s="356" t="s">
        <v>619</v>
      </c>
      <c r="O239" s="356" t="s">
        <v>613</v>
      </c>
      <c r="P239" s="76" t="s">
        <v>27</v>
      </c>
      <c r="Q239" s="434">
        <v>0.5</v>
      </c>
      <c r="R239" s="434">
        <v>1.24</v>
      </c>
      <c r="S239" s="356" t="s">
        <v>616</v>
      </c>
      <c r="T239" s="313">
        <v>0.62</v>
      </c>
      <c r="U239" s="5">
        <f t="shared" si="19"/>
        <v>1.24</v>
      </c>
      <c r="V239" s="591"/>
      <c r="W239" s="591"/>
      <c r="X239" s="592"/>
      <c r="Y239" s="592"/>
      <c r="Z239" s="356" t="s">
        <v>603</v>
      </c>
      <c r="AA239" s="98"/>
    </row>
    <row r="240" spans="1:27">
      <c r="A240" s="475"/>
      <c r="B240" s="352">
        <v>34</v>
      </c>
      <c r="C240" s="356"/>
      <c r="D240" s="76"/>
      <c r="E240" s="76"/>
      <c r="F240" s="356"/>
      <c r="G240" s="313"/>
      <c r="H240" s="313"/>
      <c r="I240" s="6"/>
      <c r="J240" s="313"/>
      <c r="K240" s="313"/>
      <c r="L240" s="313"/>
      <c r="M240" s="313"/>
      <c r="N240" s="356" t="s">
        <v>620</v>
      </c>
      <c r="O240" s="356" t="s">
        <v>613</v>
      </c>
      <c r="P240" s="76" t="s">
        <v>27</v>
      </c>
      <c r="Q240" s="434">
        <v>0.82</v>
      </c>
      <c r="R240" s="434">
        <v>2</v>
      </c>
      <c r="S240" s="356" t="s">
        <v>621</v>
      </c>
      <c r="T240" s="313">
        <v>1</v>
      </c>
      <c r="U240" s="5">
        <f t="shared" si="19"/>
        <v>1.2195121951219512</v>
      </c>
      <c r="V240" s="591"/>
      <c r="W240" s="591"/>
      <c r="X240" s="592"/>
      <c r="Y240" s="592"/>
      <c r="Z240" s="356" t="s">
        <v>603</v>
      </c>
      <c r="AA240" s="98"/>
    </row>
    <row r="241" spans="1:27">
      <c r="A241" s="475"/>
      <c r="B241" s="352">
        <v>35</v>
      </c>
      <c r="C241" s="356"/>
      <c r="D241" s="76"/>
      <c r="E241" s="76"/>
      <c r="F241" s="356"/>
      <c r="G241" s="313"/>
      <c r="H241" s="313"/>
      <c r="I241" s="6"/>
      <c r="J241" s="313"/>
      <c r="K241" s="313"/>
      <c r="L241" s="313"/>
      <c r="M241" s="313"/>
      <c r="N241" s="336" t="s">
        <v>608</v>
      </c>
      <c r="O241" s="356" t="s">
        <v>613</v>
      </c>
      <c r="P241" s="76" t="s">
        <v>27</v>
      </c>
      <c r="Q241" s="159">
        <v>0.26</v>
      </c>
      <c r="R241" s="159">
        <v>0.75</v>
      </c>
      <c r="S241" s="336" t="s">
        <v>621</v>
      </c>
      <c r="T241" s="177">
        <v>0.37</v>
      </c>
      <c r="U241" s="5">
        <f t="shared" si="19"/>
        <v>1.4230769230769229</v>
      </c>
      <c r="V241" s="591"/>
      <c r="W241" s="591"/>
      <c r="X241" s="592"/>
      <c r="Y241" s="592"/>
      <c r="Z241" s="356" t="s">
        <v>603</v>
      </c>
      <c r="AA241" s="98"/>
    </row>
    <row r="242" spans="1:27">
      <c r="A242" s="475"/>
      <c r="B242" s="352">
        <v>36</v>
      </c>
      <c r="C242" s="356"/>
      <c r="D242" s="76"/>
      <c r="E242" s="76"/>
      <c r="F242" s="356"/>
      <c r="G242" s="313"/>
      <c r="H242" s="313"/>
      <c r="I242" s="6"/>
      <c r="J242" s="313"/>
      <c r="K242" s="313"/>
      <c r="L242" s="313"/>
      <c r="M242" s="313"/>
      <c r="N242" s="336" t="s">
        <v>622</v>
      </c>
      <c r="O242" s="356" t="s">
        <v>613</v>
      </c>
      <c r="P242" s="76" t="s">
        <v>27</v>
      </c>
      <c r="Q242" s="159">
        <v>9.4</v>
      </c>
      <c r="R242" s="159">
        <v>20</v>
      </c>
      <c r="S242" s="336" t="s">
        <v>623</v>
      </c>
      <c r="T242" s="177">
        <v>10</v>
      </c>
      <c r="U242" s="5">
        <f t="shared" si="19"/>
        <v>1.0638297872340425</v>
      </c>
      <c r="V242" s="588"/>
      <c r="W242" s="588"/>
      <c r="X242" s="590"/>
      <c r="Y242" s="590"/>
      <c r="Z242" s="356" t="s">
        <v>603</v>
      </c>
      <c r="AA242" s="98"/>
    </row>
    <row r="243" spans="1:27" ht="36" hidden="1">
      <c r="A243" s="475"/>
      <c r="B243" s="352">
        <v>37</v>
      </c>
      <c r="C243" s="356" t="s">
        <v>1927</v>
      </c>
      <c r="D243" s="76">
        <v>33470.366900000001</v>
      </c>
      <c r="E243" s="76" t="s">
        <v>2098</v>
      </c>
      <c r="F243" s="356" t="s">
        <v>242</v>
      </c>
      <c r="G243" s="313">
        <v>106.46</v>
      </c>
      <c r="H243" s="313">
        <v>5</v>
      </c>
      <c r="I243" s="6"/>
      <c r="J243" s="313"/>
      <c r="K243" s="313"/>
      <c r="L243" s="313"/>
      <c r="M243" s="313">
        <f>J243+L243+H243+G243</f>
        <v>111.46</v>
      </c>
      <c r="N243" s="356" t="s">
        <v>625</v>
      </c>
      <c r="O243" s="160" t="s">
        <v>626</v>
      </c>
      <c r="P243" s="76" t="s">
        <v>36</v>
      </c>
      <c r="Q243" s="434">
        <v>35</v>
      </c>
      <c r="R243" s="434">
        <v>110</v>
      </c>
      <c r="S243" s="356" t="s">
        <v>627</v>
      </c>
      <c r="T243" s="313">
        <v>60</v>
      </c>
      <c r="U243" s="5">
        <f t="shared" si="19"/>
        <v>1.7142857142857142</v>
      </c>
      <c r="V243" s="587">
        <f>SUM(Q243:Q249)</f>
        <v>116</v>
      </c>
      <c r="W243" s="587">
        <f>SUM(T243:T249)</f>
        <v>160</v>
      </c>
      <c r="X243" s="589">
        <f>W243/V243</f>
        <v>1.3793103448275863</v>
      </c>
      <c r="Y243" s="589">
        <f>W243/M243</f>
        <v>1.4354925533823795</v>
      </c>
      <c r="Z243" s="356" t="s">
        <v>381</v>
      </c>
      <c r="AA243" s="98"/>
    </row>
    <row r="244" spans="1:27" ht="60" hidden="1">
      <c r="A244" s="475"/>
      <c r="B244" s="352">
        <v>38</v>
      </c>
      <c r="C244" s="356"/>
      <c r="D244" s="76"/>
      <c r="E244" s="76"/>
      <c r="F244" s="356"/>
      <c r="G244" s="313"/>
      <c r="H244" s="313"/>
      <c r="I244" s="6"/>
      <c r="J244" s="313"/>
      <c r="K244" s="313"/>
      <c r="L244" s="313"/>
      <c r="M244" s="313"/>
      <c r="N244" s="356" t="s">
        <v>628</v>
      </c>
      <c r="O244" s="160" t="s">
        <v>629</v>
      </c>
      <c r="P244" s="76" t="s">
        <v>36</v>
      </c>
      <c r="Q244" s="434">
        <v>20</v>
      </c>
      <c r="R244" s="434">
        <v>90</v>
      </c>
      <c r="S244" s="356" t="s">
        <v>630</v>
      </c>
      <c r="T244" s="313">
        <v>17</v>
      </c>
      <c r="U244" s="5">
        <f t="shared" si="19"/>
        <v>0.85</v>
      </c>
      <c r="V244" s="591"/>
      <c r="W244" s="591"/>
      <c r="X244" s="592"/>
      <c r="Y244" s="592"/>
      <c r="Z244" s="356" t="s">
        <v>381</v>
      </c>
      <c r="AA244" s="98"/>
    </row>
    <row r="245" spans="1:27" ht="24" hidden="1">
      <c r="A245" s="475"/>
      <c r="B245" s="352">
        <v>39</v>
      </c>
      <c r="C245" s="356"/>
      <c r="D245" s="76"/>
      <c r="E245" s="76"/>
      <c r="F245" s="356"/>
      <c r="G245" s="313"/>
      <c r="H245" s="313"/>
      <c r="I245" s="6"/>
      <c r="J245" s="313"/>
      <c r="K245" s="313"/>
      <c r="L245" s="313"/>
      <c r="M245" s="313"/>
      <c r="N245" s="356" t="s">
        <v>631</v>
      </c>
      <c r="O245" s="161" t="s">
        <v>632</v>
      </c>
      <c r="P245" s="76" t="s">
        <v>36</v>
      </c>
      <c r="Q245" s="434">
        <v>11</v>
      </c>
      <c r="R245" s="434">
        <v>60</v>
      </c>
      <c r="S245" s="356" t="s">
        <v>630</v>
      </c>
      <c r="T245" s="313">
        <v>13</v>
      </c>
      <c r="U245" s="5">
        <f t="shared" si="19"/>
        <v>1.1818181818181819</v>
      </c>
      <c r="V245" s="591"/>
      <c r="W245" s="591"/>
      <c r="X245" s="592"/>
      <c r="Y245" s="592"/>
      <c r="Z245" s="356" t="s">
        <v>381</v>
      </c>
      <c r="AA245" s="98"/>
    </row>
    <row r="246" spans="1:27" ht="24" hidden="1">
      <c r="A246" s="475"/>
      <c r="B246" s="352">
        <v>40</v>
      </c>
      <c r="C246" s="356"/>
      <c r="D246" s="76"/>
      <c r="E246" s="76"/>
      <c r="F246" s="356"/>
      <c r="G246" s="313"/>
      <c r="H246" s="313"/>
      <c r="I246" s="6"/>
      <c r="J246" s="313"/>
      <c r="K246" s="313"/>
      <c r="L246" s="313"/>
      <c r="M246" s="313"/>
      <c r="N246" s="356" t="s">
        <v>633</v>
      </c>
      <c r="O246" s="161" t="s">
        <v>634</v>
      </c>
      <c r="P246" s="76" t="s">
        <v>36</v>
      </c>
      <c r="Q246" s="434">
        <v>4</v>
      </c>
      <c r="R246" s="434">
        <v>23</v>
      </c>
      <c r="S246" s="356" t="s">
        <v>630</v>
      </c>
      <c r="T246" s="313">
        <v>5</v>
      </c>
      <c r="U246" s="5">
        <f t="shared" si="19"/>
        <v>1.25</v>
      </c>
      <c r="V246" s="591"/>
      <c r="W246" s="591"/>
      <c r="X246" s="592"/>
      <c r="Y246" s="592"/>
      <c r="Z246" s="356" t="s">
        <v>381</v>
      </c>
      <c r="AA246" s="98"/>
    </row>
    <row r="247" spans="1:27" ht="24" hidden="1">
      <c r="A247" s="475"/>
      <c r="B247" s="352">
        <v>41</v>
      </c>
      <c r="C247" s="356"/>
      <c r="D247" s="76"/>
      <c r="E247" s="76"/>
      <c r="F247" s="356"/>
      <c r="G247" s="313"/>
      <c r="H247" s="313"/>
      <c r="I247" s="6"/>
      <c r="J247" s="313"/>
      <c r="K247" s="313"/>
      <c r="L247" s="313"/>
      <c r="M247" s="313"/>
      <c r="N247" s="356" t="s">
        <v>635</v>
      </c>
      <c r="O247" s="161" t="s">
        <v>636</v>
      </c>
      <c r="P247" s="76" t="s">
        <v>36</v>
      </c>
      <c r="Q247" s="434">
        <v>18</v>
      </c>
      <c r="R247" s="434">
        <v>121</v>
      </c>
      <c r="S247" s="356" t="s">
        <v>630</v>
      </c>
      <c r="T247" s="313">
        <v>23</v>
      </c>
      <c r="U247" s="5">
        <f t="shared" si="19"/>
        <v>1.2777777777777777</v>
      </c>
      <c r="V247" s="591"/>
      <c r="W247" s="591"/>
      <c r="X247" s="592"/>
      <c r="Y247" s="592"/>
      <c r="Z247" s="356" t="s">
        <v>381</v>
      </c>
      <c r="AA247" s="98"/>
    </row>
    <row r="248" spans="1:27" ht="48" hidden="1">
      <c r="A248" s="475"/>
      <c r="B248" s="352">
        <v>42</v>
      </c>
      <c r="C248" s="356"/>
      <c r="D248" s="76"/>
      <c r="E248" s="76"/>
      <c r="F248" s="356"/>
      <c r="G248" s="313"/>
      <c r="H248" s="313"/>
      <c r="I248" s="6"/>
      <c r="J248" s="313"/>
      <c r="K248" s="313"/>
      <c r="L248" s="313"/>
      <c r="M248" s="313"/>
      <c r="N248" s="356" t="s">
        <v>637</v>
      </c>
      <c r="O248" s="161" t="s">
        <v>638</v>
      </c>
      <c r="P248" s="76" t="s">
        <v>36</v>
      </c>
      <c r="Q248" s="434">
        <v>8</v>
      </c>
      <c r="R248" s="434">
        <v>53</v>
      </c>
      <c r="S248" s="356" t="s">
        <v>630</v>
      </c>
      <c r="T248" s="313">
        <v>7</v>
      </c>
      <c r="U248" s="5">
        <f t="shared" si="19"/>
        <v>0.875</v>
      </c>
      <c r="V248" s="591"/>
      <c r="W248" s="591"/>
      <c r="X248" s="592"/>
      <c r="Y248" s="592"/>
      <c r="Z248" s="356" t="s">
        <v>381</v>
      </c>
      <c r="AA248" s="98"/>
    </row>
    <row r="249" spans="1:27" ht="36" hidden="1">
      <c r="A249" s="475"/>
      <c r="B249" s="352">
        <v>43</v>
      </c>
      <c r="C249" s="356"/>
      <c r="D249" s="76"/>
      <c r="E249" s="76"/>
      <c r="F249" s="356"/>
      <c r="G249" s="313"/>
      <c r="H249" s="313"/>
      <c r="I249" s="6"/>
      <c r="J249" s="313"/>
      <c r="K249" s="313"/>
      <c r="L249" s="313"/>
      <c r="M249" s="313"/>
      <c r="N249" s="356" t="s">
        <v>448</v>
      </c>
      <c r="O249" s="161" t="s">
        <v>639</v>
      </c>
      <c r="P249" s="76" t="s">
        <v>36</v>
      </c>
      <c r="Q249" s="434">
        <v>20</v>
      </c>
      <c r="R249" s="434">
        <v>111</v>
      </c>
      <c r="S249" s="356" t="s">
        <v>640</v>
      </c>
      <c r="T249" s="313">
        <v>35</v>
      </c>
      <c r="U249" s="5">
        <f t="shared" si="19"/>
        <v>1.75</v>
      </c>
      <c r="V249" s="588"/>
      <c r="W249" s="588"/>
      <c r="X249" s="590"/>
      <c r="Y249" s="590"/>
      <c r="Z249" s="356" t="s">
        <v>381</v>
      </c>
      <c r="AA249" s="98"/>
    </row>
    <row r="250" spans="1:27" ht="24" hidden="1">
      <c r="A250" s="475"/>
      <c r="B250" s="352">
        <v>44</v>
      </c>
      <c r="C250" s="356" t="s">
        <v>1928</v>
      </c>
      <c r="D250" s="76">
        <v>149117.13</v>
      </c>
      <c r="E250" s="76" t="s">
        <v>2099</v>
      </c>
      <c r="F250" s="356" t="s">
        <v>642</v>
      </c>
      <c r="G250" s="313">
        <v>405.464</v>
      </c>
      <c r="H250" s="313">
        <v>0.9</v>
      </c>
      <c r="I250" s="6" t="s">
        <v>643</v>
      </c>
      <c r="J250" s="313">
        <v>94.6</v>
      </c>
      <c r="K250" s="313"/>
      <c r="L250" s="313"/>
      <c r="M250" s="313">
        <f>J250+L250+H250+G250</f>
        <v>500.964</v>
      </c>
      <c r="N250" s="356" t="s">
        <v>644</v>
      </c>
      <c r="O250" s="356" t="s">
        <v>645</v>
      </c>
      <c r="P250" s="76" t="s">
        <v>36</v>
      </c>
      <c r="Q250" s="434">
        <v>5</v>
      </c>
      <c r="R250" s="434">
        <v>35</v>
      </c>
      <c r="S250" s="356" t="s">
        <v>249</v>
      </c>
      <c r="T250" s="313">
        <v>3.0034489999999998</v>
      </c>
      <c r="U250" s="5">
        <f t="shared" si="19"/>
        <v>0.60068979999999994</v>
      </c>
      <c r="V250" s="597">
        <f>SUM(Q250:Q253)</f>
        <v>15.323029</v>
      </c>
      <c r="W250" s="597">
        <f>SUM(T250:T253)</f>
        <v>10.404067</v>
      </c>
      <c r="X250" s="589">
        <f>W250/V250</f>
        <v>0.67898239962868956</v>
      </c>
      <c r="Y250" s="589">
        <f>W250/M250</f>
        <v>2.0768093116471441E-2</v>
      </c>
      <c r="Z250" s="356" t="s">
        <v>562</v>
      </c>
      <c r="AA250" s="98"/>
    </row>
    <row r="251" spans="1:27" hidden="1">
      <c r="A251" s="475"/>
      <c r="B251" s="352">
        <v>45</v>
      </c>
      <c r="C251" s="154"/>
      <c r="D251" s="155"/>
      <c r="E251" s="155"/>
      <c r="F251" s="154"/>
      <c r="G251" s="162"/>
      <c r="H251" s="162"/>
      <c r="I251" s="163"/>
      <c r="J251" s="162"/>
      <c r="K251" s="162"/>
      <c r="L251" s="162"/>
      <c r="M251" s="313"/>
      <c r="N251" s="356" t="s">
        <v>646</v>
      </c>
      <c r="O251" s="356" t="s">
        <v>645</v>
      </c>
      <c r="P251" s="76" t="s">
        <v>36</v>
      </c>
      <c r="Q251" s="434">
        <v>8</v>
      </c>
      <c r="R251" s="434">
        <v>25</v>
      </c>
      <c r="S251" s="356" t="s">
        <v>134</v>
      </c>
      <c r="T251" s="313">
        <v>5.0775889999999997</v>
      </c>
      <c r="U251" s="5">
        <f t="shared" si="19"/>
        <v>0.63469862499999996</v>
      </c>
      <c r="V251" s="598"/>
      <c r="W251" s="598"/>
      <c r="X251" s="592"/>
      <c r="Y251" s="592"/>
      <c r="Z251" s="356" t="s">
        <v>562</v>
      </c>
      <c r="AA251" s="98"/>
    </row>
    <row r="252" spans="1:27" ht="24">
      <c r="A252" s="475"/>
      <c r="B252" s="352">
        <v>46</v>
      </c>
      <c r="C252" s="154"/>
      <c r="D252" s="155"/>
      <c r="E252" s="155"/>
      <c r="F252" s="154"/>
      <c r="G252" s="162"/>
      <c r="H252" s="162"/>
      <c r="I252" s="163"/>
      <c r="J252" s="162"/>
      <c r="K252" s="162"/>
      <c r="L252" s="162"/>
      <c r="M252" s="313"/>
      <c r="N252" s="356" t="s">
        <v>134</v>
      </c>
      <c r="O252" s="356" t="s">
        <v>647</v>
      </c>
      <c r="P252" s="76" t="s">
        <v>27</v>
      </c>
      <c r="Q252" s="434">
        <v>1.993158</v>
      </c>
      <c r="R252" s="434">
        <v>5.5</v>
      </c>
      <c r="S252" s="356" t="s">
        <v>648</v>
      </c>
      <c r="T252" s="313">
        <v>1.993158</v>
      </c>
      <c r="U252" s="5">
        <f t="shared" si="19"/>
        <v>1</v>
      </c>
      <c r="V252" s="598"/>
      <c r="W252" s="598"/>
      <c r="X252" s="592"/>
      <c r="Y252" s="592"/>
      <c r="Z252" s="356" t="s">
        <v>562</v>
      </c>
      <c r="AA252" s="98"/>
    </row>
    <row r="253" spans="1:27" ht="24">
      <c r="A253" s="475"/>
      <c r="B253" s="352">
        <v>47</v>
      </c>
      <c r="C253" s="154"/>
      <c r="D253" s="155"/>
      <c r="E253" s="155"/>
      <c r="F253" s="84"/>
      <c r="G253" s="156"/>
      <c r="H253" s="156"/>
      <c r="I253" s="157"/>
      <c r="J253" s="156"/>
      <c r="K253" s="156"/>
      <c r="L253" s="156"/>
      <c r="M253" s="313"/>
      <c r="N253" s="356" t="s">
        <v>649</v>
      </c>
      <c r="O253" s="356" t="s">
        <v>650</v>
      </c>
      <c r="P253" s="76" t="s">
        <v>27</v>
      </c>
      <c r="Q253" s="434">
        <v>0.32987100000000003</v>
      </c>
      <c r="R253" s="434">
        <v>3</v>
      </c>
      <c r="S253" s="356" t="s">
        <v>651</v>
      </c>
      <c r="T253" s="313">
        <v>0.32987100000000003</v>
      </c>
      <c r="U253" s="5">
        <f t="shared" si="19"/>
        <v>1</v>
      </c>
      <c r="V253" s="599"/>
      <c r="W253" s="599"/>
      <c r="X253" s="590"/>
      <c r="Y253" s="590"/>
      <c r="Z253" s="356" t="s">
        <v>562</v>
      </c>
      <c r="AA253" s="98"/>
    </row>
    <row r="254" spans="1:27" ht="24" hidden="1">
      <c r="A254" s="475"/>
      <c r="B254" s="352">
        <v>48</v>
      </c>
      <c r="C254" s="356" t="s">
        <v>652</v>
      </c>
      <c r="D254" s="76">
        <v>8574.9796000000006</v>
      </c>
      <c r="E254" s="76" t="s">
        <v>2100</v>
      </c>
      <c r="F254" s="356" t="s">
        <v>653</v>
      </c>
      <c r="G254" s="313"/>
      <c r="H254" s="313"/>
      <c r="I254" s="6" t="s">
        <v>250</v>
      </c>
      <c r="J254" s="313">
        <v>13.7</v>
      </c>
      <c r="K254" s="313"/>
      <c r="L254" s="313"/>
      <c r="M254" s="313">
        <f t="shared" ref="M254:M260" si="20">J254+L254+H254+G254</f>
        <v>13.7</v>
      </c>
      <c r="N254" s="356" t="s">
        <v>654</v>
      </c>
      <c r="O254" s="356" t="s">
        <v>655</v>
      </c>
      <c r="P254" s="76" t="s">
        <v>36</v>
      </c>
      <c r="Q254" s="434">
        <v>0.1</v>
      </c>
      <c r="R254" s="434">
        <v>39</v>
      </c>
      <c r="S254" s="356"/>
      <c r="T254" s="313"/>
      <c r="U254" s="5">
        <f t="shared" si="19"/>
        <v>0</v>
      </c>
      <c r="V254" s="24"/>
      <c r="W254" s="24"/>
      <c r="X254" s="24"/>
      <c r="Y254" s="24"/>
      <c r="Z254" s="356" t="s">
        <v>562</v>
      </c>
      <c r="AA254" s="98"/>
    </row>
    <row r="255" spans="1:27" hidden="1">
      <c r="A255" s="475"/>
      <c r="B255" s="352">
        <v>49</v>
      </c>
      <c r="C255" s="356" t="s">
        <v>1929</v>
      </c>
      <c r="D255" s="76">
        <v>6830</v>
      </c>
      <c r="E255" s="76" t="s">
        <v>2101</v>
      </c>
      <c r="F255" s="356" t="s">
        <v>31</v>
      </c>
      <c r="G255" s="313">
        <v>21</v>
      </c>
      <c r="H255" s="313">
        <v>0</v>
      </c>
      <c r="I255" s="6" t="s">
        <v>250</v>
      </c>
      <c r="J255" s="313">
        <v>6</v>
      </c>
      <c r="K255" s="313"/>
      <c r="L255" s="313"/>
      <c r="M255" s="313">
        <f t="shared" si="20"/>
        <v>27</v>
      </c>
      <c r="N255" s="356" t="s">
        <v>542</v>
      </c>
      <c r="O255" s="356"/>
      <c r="P255" s="356"/>
      <c r="Q255" s="434"/>
      <c r="R255" s="434"/>
      <c r="S255" s="356"/>
      <c r="T255" s="313"/>
      <c r="U255" s="5" t="e">
        <f t="shared" si="19"/>
        <v>#DIV/0!</v>
      </c>
      <c r="V255" s="24"/>
      <c r="W255" s="24"/>
      <c r="X255" s="24"/>
      <c r="Y255" s="24"/>
      <c r="Z255" s="356" t="s">
        <v>548</v>
      </c>
      <c r="AA255" s="98"/>
    </row>
    <row r="256" spans="1:27" ht="36">
      <c r="A256" s="475"/>
      <c r="B256" s="352">
        <v>50</v>
      </c>
      <c r="C256" s="356" t="s">
        <v>656</v>
      </c>
      <c r="D256" s="76">
        <v>16478.759999999998</v>
      </c>
      <c r="E256" s="76" t="s">
        <v>2102</v>
      </c>
      <c r="F256" s="356" t="s">
        <v>372</v>
      </c>
      <c r="G256" s="313">
        <v>52.407826</v>
      </c>
      <c r="H256" s="313">
        <v>5</v>
      </c>
      <c r="I256" s="6" t="s">
        <v>372</v>
      </c>
      <c r="J256" s="313">
        <v>24.326232000000001</v>
      </c>
      <c r="K256" s="313"/>
      <c r="L256" s="313"/>
      <c r="M256" s="313">
        <f t="shared" si="20"/>
        <v>81.734058000000005</v>
      </c>
      <c r="N256" s="356" t="s">
        <v>657</v>
      </c>
      <c r="O256" s="356" t="s">
        <v>658</v>
      </c>
      <c r="P256" s="76" t="s">
        <v>27</v>
      </c>
      <c r="Q256" s="434">
        <v>0.41</v>
      </c>
      <c r="R256" s="434">
        <v>0.5</v>
      </c>
      <c r="S256" s="356" t="s">
        <v>659</v>
      </c>
      <c r="T256" s="313">
        <v>0.4</v>
      </c>
      <c r="U256" s="5">
        <f t="shared" si="19"/>
        <v>0.97560975609756106</v>
      </c>
      <c r="V256" s="24">
        <f>Q256</f>
        <v>0.41</v>
      </c>
      <c r="W256" s="24">
        <f>T256</f>
        <v>0.4</v>
      </c>
      <c r="X256" s="27">
        <f>W256/V256</f>
        <v>0.97560975609756106</v>
      </c>
      <c r="Y256" s="27">
        <f>W256/M256</f>
        <v>4.8939207202950818E-3</v>
      </c>
      <c r="Z256" s="356" t="s">
        <v>381</v>
      </c>
      <c r="AA256" s="98"/>
    </row>
    <row r="257" spans="1:27" ht="24" hidden="1">
      <c r="A257" s="475"/>
      <c r="B257" s="352">
        <v>51</v>
      </c>
      <c r="C257" s="342" t="s">
        <v>660</v>
      </c>
      <c r="D257" s="76">
        <v>38107.620000000003</v>
      </c>
      <c r="E257" s="76" t="s">
        <v>2103</v>
      </c>
      <c r="F257" s="342" t="s">
        <v>661</v>
      </c>
      <c r="G257" s="325">
        <v>115</v>
      </c>
      <c r="H257" s="325">
        <v>0</v>
      </c>
      <c r="I257" s="150" t="s">
        <v>662</v>
      </c>
      <c r="J257" s="325">
        <v>66</v>
      </c>
      <c r="K257" s="325"/>
      <c r="L257" s="325"/>
      <c r="M257" s="313">
        <f t="shared" si="20"/>
        <v>181</v>
      </c>
      <c r="N257" s="342" t="s">
        <v>663</v>
      </c>
      <c r="O257" s="342"/>
      <c r="P257" s="342"/>
      <c r="Q257" s="347"/>
      <c r="R257" s="347"/>
      <c r="S257" s="342"/>
      <c r="T257" s="325"/>
      <c r="U257" s="5" t="e">
        <f t="shared" si="19"/>
        <v>#DIV/0!</v>
      </c>
      <c r="V257" s="24"/>
      <c r="W257" s="24"/>
      <c r="X257" s="24"/>
      <c r="Y257" s="24"/>
      <c r="Z257" s="342" t="s">
        <v>554</v>
      </c>
      <c r="AA257" s="98"/>
    </row>
    <row r="258" spans="1:27" ht="36" hidden="1">
      <c r="A258" s="475"/>
      <c r="B258" s="352">
        <v>52</v>
      </c>
      <c r="C258" s="164" t="s">
        <v>664</v>
      </c>
      <c r="D258" s="165">
        <v>18619</v>
      </c>
      <c r="E258" s="377" t="s">
        <v>2104</v>
      </c>
      <c r="F258" s="164"/>
      <c r="G258" s="166"/>
      <c r="H258" s="166"/>
      <c r="I258" s="167" t="s">
        <v>665</v>
      </c>
      <c r="J258" s="166">
        <v>12.915100000000001</v>
      </c>
      <c r="K258" s="166"/>
      <c r="L258" s="166"/>
      <c r="M258" s="313">
        <f t="shared" si="20"/>
        <v>12.915100000000001</v>
      </c>
      <c r="N258" s="164" t="s">
        <v>542</v>
      </c>
      <c r="O258" s="164"/>
      <c r="P258" s="164"/>
      <c r="Q258" s="168"/>
      <c r="R258" s="168"/>
      <c r="S258" s="164"/>
      <c r="T258" s="166"/>
      <c r="U258" s="5" t="e">
        <f t="shared" si="19"/>
        <v>#DIV/0!</v>
      </c>
      <c r="V258" s="24"/>
      <c r="W258" s="24"/>
      <c r="X258" s="24"/>
      <c r="Y258" s="24"/>
      <c r="Z258" s="164" t="s">
        <v>562</v>
      </c>
      <c r="AA258" s="98"/>
    </row>
    <row r="259" spans="1:27" ht="24" hidden="1">
      <c r="A259" s="475"/>
      <c r="B259" s="352">
        <v>53</v>
      </c>
      <c r="C259" s="169" t="s">
        <v>666</v>
      </c>
      <c r="D259" s="170">
        <v>58514.995199999998</v>
      </c>
      <c r="E259" s="170" t="s">
        <v>2105</v>
      </c>
      <c r="F259" s="169" t="s">
        <v>31</v>
      </c>
      <c r="G259" s="171">
        <v>40</v>
      </c>
      <c r="H259" s="171">
        <v>5</v>
      </c>
      <c r="I259" s="172" t="s">
        <v>39</v>
      </c>
      <c r="J259" s="171">
        <v>15</v>
      </c>
      <c r="K259" s="171"/>
      <c r="L259" s="171"/>
      <c r="M259" s="313">
        <f t="shared" si="20"/>
        <v>60</v>
      </c>
      <c r="N259" s="169" t="s">
        <v>663</v>
      </c>
      <c r="O259" s="169"/>
      <c r="P259" s="169"/>
      <c r="Q259" s="173"/>
      <c r="R259" s="173"/>
      <c r="S259" s="169"/>
      <c r="T259" s="171"/>
      <c r="U259" s="5" t="e">
        <f t="shared" si="19"/>
        <v>#DIV/0!</v>
      </c>
      <c r="V259" s="24"/>
      <c r="W259" s="24"/>
      <c r="X259" s="24"/>
      <c r="Y259" s="24"/>
      <c r="Z259" s="169"/>
      <c r="AA259" s="98"/>
    </row>
    <row r="260" spans="1:27" ht="36" hidden="1">
      <c r="A260" s="475"/>
      <c r="B260" s="352">
        <v>54</v>
      </c>
      <c r="C260" s="356" t="s">
        <v>1930</v>
      </c>
      <c r="D260" s="76">
        <v>30923.242699999999</v>
      </c>
      <c r="E260" s="76" t="s">
        <v>2106</v>
      </c>
      <c r="F260" s="356" t="s">
        <v>543</v>
      </c>
      <c r="G260" s="313">
        <v>99.055462000000006</v>
      </c>
      <c r="H260" s="313">
        <v>0.61</v>
      </c>
      <c r="I260" s="6" t="s">
        <v>668</v>
      </c>
      <c r="J260" s="313">
        <v>40.5</v>
      </c>
      <c r="K260" s="313"/>
      <c r="L260" s="313"/>
      <c r="M260" s="313">
        <f t="shared" si="20"/>
        <v>140.16546199999999</v>
      </c>
      <c r="N260" s="356" t="s">
        <v>669</v>
      </c>
      <c r="O260" s="356" t="s">
        <v>1931</v>
      </c>
      <c r="P260" s="76" t="s">
        <v>36</v>
      </c>
      <c r="Q260" s="434">
        <v>800</v>
      </c>
      <c r="R260" s="434">
        <v>800</v>
      </c>
      <c r="S260" s="356" t="s">
        <v>670</v>
      </c>
      <c r="T260" s="314">
        <v>114.88778600000001</v>
      </c>
      <c r="U260" s="5">
        <f t="shared" si="19"/>
        <v>0.1436097325</v>
      </c>
      <c r="V260" s="587">
        <f>SUM(Q260:Q265)</f>
        <v>820</v>
      </c>
      <c r="W260" s="596">
        <f>SUM(T260:T265)</f>
        <v>122.32342700000001</v>
      </c>
      <c r="X260" s="589">
        <f>W260/V260</f>
        <v>0.14917491097560978</v>
      </c>
      <c r="Y260" s="589">
        <f>W260/M260</f>
        <v>0.87270733641929576</v>
      </c>
      <c r="Z260" s="356" t="s">
        <v>671</v>
      </c>
      <c r="AA260" s="98"/>
    </row>
    <row r="261" spans="1:27" ht="24">
      <c r="A261" s="475"/>
      <c r="B261" s="352">
        <v>55</v>
      </c>
      <c r="C261" s="356"/>
      <c r="D261" s="76"/>
      <c r="E261" s="76"/>
      <c r="F261" s="356"/>
      <c r="G261" s="313"/>
      <c r="H261" s="313"/>
      <c r="I261" s="6"/>
      <c r="J261" s="313"/>
      <c r="K261" s="313"/>
      <c r="L261" s="313"/>
      <c r="M261" s="313"/>
      <c r="N261" s="356" t="s">
        <v>672</v>
      </c>
      <c r="O261" s="356" t="s">
        <v>673</v>
      </c>
      <c r="P261" s="76" t="s">
        <v>27</v>
      </c>
      <c r="Q261" s="434">
        <v>5</v>
      </c>
      <c r="R261" s="434">
        <v>4</v>
      </c>
      <c r="S261" s="174" t="s">
        <v>674</v>
      </c>
      <c r="T261" s="313">
        <v>2.439387</v>
      </c>
      <c r="U261" s="5">
        <f t="shared" si="19"/>
        <v>0.48787740000000002</v>
      </c>
      <c r="V261" s="591"/>
      <c r="W261" s="591"/>
      <c r="X261" s="592"/>
      <c r="Y261" s="592"/>
      <c r="Z261" s="356" t="s">
        <v>671</v>
      </c>
      <c r="AA261" s="98"/>
    </row>
    <row r="262" spans="1:27" ht="24">
      <c r="A262" s="475"/>
      <c r="B262" s="352">
        <v>56</v>
      </c>
      <c r="C262" s="356"/>
      <c r="D262" s="76"/>
      <c r="E262" s="76"/>
      <c r="F262" s="356"/>
      <c r="G262" s="313"/>
      <c r="H262" s="313"/>
      <c r="I262" s="6"/>
      <c r="J262" s="313"/>
      <c r="K262" s="313"/>
      <c r="L262" s="313"/>
      <c r="M262" s="313"/>
      <c r="N262" s="356" t="s">
        <v>675</v>
      </c>
      <c r="O262" s="356" t="s">
        <v>676</v>
      </c>
      <c r="P262" s="76" t="s">
        <v>27</v>
      </c>
      <c r="Q262" s="434">
        <v>6</v>
      </c>
      <c r="R262" s="434">
        <v>3</v>
      </c>
      <c r="S262" s="174" t="s">
        <v>112</v>
      </c>
      <c r="T262" s="313">
        <v>2.6589420000000001</v>
      </c>
      <c r="U262" s="5">
        <f t="shared" si="19"/>
        <v>0.44315700000000002</v>
      </c>
      <c r="V262" s="591"/>
      <c r="W262" s="591"/>
      <c r="X262" s="592"/>
      <c r="Y262" s="592"/>
      <c r="Z262" s="356" t="s">
        <v>671</v>
      </c>
      <c r="AA262" s="98"/>
    </row>
    <row r="263" spans="1:27" ht="36">
      <c r="A263" s="475"/>
      <c r="B263" s="352">
        <v>57</v>
      </c>
      <c r="C263" s="356"/>
      <c r="D263" s="76"/>
      <c r="E263" s="76"/>
      <c r="F263" s="356"/>
      <c r="G263" s="313"/>
      <c r="H263" s="313"/>
      <c r="I263" s="6"/>
      <c r="J263" s="313"/>
      <c r="K263" s="313"/>
      <c r="L263" s="313"/>
      <c r="M263" s="313"/>
      <c r="N263" s="356" t="s">
        <v>677</v>
      </c>
      <c r="O263" s="356" t="s">
        <v>678</v>
      </c>
      <c r="P263" s="76" t="s">
        <v>27</v>
      </c>
      <c r="Q263" s="434">
        <v>3</v>
      </c>
      <c r="R263" s="434">
        <v>2</v>
      </c>
      <c r="S263" s="174" t="s">
        <v>679</v>
      </c>
      <c r="T263" s="313">
        <v>0.82621100000000003</v>
      </c>
      <c r="U263" s="5">
        <f t="shared" si="19"/>
        <v>0.27540366666666666</v>
      </c>
      <c r="V263" s="591"/>
      <c r="W263" s="591"/>
      <c r="X263" s="592"/>
      <c r="Y263" s="592"/>
      <c r="Z263" s="356" t="s">
        <v>671</v>
      </c>
      <c r="AA263" s="98"/>
    </row>
    <row r="264" spans="1:27" ht="36">
      <c r="A264" s="475"/>
      <c r="B264" s="352">
        <v>58</v>
      </c>
      <c r="C264" s="356"/>
      <c r="D264" s="76"/>
      <c r="E264" s="76"/>
      <c r="F264" s="356"/>
      <c r="G264" s="313"/>
      <c r="H264" s="313"/>
      <c r="I264" s="6"/>
      <c r="J264" s="313"/>
      <c r="K264" s="313"/>
      <c r="L264" s="313"/>
      <c r="M264" s="313"/>
      <c r="N264" s="356" t="s">
        <v>680</v>
      </c>
      <c r="O264" s="356" t="s">
        <v>681</v>
      </c>
      <c r="P264" s="76" t="s">
        <v>27</v>
      </c>
      <c r="Q264" s="434">
        <v>3</v>
      </c>
      <c r="R264" s="434">
        <v>2</v>
      </c>
      <c r="S264" s="174" t="s">
        <v>679</v>
      </c>
      <c r="T264" s="313">
        <v>0.76944999999999997</v>
      </c>
      <c r="U264" s="5">
        <f t="shared" si="19"/>
        <v>0.25648333333333334</v>
      </c>
      <c r="V264" s="591"/>
      <c r="W264" s="591"/>
      <c r="X264" s="592"/>
      <c r="Y264" s="592"/>
      <c r="Z264" s="356" t="s">
        <v>671</v>
      </c>
      <c r="AA264" s="98"/>
    </row>
    <row r="265" spans="1:27" ht="48">
      <c r="A265" s="475"/>
      <c r="B265" s="352">
        <v>59</v>
      </c>
      <c r="C265" s="356"/>
      <c r="D265" s="76"/>
      <c r="E265" s="76"/>
      <c r="F265" s="356"/>
      <c r="G265" s="313"/>
      <c r="H265" s="313"/>
      <c r="I265" s="6"/>
      <c r="J265" s="313"/>
      <c r="K265" s="313"/>
      <c r="L265" s="313"/>
      <c r="M265" s="313"/>
      <c r="N265" s="356" t="s">
        <v>682</v>
      </c>
      <c r="O265" s="356" t="s">
        <v>1932</v>
      </c>
      <c r="P265" s="76" t="s">
        <v>27</v>
      </c>
      <c r="Q265" s="434">
        <v>3</v>
      </c>
      <c r="R265" s="434">
        <v>2</v>
      </c>
      <c r="S265" s="174" t="s">
        <v>683</v>
      </c>
      <c r="T265" s="313">
        <v>0.74165099999999995</v>
      </c>
      <c r="U265" s="5">
        <f t="shared" si="19"/>
        <v>0.24721699999999999</v>
      </c>
      <c r="V265" s="588"/>
      <c r="W265" s="588"/>
      <c r="X265" s="590"/>
      <c r="Y265" s="590"/>
      <c r="Z265" s="356" t="s">
        <v>671</v>
      </c>
      <c r="AA265" s="98"/>
    </row>
    <row r="266" spans="1:27" ht="24" hidden="1">
      <c r="A266" s="475"/>
      <c r="B266" s="352">
        <v>60</v>
      </c>
      <c r="C266" s="356" t="s">
        <v>1933</v>
      </c>
      <c r="D266" s="76">
        <v>23269.709900000002</v>
      </c>
      <c r="E266" s="76" t="s">
        <v>2107</v>
      </c>
      <c r="F266" s="356" t="s">
        <v>39</v>
      </c>
      <c r="G266" s="313">
        <v>75.13</v>
      </c>
      <c r="H266" s="313">
        <v>1.58</v>
      </c>
      <c r="I266" s="6" t="s">
        <v>251</v>
      </c>
      <c r="J266" s="313">
        <v>31.3</v>
      </c>
      <c r="K266" s="313"/>
      <c r="L266" s="313"/>
      <c r="M266" s="313">
        <f>J266+L266+H266+G266</f>
        <v>108.00999999999999</v>
      </c>
      <c r="N266" s="356" t="s">
        <v>684</v>
      </c>
      <c r="O266" s="356" t="s">
        <v>685</v>
      </c>
      <c r="P266" s="76" t="s">
        <v>36</v>
      </c>
      <c r="Q266" s="434">
        <v>159</v>
      </c>
      <c r="R266" s="434">
        <v>159</v>
      </c>
      <c r="S266" s="356" t="s">
        <v>134</v>
      </c>
      <c r="T266" s="313">
        <v>119</v>
      </c>
      <c r="U266" s="5">
        <f t="shared" si="19"/>
        <v>0.74842767295597479</v>
      </c>
      <c r="V266" s="587">
        <f>SUM(Q266:Q269)</f>
        <v>1484</v>
      </c>
      <c r="W266" s="587">
        <f>SUM(T266:T269)</f>
        <v>146</v>
      </c>
      <c r="X266" s="589">
        <f>W266/V266</f>
        <v>9.8382749326145547E-2</v>
      </c>
      <c r="Y266" s="589">
        <f>W266/M266</f>
        <v>1.3517266919729656</v>
      </c>
      <c r="Z266" s="356" t="s">
        <v>671</v>
      </c>
      <c r="AA266" s="98"/>
    </row>
    <row r="267" spans="1:27" ht="36" hidden="1">
      <c r="A267" s="475"/>
      <c r="B267" s="352">
        <v>61</v>
      </c>
      <c r="C267" s="356"/>
      <c r="D267" s="76"/>
      <c r="E267" s="76"/>
      <c r="F267" s="356"/>
      <c r="G267" s="313"/>
      <c r="H267" s="313"/>
      <c r="I267" s="6"/>
      <c r="J267" s="313"/>
      <c r="K267" s="313"/>
      <c r="L267" s="313"/>
      <c r="M267" s="313"/>
      <c r="N267" s="356" t="s">
        <v>686</v>
      </c>
      <c r="O267" s="356" t="s">
        <v>687</v>
      </c>
      <c r="P267" s="76" t="s">
        <v>36</v>
      </c>
      <c r="Q267" s="434">
        <v>1294</v>
      </c>
      <c r="R267" s="434">
        <v>1617</v>
      </c>
      <c r="S267" s="356"/>
      <c r="T267" s="313"/>
      <c r="U267" s="5">
        <f t="shared" si="19"/>
        <v>0</v>
      </c>
      <c r="V267" s="591"/>
      <c r="W267" s="591"/>
      <c r="X267" s="592"/>
      <c r="Y267" s="592"/>
      <c r="Z267" s="356" t="s">
        <v>671</v>
      </c>
      <c r="AA267" s="98"/>
    </row>
    <row r="268" spans="1:27" ht="36" hidden="1">
      <c r="A268" s="475"/>
      <c r="B268" s="352">
        <v>62</v>
      </c>
      <c r="C268" s="356"/>
      <c r="D268" s="76"/>
      <c r="E268" s="76"/>
      <c r="F268" s="356"/>
      <c r="G268" s="313"/>
      <c r="H268" s="313"/>
      <c r="I268" s="6"/>
      <c r="J268" s="313"/>
      <c r="K268" s="313"/>
      <c r="L268" s="313"/>
      <c r="M268" s="313"/>
      <c r="N268" s="356" t="s">
        <v>688</v>
      </c>
      <c r="O268" s="356" t="s">
        <v>689</v>
      </c>
      <c r="P268" s="76" t="s">
        <v>36</v>
      </c>
      <c r="Q268" s="434">
        <v>30</v>
      </c>
      <c r="R268" s="434">
        <v>37</v>
      </c>
      <c r="S268" s="356" t="s">
        <v>690</v>
      </c>
      <c r="T268" s="313">
        <v>27</v>
      </c>
      <c r="U268" s="5">
        <f t="shared" si="19"/>
        <v>0.9</v>
      </c>
      <c r="V268" s="591"/>
      <c r="W268" s="591"/>
      <c r="X268" s="592"/>
      <c r="Y268" s="592"/>
      <c r="Z268" s="356" t="s">
        <v>671</v>
      </c>
      <c r="AA268" s="98"/>
    </row>
    <row r="269" spans="1:27" ht="36">
      <c r="A269" s="475"/>
      <c r="B269" s="352">
        <v>63</v>
      </c>
      <c r="C269" s="154" t="s">
        <v>691</v>
      </c>
      <c r="D269" s="155"/>
      <c r="E269" s="155"/>
      <c r="F269" s="84"/>
      <c r="G269" s="156"/>
      <c r="H269" s="156"/>
      <c r="I269" s="157"/>
      <c r="J269" s="156"/>
      <c r="K269" s="156"/>
      <c r="L269" s="156"/>
      <c r="M269" s="156"/>
      <c r="N269" s="356" t="s">
        <v>692</v>
      </c>
      <c r="O269" s="356" t="s">
        <v>693</v>
      </c>
      <c r="P269" s="76" t="s">
        <v>27</v>
      </c>
      <c r="Q269" s="434">
        <v>1</v>
      </c>
      <c r="R269" s="434">
        <v>1</v>
      </c>
      <c r="S269" s="84"/>
      <c r="T269" s="156"/>
      <c r="U269" s="5">
        <f t="shared" si="19"/>
        <v>0</v>
      </c>
      <c r="V269" s="588"/>
      <c r="W269" s="588"/>
      <c r="X269" s="590"/>
      <c r="Y269" s="590"/>
      <c r="Z269" s="356" t="s">
        <v>671</v>
      </c>
      <c r="AA269" s="98"/>
    </row>
    <row r="270" spans="1:27" ht="24">
      <c r="A270" s="475"/>
      <c r="B270" s="352">
        <v>64</v>
      </c>
      <c r="C270" s="356" t="s">
        <v>694</v>
      </c>
      <c r="D270" s="76">
        <v>53107.360000000001</v>
      </c>
      <c r="E270" s="76" t="s">
        <v>2108</v>
      </c>
      <c r="F270" s="356" t="s">
        <v>39</v>
      </c>
      <c r="G270" s="313">
        <v>139.40459999999999</v>
      </c>
      <c r="H270" s="313"/>
      <c r="I270" s="6" t="s">
        <v>695</v>
      </c>
      <c r="J270" s="313">
        <v>46.8324</v>
      </c>
      <c r="K270" s="313"/>
      <c r="L270" s="313"/>
      <c r="M270" s="313">
        <f>J270+L270+H270+G270</f>
        <v>186.23699999999999</v>
      </c>
      <c r="N270" s="175">
        <v>41712</v>
      </c>
      <c r="O270" s="176" t="s">
        <v>696</v>
      </c>
      <c r="P270" s="76" t="s">
        <v>27</v>
      </c>
      <c r="Q270" s="434">
        <v>0.35372300000000001</v>
      </c>
      <c r="R270" s="434">
        <f>Q270-0.05</f>
        <v>0.30372300000000002</v>
      </c>
      <c r="S270" s="356"/>
      <c r="T270" s="313"/>
      <c r="U270" s="5">
        <f t="shared" si="19"/>
        <v>0</v>
      </c>
      <c r="V270" s="593">
        <f>SUM(Q270:Q286)</f>
        <v>82.426029</v>
      </c>
      <c r="W270" s="593">
        <f>SUM(T270:T286)</f>
        <v>18.00253</v>
      </c>
      <c r="X270" s="589">
        <f>W270/V270</f>
        <v>0.21840831371362074</v>
      </c>
      <c r="Y270" s="589">
        <f>W270/M270</f>
        <v>9.6664626255792349E-2</v>
      </c>
      <c r="Z270" s="356" t="s">
        <v>381</v>
      </c>
      <c r="AA270" s="98"/>
    </row>
    <row r="271" spans="1:27" ht="24">
      <c r="A271" s="475"/>
      <c r="B271" s="352">
        <v>65</v>
      </c>
      <c r="C271" s="356"/>
      <c r="D271" s="76"/>
      <c r="E271" s="76"/>
      <c r="F271" s="356"/>
      <c r="G271" s="313"/>
      <c r="H271" s="313"/>
      <c r="I271" s="6"/>
      <c r="J271" s="313"/>
      <c r="K271" s="313"/>
      <c r="L271" s="313"/>
      <c r="M271" s="313"/>
      <c r="N271" s="175">
        <v>41716</v>
      </c>
      <c r="O271" s="176" t="s">
        <v>697</v>
      </c>
      <c r="P271" s="76" t="s">
        <v>27</v>
      </c>
      <c r="Q271" s="434">
        <v>0.30332700000000001</v>
      </c>
      <c r="R271" s="434">
        <f t="shared" ref="R271:R286" si="21">Q271-0.05</f>
        <v>0.25332700000000002</v>
      </c>
      <c r="S271" s="356"/>
      <c r="T271" s="313"/>
      <c r="U271" s="5">
        <f t="shared" si="19"/>
        <v>0</v>
      </c>
      <c r="V271" s="594"/>
      <c r="W271" s="594"/>
      <c r="X271" s="592"/>
      <c r="Y271" s="592"/>
      <c r="Z271" s="356" t="s">
        <v>381</v>
      </c>
      <c r="AA271" s="98"/>
    </row>
    <row r="272" spans="1:27" hidden="1">
      <c r="A272" s="475"/>
      <c r="B272" s="352">
        <v>66</v>
      </c>
      <c r="C272" s="356"/>
      <c r="D272" s="76"/>
      <c r="E272" s="76"/>
      <c r="F272" s="356"/>
      <c r="G272" s="313"/>
      <c r="H272" s="313"/>
      <c r="I272" s="6"/>
      <c r="J272" s="313"/>
      <c r="K272" s="313"/>
      <c r="L272" s="313"/>
      <c r="M272" s="313"/>
      <c r="N272" s="175">
        <v>41782</v>
      </c>
      <c r="O272" s="176" t="s">
        <v>698</v>
      </c>
      <c r="P272" s="76" t="s">
        <v>36</v>
      </c>
      <c r="Q272" s="434">
        <v>7.4531999999999998</v>
      </c>
      <c r="R272" s="434">
        <v>7.4531999999999998</v>
      </c>
      <c r="S272" s="175">
        <v>41980</v>
      </c>
      <c r="T272" s="313">
        <v>3.8273000000000001</v>
      </c>
      <c r="U272" s="5">
        <f t="shared" ref="U272:U293" si="22">T272/Q272</f>
        <v>0.51351097515161281</v>
      </c>
      <c r="V272" s="594"/>
      <c r="W272" s="594"/>
      <c r="X272" s="592"/>
      <c r="Y272" s="592"/>
      <c r="Z272" s="356" t="s">
        <v>381</v>
      </c>
      <c r="AA272" s="98"/>
    </row>
    <row r="273" spans="1:27" ht="24">
      <c r="A273" s="475"/>
      <c r="B273" s="352">
        <v>67</v>
      </c>
      <c r="C273" s="356"/>
      <c r="D273" s="76"/>
      <c r="E273" s="76"/>
      <c r="F273" s="356"/>
      <c r="G273" s="313"/>
      <c r="H273" s="313"/>
      <c r="I273" s="6"/>
      <c r="J273" s="313"/>
      <c r="K273" s="313"/>
      <c r="L273" s="313"/>
      <c r="M273" s="313"/>
      <c r="N273" s="175">
        <v>41832</v>
      </c>
      <c r="O273" s="176" t="s">
        <v>699</v>
      </c>
      <c r="P273" s="76" t="s">
        <v>27</v>
      </c>
      <c r="Q273" s="434">
        <v>3.525261</v>
      </c>
      <c r="R273" s="434">
        <f t="shared" si="21"/>
        <v>3.4752610000000002</v>
      </c>
      <c r="S273" s="356"/>
      <c r="T273" s="313"/>
      <c r="U273" s="5">
        <f t="shared" si="22"/>
        <v>0</v>
      </c>
      <c r="V273" s="594"/>
      <c r="W273" s="594"/>
      <c r="X273" s="592"/>
      <c r="Y273" s="592"/>
      <c r="Z273" s="356" t="s">
        <v>381</v>
      </c>
      <c r="AA273" s="98"/>
    </row>
    <row r="274" spans="1:27" ht="24">
      <c r="A274" s="475"/>
      <c r="B274" s="352">
        <v>68</v>
      </c>
      <c r="C274" s="356"/>
      <c r="D274" s="76"/>
      <c r="E274" s="76"/>
      <c r="F274" s="356"/>
      <c r="G274" s="313"/>
      <c r="H274" s="313"/>
      <c r="I274" s="6"/>
      <c r="J274" s="313"/>
      <c r="K274" s="313"/>
      <c r="L274" s="313"/>
      <c r="M274" s="313"/>
      <c r="N274" s="175">
        <v>41841</v>
      </c>
      <c r="O274" s="176" t="s">
        <v>700</v>
      </c>
      <c r="P274" s="76" t="s">
        <v>27</v>
      </c>
      <c r="Q274" s="434">
        <v>5.2864820000000003</v>
      </c>
      <c r="R274" s="434">
        <f t="shared" si="21"/>
        <v>5.2364820000000005</v>
      </c>
      <c r="S274" s="356"/>
      <c r="T274" s="313"/>
      <c r="U274" s="5">
        <f t="shared" si="22"/>
        <v>0</v>
      </c>
      <c r="V274" s="594"/>
      <c r="W274" s="594"/>
      <c r="X274" s="592"/>
      <c r="Y274" s="592"/>
      <c r="Z274" s="356" t="s">
        <v>381</v>
      </c>
      <c r="AA274" s="98"/>
    </row>
    <row r="275" spans="1:27" ht="36">
      <c r="A275" s="475"/>
      <c r="B275" s="352">
        <v>69</v>
      </c>
      <c r="C275" s="356"/>
      <c r="D275" s="76"/>
      <c r="E275" s="76"/>
      <c r="F275" s="356"/>
      <c r="G275" s="313"/>
      <c r="H275" s="313"/>
      <c r="I275" s="6"/>
      <c r="J275" s="313"/>
      <c r="K275" s="313"/>
      <c r="L275" s="313"/>
      <c r="M275" s="313"/>
      <c r="N275" s="175">
        <v>41866</v>
      </c>
      <c r="O275" s="176" t="s">
        <v>701</v>
      </c>
      <c r="P275" s="76" t="s">
        <v>27</v>
      </c>
      <c r="Q275" s="434">
        <v>0.393646</v>
      </c>
      <c r="R275" s="434">
        <f t="shared" si="21"/>
        <v>0.34364600000000001</v>
      </c>
      <c r="S275" s="356"/>
      <c r="T275" s="313"/>
      <c r="U275" s="5">
        <f t="shared" si="22"/>
        <v>0</v>
      </c>
      <c r="V275" s="594"/>
      <c r="W275" s="594"/>
      <c r="X275" s="592"/>
      <c r="Y275" s="592"/>
      <c r="Z275" s="356" t="s">
        <v>381</v>
      </c>
      <c r="AA275" s="98"/>
    </row>
    <row r="276" spans="1:27" ht="36">
      <c r="A276" s="475"/>
      <c r="B276" s="352">
        <v>70</v>
      </c>
      <c r="C276" s="356"/>
      <c r="D276" s="76"/>
      <c r="E276" s="76"/>
      <c r="F276" s="356"/>
      <c r="G276" s="313"/>
      <c r="H276" s="313"/>
      <c r="I276" s="6"/>
      <c r="J276" s="313"/>
      <c r="K276" s="313"/>
      <c r="L276" s="313"/>
      <c r="M276" s="313"/>
      <c r="N276" s="175">
        <v>41868</v>
      </c>
      <c r="O276" s="176" t="s">
        <v>702</v>
      </c>
      <c r="P276" s="76" t="s">
        <v>27</v>
      </c>
      <c r="Q276" s="434">
        <v>0.60654700000000006</v>
      </c>
      <c r="R276" s="434">
        <f t="shared" si="21"/>
        <v>0.55654700000000001</v>
      </c>
      <c r="S276" s="356"/>
      <c r="T276" s="313"/>
      <c r="U276" s="5">
        <f t="shared" si="22"/>
        <v>0</v>
      </c>
      <c r="V276" s="594"/>
      <c r="W276" s="594"/>
      <c r="X276" s="592"/>
      <c r="Y276" s="592"/>
      <c r="Z276" s="356" t="s">
        <v>381</v>
      </c>
      <c r="AA276" s="98"/>
    </row>
    <row r="277" spans="1:27" ht="24">
      <c r="A277" s="475"/>
      <c r="B277" s="352">
        <v>71</v>
      </c>
      <c r="C277" s="356"/>
      <c r="D277" s="76"/>
      <c r="E277" s="76"/>
      <c r="F277" s="356"/>
      <c r="G277" s="313"/>
      <c r="H277" s="313"/>
      <c r="I277" s="6"/>
      <c r="J277" s="313"/>
      <c r="K277" s="313"/>
      <c r="L277" s="313"/>
      <c r="M277" s="313"/>
      <c r="N277" s="175">
        <v>41871</v>
      </c>
      <c r="O277" s="176" t="s">
        <v>703</v>
      </c>
      <c r="P277" s="76" t="s">
        <v>27</v>
      </c>
      <c r="Q277" s="434">
        <v>1.5592900000000001</v>
      </c>
      <c r="R277" s="434">
        <f t="shared" si="21"/>
        <v>1.50929</v>
      </c>
      <c r="S277" s="356"/>
      <c r="T277" s="313"/>
      <c r="U277" s="5">
        <f t="shared" si="22"/>
        <v>0</v>
      </c>
      <c r="V277" s="594"/>
      <c r="W277" s="594"/>
      <c r="X277" s="592"/>
      <c r="Y277" s="592"/>
      <c r="Z277" s="356" t="s">
        <v>381</v>
      </c>
      <c r="AA277" s="98"/>
    </row>
    <row r="278" spans="1:27" hidden="1">
      <c r="A278" s="475"/>
      <c r="B278" s="352">
        <v>72</v>
      </c>
      <c r="C278" s="356"/>
      <c r="D278" s="76"/>
      <c r="E278" s="76"/>
      <c r="F278" s="356"/>
      <c r="G278" s="313"/>
      <c r="H278" s="313"/>
      <c r="I278" s="6"/>
      <c r="J278" s="313"/>
      <c r="K278" s="313"/>
      <c r="L278" s="313"/>
      <c r="M278" s="313"/>
      <c r="N278" s="175">
        <v>41886</v>
      </c>
      <c r="O278" s="176" t="s">
        <v>704</v>
      </c>
      <c r="P278" s="76" t="s">
        <v>36</v>
      </c>
      <c r="Q278" s="434">
        <v>50</v>
      </c>
      <c r="R278" s="434">
        <f>Q278-0.5</f>
        <v>49.5</v>
      </c>
      <c r="S278" s="175">
        <v>41991</v>
      </c>
      <c r="T278" s="313">
        <v>14.175230000000001</v>
      </c>
      <c r="U278" s="5">
        <f t="shared" si="22"/>
        <v>0.2835046</v>
      </c>
      <c r="V278" s="594"/>
      <c r="W278" s="594"/>
      <c r="X278" s="592"/>
      <c r="Y278" s="592"/>
      <c r="Z278" s="356" t="s">
        <v>381</v>
      </c>
      <c r="AA278" s="98"/>
    </row>
    <row r="279" spans="1:27" ht="24">
      <c r="A279" s="475"/>
      <c r="B279" s="352">
        <v>73</v>
      </c>
      <c r="C279" s="356"/>
      <c r="D279" s="76"/>
      <c r="E279" s="76"/>
      <c r="F279" s="356"/>
      <c r="G279" s="313"/>
      <c r="H279" s="313"/>
      <c r="I279" s="6"/>
      <c r="J279" s="313"/>
      <c r="K279" s="313"/>
      <c r="L279" s="313"/>
      <c r="M279" s="313"/>
      <c r="N279" s="175">
        <v>41915</v>
      </c>
      <c r="O279" s="176" t="s">
        <v>705</v>
      </c>
      <c r="P279" s="76" t="s">
        <v>27</v>
      </c>
      <c r="Q279" s="434">
        <v>0.59643999999999997</v>
      </c>
      <c r="R279" s="434">
        <f t="shared" si="21"/>
        <v>0.54643999999999993</v>
      </c>
      <c r="S279" s="356"/>
      <c r="T279" s="313"/>
      <c r="U279" s="5">
        <f t="shared" si="22"/>
        <v>0</v>
      </c>
      <c r="V279" s="594"/>
      <c r="W279" s="594"/>
      <c r="X279" s="592"/>
      <c r="Y279" s="592"/>
      <c r="Z279" s="356" t="s">
        <v>381</v>
      </c>
      <c r="AA279" s="98"/>
    </row>
    <row r="280" spans="1:27" ht="24">
      <c r="A280" s="475"/>
      <c r="B280" s="352">
        <v>74</v>
      </c>
      <c r="C280" s="356"/>
      <c r="D280" s="76"/>
      <c r="E280" s="76"/>
      <c r="F280" s="356"/>
      <c r="G280" s="313"/>
      <c r="H280" s="313"/>
      <c r="I280" s="6"/>
      <c r="J280" s="313"/>
      <c r="K280" s="313"/>
      <c r="L280" s="313"/>
      <c r="M280" s="313"/>
      <c r="N280" s="175">
        <v>41917</v>
      </c>
      <c r="O280" s="176" t="s">
        <v>706</v>
      </c>
      <c r="P280" s="76" t="s">
        <v>27</v>
      </c>
      <c r="Q280" s="434">
        <v>0.324405</v>
      </c>
      <c r="R280" s="434">
        <f t="shared" si="21"/>
        <v>0.27440500000000001</v>
      </c>
      <c r="S280" s="356"/>
      <c r="T280" s="313"/>
      <c r="U280" s="5">
        <f t="shared" si="22"/>
        <v>0</v>
      </c>
      <c r="V280" s="594"/>
      <c r="W280" s="594"/>
      <c r="X280" s="592"/>
      <c r="Y280" s="592"/>
      <c r="Z280" s="356" t="s">
        <v>381</v>
      </c>
      <c r="AA280" s="98"/>
    </row>
    <row r="281" spans="1:27" ht="24">
      <c r="A281" s="475"/>
      <c r="B281" s="352">
        <v>75</v>
      </c>
      <c r="C281" s="356"/>
      <c r="D281" s="76"/>
      <c r="E281" s="76"/>
      <c r="F281" s="356"/>
      <c r="G281" s="313"/>
      <c r="H281" s="313"/>
      <c r="I281" s="6"/>
      <c r="J281" s="313"/>
      <c r="K281" s="313"/>
      <c r="L281" s="313"/>
      <c r="M281" s="313"/>
      <c r="N281" s="175">
        <v>41949</v>
      </c>
      <c r="O281" s="176" t="s">
        <v>707</v>
      </c>
      <c r="P281" s="76" t="s">
        <v>27</v>
      </c>
      <c r="Q281" s="434">
        <v>0.6520419999999999</v>
      </c>
      <c r="R281" s="434">
        <f t="shared" si="21"/>
        <v>0.60204199999999986</v>
      </c>
      <c r="S281" s="356"/>
      <c r="T281" s="313"/>
      <c r="U281" s="5">
        <f t="shared" si="22"/>
        <v>0</v>
      </c>
      <c r="V281" s="594"/>
      <c r="W281" s="594"/>
      <c r="X281" s="592"/>
      <c r="Y281" s="592"/>
      <c r="Z281" s="356" t="s">
        <v>381</v>
      </c>
      <c r="AA281" s="98"/>
    </row>
    <row r="282" spans="1:27" ht="24">
      <c r="A282" s="475"/>
      <c r="B282" s="352">
        <v>76</v>
      </c>
      <c r="C282" s="356"/>
      <c r="D282" s="76"/>
      <c r="E282" s="76"/>
      <c r="F282" s="356"/>
      <c r="G282" s="313"/>
      <c r="H282" s="313"/>
      <c r="I282" s="6"/>
      <c r="J282" s="313"/>
      <c r="K282" s="313"/>
      <c r="L282" s="313"/>
      <c r="M282" s="313"/>
      <c r="N282" s="175">
        <v>41955</v>
      </c>
      <c r="O282" s="176" t="s">
        <v>708</v>
      </c>
      <c r="P282" s="76" t="s">
        <v>27</v>
      </c>
      <c r="Q282" s="434">
        <v>0.77440100000000001</v>
      </c>
      <c r="R282" s="434">
        <f t="shared" si="21"/>
        <v>0.72440099999999996</v>
      </c>
      <c r="S282" s="356"/>
      <c r="T282" s="313"/>
      <c r="U282" s="5">
        <f t="shared" si="22"/>
        <v>0</v>
      </c>
      <c r="V282" s="594"/>
      <c r="W282" s="594"/>
      <c r="X282" s="592"/>
      <c r="Y282" s="592"/>
      <c r="Z282" s="356" t="s">
        <v>381</v>
      </c>
      <c r="AA282" s="98"/>
    </row>
    <row r="283" spans="1:27" ht="24">
      <c r="A283" s="475"/>
      <c r="B283" s="352">
        <v>77</v>
      </c>
      <c r="C283" s="356"/>
      <c r="D283" s="76"/>
      <c r="E283" s="76"/>
      <c r="F283" s="356"/>
      <c r="G283" s="313"/>
      <c r="H283" s="313"/>
      <c r="I283" s="6"/>
      <c r="J283" s="313"/>
      <c r="K283" s="313"/>
      <c r="L283" s="313"/>
      <c r="M283" s="313"/>
      <c r="N283" s="175">
        <v>41977</v>
      </c>
      <c r="O283" s="176" t="s">
        <v>709</v>
      </c>
      <c r="P283" s="76" t="s">
        <v>27</v>
      </c>
      <c r="Q283" s="434">
        <v>0.41416999999999998</v>
      </c>
      <c r="R283" s="434">
        <f t="shared" si="21"/>
        <v>0.36416999999999999</v>
      </c>
      <c r="S283" s="356"/>
      <c r="T283" s="313"/>
      <c r="U283" s="5">
        <f t="shared" si="22"/>
        <v>0</v>
      </c>
      <c r="V283" s="594"/>
      <c r="W283" s="594"/>
      <c r="X283" s="592"/>
      <c r="Y283" s="592"/>
      <c r="Z283" s="356" t="s">
        <v>381</v>
      </c>
      <c r="AA283" s="98"/>
    </row>
    <row r="284" spans="1:27" ht="24">
      <c r="A284" s="475"/>
      <c r="B284" s="352">
        <v>78</v>
      </c>
      <c r="C284" s="356"/>
      <c r="D284" s="76"/>
      <c r="E284" s="76"/>
      <c r="F284" s="356"/>
      <c r="G284" s="313"/>
      <c r="H284" s="313"/>
      <c r="I284" s="6"/>
      <c r="J284" s="313"/>
      <c r="K284" s="313"/>
      <c r="L284" s="313"/>
      <c r="M284" s="313"/>
      <c r="N284" s="175">
        <v>41989</v>
      </c>
      <c r="O284" s="176" t="s">
        <v>710</v>
      </c>
      <c r="P284" s="76" t="s">
        <v>27</v>
      </c>
      <c r="Q284" s="434">
        <v>0.42103400000000002</v>
      </c>
      <c r="R284" s="434">
        <f t="shared" si="21"/>
        <v>0.37103400000000003</v>
      </c>
      <c r="S284" s="356"/>
      <c r="T284" s="313"/>
      <c r="U284" s="5">
        <f t="shared" si="22"/>
        <v>0</v>
      </c>
      <c r="V284" s="594"/>
      <c r="W284" s="594"/>
      <c r="X284" s="592"/>
      <c r="Y284" s="592"/>
      <c r="Z284" s="356" t="s">
        <v>381</v>
      </c>
      <c r="AA284" s="98"/>
    </row>
    <row r="285" spans="1:27" ht="24">
      <c r="A285" s="475"/>
      <c r="B285" s="352">
        <v>79</v>
      </c>
      <c r="C285" s="356"/>
      <c r="D285" s="76"/>
      <c r="E285" s="76"/>
      <c r="F285" s="356"/>
      <c r="G285" s="313"/>
      <c r="H285" s="313"/>
      <c r="I285" s="6"/>
      <c r="J285" s="313"/>
      <c r="K285" s="313"/>
      <c r="L285" s="313"/>
      <c r="M285" s="313"/>
      <c r="N285" s="175">
        <v>41990</v>
      </c>
      <c r="O285" s="176" t="s">
        <v>711</v>
      </c>
      <c r="P285" s="76" t="s">
        <v>27</v>
      </c>
      <c r="Q285" s="434">
        <v>9.0038600000000013</v>
      </c>
      <c r="R285" s="434">
        <f t="shared" si="21"/>
        <v>8.9538600000000006</v>
      </c>
      <c r="S285" s="356"/>
      <c r="T285" s="313"/>
      <c r="U285" s="5">
        <f t="shared" si="22"/>
        <v>0</v>
      </c>
      <c r="V285" s="594"/>
      <c r="W285" s="594"/>
      <c r="X285" s="592"/>
      <c r="Y285" s="592"/>
      <c r="Z285" s="356" t="s">
        <v>381</v>
      </c>
      <c r="AA285" s="98"/>
    </row>
    <row r="286" spans="1:27" ht="24">
      <c r="A286" s="475"/>
      <c r="B286" s="352">
        <v>80</v>
      </c>
      <c r="C286" s="356"/>
      <c r="D286" s="76"/>
      <c r="E286" s="76"/>
      <c r="F286" s="356"/>
      <c r="G286" s="313"/>
      <c r="H286" s="313"/>
      <c r="I286" s="6"/>
      <c r="J286" s="313"/>
      <c r="K286" s="313"/>
      <c r="L286" s="313"/>
      <c r="M286" s="313"/>
      <c r="N286" s="175">
        <v>41997</v>
      </c>
      <c r="O286" s="176" t="s">
        <v>712</v>
      </c>
      <c r="P286" s="76" t="s">
        <v>27</v>
      </c>
      <c r="Q286" s="434">
        <v>0.75820100000000001</v>
      </c>
      <c r="R286" s="434">
        <f t="shared" si="21"/>
        <v>0.70820099999999997</v>
      </c>
      <c r="S286" s="356"/>
      <c r="T286" s="313"/>
      <c r="U286" s="5">
        <f t="shared" si="22"/>
        <v>0</v>
      </c>
      <c r="V286" s="595"/>
      <c r="W286" s="595"/>
      <c r="X286" s="590"/>
      <c r="Y286" s="590"/>
      <c r="Z286" s="356" t="s">
        <v>381</v>
      </c>
      <c r="AA286" s="98"/>
    </row>
    <row r="287" spans="1:27" ht="48" hidden="1">
      <c r="A287" s="475"/>
      <c r="B287" s="352">
        <v>81</v>
      </c>
      <c r="C287" s="336" t="s">
        <v>713</v>
      </c>
      <c r="D287" s="119">
        <v>11162.22</v>
      </c>
      <c r="E287" s="119" t="s">
        <v>2109</v>
      </c>
      <c r="F287" s="336" t="s">
        <v>714</v>
      </c>
      <c r="G287" s="177">
        <v>27.560396000000001</v>
      </c>
      <c r="H287" s="177"/>
      <c r="I287" s="178" t="s">
        <v>714</v>
      </c>
      <c r="J287" s="177">
        <v>11.113063</v>
      </c>
      <c r="K287" s="177"/>
      <c r="L287" s="177"/>
      <c r="M287" s="313">
        <f t="shared" ref="M287:M288" si="23">J287+L287+H287+G287</f>
        <v>38.673459000000001</v>
      </c>
      <c r="N287" s="336" t="s">
        <v>542</v>
      </c>
      <c r="O287" s="179"/>
      <c r="P287" s="179"/>
      <c r="Q287" s="180"/>
      <c r="R287" s="180"/>
      <c r="S287" s="179"/>
      <c r="T287" s="294"/>
      <c r="U287" s="5" t="e">
        <f t="shared" si="22"/>
        <v>#DIV/0!</v>
      </c>
      <c r="V287" s="24"/>
      <c r="W287" s="24"/>
      <c r="X287" s="24"/>
      <c r="Y287" s="24"/>
      <c r="Z287" s="336" t="s">
        <v>715</v>
      </c>
      <c r="AA287" s="98"/>
    </row>
    <row r="288" spans="1:27" ht="96">
      <c r="A288" s="475"/>
      <c r="B288" s="352">
        <v>82</v>
      </c>
      <c r="C288" s="169" t="s">
        <v>716</v>
      </c>
      <c r="D288" s="170">
        <v>52007.618600000002</v>
      </c>
      <c r="E288" s="170" t="s">
        <v>2110</v>
      </c>
      <c r="F288" s="169" t="s">
        <v>543</v>
      </c>
      <c r="G288" s="171">
        <v>160</v>
      </c>
      <c r="H288" s="171">
        <v>5</v>
      </c>
      <c r="I288" s="172" t="s">
        <v>39</v>
      </c>
      <c r="J288" s="171">
        <v>36</v>
      </c>
      <c r="K288" s="171"/>
      <c r="L288" s="171"/>
      <c r="M288" s="313">
        <f t="shared" si="23"/>
        <v>201</v>
      </c>
      <c r="N288" s="181" t="s">
        <v>717</v>
      </c>
      <c r="O288" s="169" t="s">
        <v>1934</v>
      </c>
      <c r="P288" s="76" t="s">
        <v>27</v>
      </c>
      <c r="Q288" s="173">
        <v>30</v>
      </c>
      <c r="R288" s="173">
        <v>16</v>
      </c>
      <c r="S288" s="169"/>
      <c r="T288" s="171"/>
      <c r="U288" s="5">
        <f t="shared" si="22"/>
        <v>0</v>
      </c>
      <c r="V288" s="587">
        <f>SUM(Q288:Q293)</f>
        <v>89.82</v>
      </c>
      <c r="W288" s="587">
        <f>SUM(T288:T293)</f>
        <v>106.3</v>
      </c>
      <c r="X288" s="589">
        <f>W288/V288</f>
        <v>1.1834780672456024</v>
      </c>
      <c r="Y288" s="589">
        <f>W288/M288</f>
        <v>0.52885572139303483</v>
      </c>
      <c r="Z288" s="169" t="s">
        <v>548</v>
      </c>
      <c r="AA288" s="98"/>
    </row>
    <row r="289" spans="1:27" ht="48">
      <c r="A289" s="475"/>
      <c r="B289" s="352">
        <v>83</v>
      </c>
      <c r="C289" s="169"/>
      <c r="D289" s="170"/>
      <c r="E289" s="170"/>
      <c r="F289" s="169"/>
      <c r="G289" s="171"/>
      <c r="H289" s="171"/>
      <c r="I289" s="172"/>
      <c r="J289" s="171"/>
      <c r="K289" s="171"/>
      <c r="L289" s="171"/>
      <c r="M289" s="171"/>
      <c r="N289" s="181" t="s">
        <v>718</v>
      </c>
      <c r="O289" s="169" t="s">
        <v>719</v>
      </c>
      <c r="P289" s="76" t="s">
        <v>27</v>
      </c>
      <c r="Q289" s="173">
        <v>10</v>
      </c>
      <c r="R289" s="173">
        <v>2.4</v>
      </c>
      <c r="S289" s="169">
        <v>2014.8</v>
      </c>
      <c r="T289" s="171">
        <v>2.4</v>
      </c>
      <c r="U289" s="5">
        <f t="shared" si="22"/>
        <v>0.24</v>
      </c>
      <c r="V289" s="591"/>
      <c r="W289" s="591"/>
      <c r="X289" s="592"/>
      <c r="Y289" s="592"/>
      <c r="Z289" s="169" t="s">
        <v>548</v>
      </c>
      <c r="AA289" s="98"/>
    </row>
    <row r="290" spans="1:27" ht="48">
      <c r="A290" s="475"/>
      <c r="B290" s="352">
        <v>84</v>
      </c>
      <c r="C290" s="169"/>
      <c r="D290" s="170"/>
      <c r="E290" s="170"/>
      <c r="F290" s="169"/>
      <c r="G290" s="171"/>
      <c r="H290" s="171"/>
      <c r="I290" s="172"/>
      <c r="J290" s="171"/>
      <c r="K290" s="171"/>
      <c r="L290" s="171"/>
      <c r="M290" s="171"/>
      <c r="N290" s="181" t="s">
        <v>720</v>
      </c>
      <c r="O290" s="169" t="s">
        <v>721</v>
      </c>
      <c r="P290" s="76" t="s">
        <v>27</v>
      </c>
      <c r="Q290" s="173">
        <v>1.9</v>
      </c>
      <c r="R290" s="173">
        <v>0.9</v>
      </c>
      <c r="S290" s="169">
        <v>2014.8</v>
      </c>
      <c r="T290" s="171">
        <v>0.9</v>
      </c>
      <c r="U290" s="5">
        <f t="shared" si="22"/>
        <v>0.47368421052631582</v>
      </c>
      <c r="V290" s="591"/>
      <c r="W290" s="591"/>
      <c r="X290" s="592"/>
      <c r="Y290" s="592"/>
      <c r="Z290" s="169" t="s">
        <v>548</v>
      </c>
      <c r="AA290" s="98"/>
    </row>
    <row r="291" spans="1:27" ht="48">
      <c r="A291" s="475"/>
      <c r="B291" s="352">
        <v>85</v>
      </c>
      <c r="C291" s="169"/>
      <c r="D291" s="170"/>
      <c r="E291" s="170"/>
      <c r="F291" s="169"/>
      <c r="G291" s="171"/>
      <c r="H291" s="171"/>
      <c r="I291" s="172"/>
      <c r="J291" s="171"/>
      <c r="K291" s="171"/>
      <c r="L291" s="171"/>
      <c r="M291" s="171"/>
      <c r="N291" s="181" t="s">
        <v>722</v>
      </c>
      <c r="O291" s="169" t="s">
        <v>723</v>
      </c>
      <c r="P291" s="76" t="s">
        <v>27</v>
      </c>
      <c r="Q291" s="173">
        <v>0.32</v>
      </c>
      <c r="R291" s="173">
        <v>0.32</v>
      </c>
      <c r="S291" s="169"/>
      <c r="T291" s="171"/>
      <c r="U291" s="5">
        <f t="shared" si="22"/>
        <v>0</v>
      </c>
      <c r="V291" s="591"/>
      <c r="W291" s="591"/>
      <c r="X291" s="592"/>
      <c r="Y291" s="592"/>
      <c r="Z291" s="169" t="s">
        <v>548</v>
      </c>
      <c r="AA291" s="98"/>
    </row>
    <row r="292" spans="1:27" ht="48">
      <c r="A292" s="475"/>
      <c r="B292" s="352">
        <v>86</v>
      </c>
      <c r="C292" s="169"/>
      <c r="D292" s="170"/>
      <c r="E292" s="170"/>
      <c r="F292" s="169"/>
      <c r="G292" s="171"/>
      <c r="H292" s="171"/>
      <c r="I292" s="172"/>
      <c r="J292" s="171"/>
      <c r="K292" s="171"/>
      <c r="L292" s="171"/>
      <c r="M292" s="171"/>
      <c r="N292" s="181" t="s">
        <v>724</v>
      </c>
      <c r="O292" s="169" t="s">
        <v>725</v>
      </c>
      <c r="P292" s="76" t="s">
        <v>27</v>
      </c>
      <c r="Q292" s="173">
        <v>2.6</v>
      </c>
      <c r="R292" s="173">
        <v>2.6</v>
      </c>
      <c r="S292" s="169"/>
      <c r="T292" s="171"/>
      <c r="U292" s="5">
        <f t="shared" si="22"/>
        <v>0</v>
      </c>
      <c r="V292" s="591"/>
      <c r="W292" s="591"/>
      <c r="X292" s="592"/>
      <c r="Y292" s="592"/>
      <c r="Z292" s="169" t="s">
        <v>548</v>
      </c>
      <c r="AA292" s="98"/>
    </row>
    <row r="293" spans="1:27" ht="36" hidden="1">
      <c r="A293" s="475"/>
      <c r="B293" s="352">
        <v>87</v>
      </c>
      <c r="C293" s="169"/>
      <c r="D293" s="170"/>
      <c r="E293" s="170"/>
      <c r="F293" s="169"/>
      <c r="G293" s="171"/>
      <c r="H293" s="171"/>
      <c r="I293" s="172"/>
      <c r="J293" s="171"/>
      <c r="K293" s="171"/>
      <c r="L293" s="171"/>
      <c r="M293" s="171"/>
      <c r="N293" s="169" t="s">
        <v>726</v>
      </c>
      <c r="O293" s="169" t="s">
        <v>727</v>
      </c>
      <c r="P293" s="76" t="s">
        <v>36</v>
      </c>
      <c r="Q293" s="173">
        <v>45</v>
      </c>
      <c r="R293" s="173">
        <v>103</v>
      </c>
      <c r="S293" s="169">
        <v>2014.12</v>
      </c>
      <c r="T293" s="171">
        <v>103</v>
      </c>
      <c r="U293" s="5">
        <f t="shared" si="22"/>
        <v>2.2888888888888888</v>
      </c>
      <c r="V293" s="588"/>
      <c r="W293" s="588"/>
      <c r="X293" s="590"/>
      <c r="Y293" s="590"/>
      <c r="Z293" s="169" t="s">
        <v>548</v>
      </c>
      <c r="AA293" s="98"/>
    </row>
    <row r="294" spans="1:27" ht="24" hidden="1">
      <c r="A294" s="475"/>
      <c r="B294" s="352">
        <v>88</v>
      </c>
      <c r="C294" s="356" t="s">
        <v>2111</v>
      </c>
      <c r="D294" s="76">
        <v>53072</v>
      </c>
      <c r="E294" s="76" t="s">
        <v>2154</v>
      </c>
      <c r="F294" s="356" t="s">
        <v>31</v>
      </c>
      <c r="G294" s="182">
        <v>168.81739999999999</v>
      </c>
      <c r="H294" s="156">
        <v>5</v>
      </c>
      <c r="I294" s="157" t="s">
        <v>558</v>
      </c>
      <c r="J294" s="156">
        <v>122.06480000000001</v>
      </c>
      <c r="K294" s="156"/>
      <c r="L294" s="156"/>
      <c r="M294" s="313">
        <f>J294+L294+H294+G294</f>
        <v>295.88220000000001</v>
      </c>
      <c r="N294" s="169" t="s">
        <v>663</v>
      </c>
      <c r="O294" s="169"/>
      <c r="P294" s="169"/>
      <c r="Q294" s="173"/>
      <c r="R294" s="173"/>
      <c r="S294" s="169"/>
      <c r="T294" s="171"/>
      <c r="U294" s="183"/>
      <c r="V294" s="184"/>
      <c r="W294" s="184"/>
      <c r="X294" s="184"/>
      <c r="Y294" s="184"/>
      <c r="Z294" s="169"/>
      <c r="AA294" s="98"/>
    </row>
    <row r="295" spans="1:27" ht="36" hidden="1">
      <c r="A295" s="475" t="s">
        <v>874</v>
      </c>
      <c r="B295" s="339">
        <v>1</v>
      </c>
      <c r="C295" s="346" t="s">
        <v>729</v>
      </c>
      <c r="D295" s="378">
        <v>21058</v>
      </c>
      <c r="E295" s="379" t="s">
        <v>2112</v>
      </c>
      <c r="F295" s="343" t="s">
        <v>730</v>
      </c>
      <c r="G295" s="325">
        <v>57.279200000000003</v>
      </c>
      <c r="H295" s="325">
        <v>0.4</v>
      </c>
      <c r="I295" s="343"/>
      <c r="J295" s="325"/>
      <c r="K295" s="341"/>
      <c r="L295" s="325"/>
      <c r="M295" s="188">
        <f t="shared" ref="M295:M299" si="24">SUM(G295,H295,J295,L295)</f>
        <v>57.679200000000002</v>
      </c>
      <c r="N295" s="342" t="s">
        <v>731</v>
      </c>
      <c r="O295" s="359"/>
      <c r="P295" s="342"/>
      <c r="Q295" s="347"/>
      <c r="R295" s="347"/>
      <c r="S295" s="342"/>
      <c r="T295" s="325"/>
      <c r="U295" s="18"/>
      <c r="V295" s="25"/>
      <c r="W295" s="25"/>
      <c r="X295" s="25"/>
      <c r="Y295" s="25"/>
      <c r="Z295" s="342" t="s">
        <v>732</v>
      </c>
      <c r="AA295" s="98"/>
    </row>
    <row r="296" spans="1:27" ht="48" hidden="1">
      <c r="A296" s="475"/>
      <c r="B296" s="339">
        <v>2</v>
      </c>
      <c r="C296" s="346" t="s">
        <v>733</v>
      </c>
      <c r="D296" s="380">
        <v>15775</v>
      </c>
      <c r="E296" s="381" t="s">
        <v>2113</v>
      </c>
      <c r="F296" s="343" t="s">
        <v>734</v>
      </c>
      <c r="G296" s="325">
        <v>20.47</v>
      </c>
      <c r="H296" s="325"/>
      <c r="I296" s="343" t="s">
        <v>735</v>
      </c>
      <c r="J296" s="325">
        <v>15</v>
      </c>
      <c r="K296" s="341" t="s">
        <v>736</v>
      </c>
      <c r="L296" s="325">
        <v>0.26</v>
      </c>
      <c r="M296" s="325">
        <f t="shared" si="24"/>
        <v>35.729999999999997</v>
      </c>
      <c r="N296" s="342" t="s">
        <v>731</v>
      </c>
      <c r="O296" s="342"/>
      <c r="P296" s="342"/>
      <c r="Q296" s="347"/>
      <c r="R296" s="347"/>
      <c r="S296" s="342"/>
      <c r="T296" s="325"/>
      <c r="U296" s="18"/>
      <c r="V296" s="25"/>
      <c r="W296" s="25"/>
      <c r="X296" s="25"/>
      <c r="Y296" s="25"/>
      <c r="Z296" s="342" t="s">
        <v>732</v>
      </c>
      <c r="AA296" s="98"/>
    </row>
    <row r="297" spans="1:27" ht="36" hidden="1">
      <c r="A297" s="475"/>
      <c r="B297" s="339">
        <v>3</v>
      </c>
      <c r="C297" s="346" t="s">
        <v>737</v>
      </c>
      <c r="D297" s="378">
        <v>8559</v>
      </c>
      <c r="E297" s="379" t="s">
        <v>2114</v>
      </c>
      <c r="F297" s="343"/>
      <c r="G297" s="325"/>
      <c r="H297" s="325"/>
      <c r="I297" s="343"/>
      <c r="J297" s="325"/>
      <c r="K297" s="341" t="s">
        <v>738</v>
      </c>
      <c r="L297" s="325">
        <v>3.03</v>
      </c>
      <c r="M297" s="325">
        <f t="shared" si="24"/>
        <v>3.03</v>
      </c>
      <c r="N297" s="342" t="s">
        <v>731</v>
      </c>
      <c r="O297" s="342"/>
      <c r="P297" s="342"/>
      <c r="Q297" s="347"/>
      <c r="R297" s="347"/>
      <c r="S297" s="342"/>
      <c r="T297" s="325"/>
      <c r="U297" s="18"/>
      <c r="V297" s="25"/>
      <c r="W297" s="25"/>
      <c r="X297" s="25"/>
      <c r="Y297" s="25"/>
      <c r="Z297" s="342" t="s">
        <v>739</v>
      </c>
      <c r="AA297" s="98"/>
    </row>
    <row r="298" spans="1:27" ht="24" hidden="1">
      <c r="A298" s="475"/>
      <c r="B298" s="339">
        <v>4</v>
      </c>
      <c r="C298" s="346" t="s">
        <v>740</v>
      </c>
      <c r="D298" s="378">
        <v>9184</v>
      </c>
      <c r="E298" s="379" t="s">
        <v>2115</v>
      </c>
      <c r="F298" s="343"/>
      <c r="G298" s="325"/>
      <c r="H298" s="325"/>
      <c r="I298" s="343"/>
      <c r="J298" s="325"/>
      <c r="K298" s="341" t="s">
        <v>31</v>
      </c>
      <c r="L298" s="325">
        <v>5.25</v>
      </c>
      <c r="M298" s="325">
        <f t="shared" si="24"/>
        <v>5.25</v>
      </c>
      <c r="N298" s="342" t="s">
        <v>731</v>
      </c>
      <c r="O298" s="342"/>
      <c r="P298" s="342"/>
      <c r="Q298" s="347"/>
      <c r="R298" s="347"/>
      <c r="S298" s="342"/>
      <c r="T298" s="325"/>
      <c r="U298" s="18"/>
      <c r="V298" s="25"/>
      <c r="W298" s="25"/>
      <c r="X298" s="25"/>
      <c r="Y298" s="25"/>
      <c r="Z298" s="342" t="s">
        <v>739</v>
      </c>
      <c r="AA298" s="98"/>
    </row>
    <row r="299" spans="1:27" ht="24" hidden="1">
      <c r="A299" s="475"/>
      <c r="B299" s="604">
        <v>5</v>
      </c>
      <c r="C299" s="605" t="s">
        <v>741</v>
      </c>
      <c r="D299" s="606">
        <v>22343.8501</v>
      </c>
      <c r="E299" s="606" t="s">
        <v>2116</v>
      </c>
      <c r="F299" s="602" t="s">
        <v>742</v>
      </c>
      <c r="G299" s="600">
        <v>20.7804</v>
      </c>
      <c r="H299" s="600">
        <v>2</v>
      </c>
      <c r="I299" s="602" t="s">
        <v>743</v>
      </c>
      <c r="J299" s="600">
        <v>26.0184</v>
      </c>
      <c r="K299" s="603"/>
      <c r="L299" s="600"/>
      <c r="M299" s="600">
        <f t="shared" si="24"/>
        <v>48.7988</v>
      </c>
      <c r="N299" s="342">
        <v>2014.5</v>
      </c>
      <c r="O299" s="342" t="s">
        <v>744</v>
      </c>
      <c r="P299" s="76" t="s">
        <v>36</v>
      </c>
      <c r="Q299" s="347">
        <f>[1]驻信9标!O305</f>
        <v>0</v>
      </c>
      <c r="R299" s="347">
        <f>[1]驻信9标!P305</f>
        <v>0</v>
      </c>
      <c r="S299" s="342" t="s">
        <v>745</v>
      </c>
      <c r="T299" s="325">
        <f>[1]驻信9标!R305</f>
        <v>0</v>
      </c>
      <c r="U299" s="18" t="e">
        <f t="shared" ref="U299:U304" si="25">T299/Q299</f>
        <v>#DIV/0!</v>
      </c>
      <c r="V299" s="25"/>
      <c r="W299" s="25"/>
      <c r="X299" s="25"/>
      <c r="Y299" s="25"/>
      <c r="Z299" s="601" t="s">
        <v>32</v>
      </c>
      <c r="AA299" s="98"/>
    </row>
    <row r="300" spans="1:27" ht="36">
      <c r="A300" s="475"/>
      <c r="B300" s="604"/>
      <c r="C300" s="605"/>
      <c r="D300" s="607"/>
      <c r="E300" s="607"/>
      <c r="F300" s="602"/>
      <c r="G300" s="600"/>
      <c r="H300" s="600"/>
      <c r="I300" s="602"/>
      <c r="J300" s="600"/>
      <c r="K300" s="603"/>
      <c r="L300" s="600"/>
      <c r="M300" s="600"/>
      <c r="N300" s="186" t="s">
        <v>746</v>
      </c>
      <c r="O300" s="342" t="s">
        <v>747</v>
      </c>
      <c r="P300" s="76" t="s">
        <v>27</v>
      </c>
      <c r="Q300" s="347">
        <f>[1]驻信9标!O306</f>
        <v>0</v>
      </c>
      <c r="R300" s="347">
        <f>[1]驻信9标!P306</f>
        <v>0</v>
      </c>
      <c r="S300" s="342" t="s">
        <v>748</v>
      </c>
      <c r="T300" s="325">
        <f>[1]驻信9标!R306</f>
        <v>0</v>
      </c>
      <c r="U300" s="18" t="e">
        <f t="shared" si="25"/>
        <v>#DIV/0!</v>
      </c>
      <c r="V300" s="25"/>
      <c r="W300" s="25"/>
      <c r="X300" s="25"/>
      <c r="Y300" s="25"/>
      <c r="Z300" s="601"/>
      <c r="AA300" s="98"/>
    </row>
    <row r="301" spans="1:27" ht="48" hidden="1">
      <c r="A301" s="475"/>
      <c r="B301" s="339">
        <v>6</v>
      </c>
      <c r="C301" s="346" t="s">
        <v>749</v>
      </c>
      <c r="D301" s="380">
        <v>17969.160500000002</v>
      </c>
      <c r="E301" s="381" t="s">
        <v>2117</v>
      </c>
      <c r="F301" s="187" t="s">
        <v>750</v>
      </c>
      <c r="G301" s="188">
        <v>41.803100000000001</v>
      </c>
      <c r="H301" s="188">
        <v>0.3</v>
      </c>
      <c r="I301" s="187"/>
      <c r="J301" s="188"/>
      <c r="K301" s="307"/>
      <c r="L301" s="188"/>
      <c r="M301" s="188">
        <f t="shared" ref="M301:M304" si="26">SUM(G301,H301,J301,L301)</f>
        <v>42.103099999999998</v>
      </c>
      <c r="N301" s="345" t="s">
        <v>751</v>
      </c>
      <c r="O301" s="345" t="s">
        <v>752</v>
      </c>
      <c r="P301" s="76" t="s">
        <v>36</v>
      </c>
      <c r="Q301" s="190">
        <v>10.6853</v>
      </c>
      <c r="R301" s="190">
        <v>17.3706</v>
      </c>
      <c r="S301" s="345" t="s">
        <v>753</v>
      </c>
      <c r="T301" s="196">
        <v>8</v>
      </c>
      <c r="U301" s="191">
        <f t="shared" si="25"/>
        <v>0.7486921284381346</v>
      </c>
      <c r="V301" s="192">
        <f>Q301</f>
        <v>10.6853</v>
      </c>
      <c r="W301" s="192">
        <f>T301</f>
        <v>8</v>
      </c>
      <c r="X301" s="193">
        <f>W301/V301</f>
        <v>0.7486921284381346</v>
      </c>
      <c r="Y301" s="193">
        <f>W301/M301</f>
        <v>0.19000976175150999</v>
      </c>
      <c r="Z301" s="345" t="s">
        <v>32</v>
      </c>
      <c r="AA301" s="98"/>
    </row>
    <row r="302" spans="1:27" ht="36">
      <c r="A302" s="475"/>
      <c r="B302" s="339">
        <v>7</v>
      </c>
      <c r="C302" s="65" t="s">
        <v>754</v>
      </c>
      <c r="D302" s="380">
        <v>88374.898400000005</v>
      </c>
      <c r="E302" s="381" t="s">
        <v>2118</v>
      </c>
      <c r="F302" s="601" t="s">
        <v>39</v>
      </c>
      <c r="G302" s="600">
        <v>320.04079999999999</v>
      </c>
      <c r="H302" s="600"/>
      <c r="I302" s="601" t="s">
        <v>558</v>
      </c>
      <c r="J302" s="600">
        <v>223.17895999999999</v>
      </c>
      <c r="K302" s="600"/>
      <c r="L302" s="600"/>
      <c r="M302" s="600">
        <f t="shared" si="26"/>
        <v>543.21975999999995</v>
      </c>
      <c r="N302" s="345" t="s">
        <v>755</v>
      </c>
      <c r="O302" s="345" t="s">
        <v>756</v>
      </c>
      <c r="P302" s="76" t="s">
        <v>27</v>
      </c>
      <c r="Q302" s="190">
        <f>[1]仙桃一分部!O307</f>
        <v>0</v>
      </c>
      <c r="R302" s="190">
        <f>[1]仙桃一分部!P307</f>
        <v>0</v>
      </c>
      <c r="S302" s="345" t="s">
        <v>757</v>
      </c>
      <c r="T302" s="196">
        <f>[1]仙桃一分部!R307</f>
        <v>0</v>
      </c>
      <c r="U302" s="194" t="e">
        <f t="shared" si="25"/>
        <v>#DIV/0!</v>
      </c>
      <c r="V302" s="192"/>
      <c r="W302" s="192"/>
      <c r="X302" s="192"/>
      <c r="Y302" s="192"/>
      <c r="Z302" s="345" t="s">
        <v>43</v>
      </c>
      <c r="AA302" s="98"/>
    </row>
    <row r="303" spans="1:27" ht="36">
      <c r="A303" s="475"/>
      <c r="B303" s="339">
        <v>8</v>
      </c>
      <c r="C303" s="346" t="s">
        <v>758</v>
      </c>
      <c r="D303" s="380">
        <v>47565.2</v>
      </c>
      <c r="E303" s="381" t="s">
        <v>2119</v>
      </c>
      <c r="F303" s="601"/>
      <c r="G303" s="600"/>
      <c r="H303" s="600"/>
      <c r="I303" s="601"/>
      <c r="J303" s="600"/>
      <c r="K303" s="600"/>
      <c r="L303" s="600"/>
      <c r="M303" s="600"/>
      <c r="N303" s="342" t="s">
        <v>759</v>
      </c>
      <c r="O303" s="342" t="s">
        <v>756</v>
      </c>
      <c r="P303" s="76" t="s">
        <v>27</v>
      </c>
      <c r="Q303" s="347">
        <f>[1]仙桃三分部!O304</f>
        <v>0</v>
      </c>
      <c r="R303" s="347">
        <f>[1]仙桃三分部!P304</f>
        <v>0</v>
      </c>
      <c r="S303" s="342" t="s">
        <v>760</v>
      </c>
      <c r="T303" s="325">
        <f>[1]仙桃三分部!R304</f>
        <v>0</v>
      </c>
      <c r="U303" s="18" t="e">
        <f t="shared" si="25"/>
        <v>#DIV/0!</v>
      </c>
      <c r="V303" s="25"/>
      <c r="W303" s="25"/>
      <c r="X303" s="25"/>
      <c r="Y303" s="25"/>
      <c r="Z303" s="342" t="s">
        <v>43</v>
      </c>
      <c r="AA303" s="98"/>
    </row>
    <row r="304" spans="1:27" ht="48" hidden="1">
      <c r="A304" s="475"/>
      <c r="B304" s="604">
        <v>9</v>
      </c>
      <c r="C304" s="605" t="s">
        <v>761</v>
      </c>
      <c r="D304" s="606">
        <v>19960</v>
      </c>
      <c r="E304" s="606" t="s">
        <v>2120</v>
      </c>
      <c r="F304" s="602" t="s">
        <v>248</v>
      </c>
      <c r="G304" s="600">
        <v>62.294468000000002</v>
      </c>
      <c r="H304" s="600">
        <v>0.7</v>
      </c>
      <c r="I304" s="602" t="s">
        <v>243</v>
      </c>
      <c r="J304" s="600">
        <v>20.52196932</v>
      </c>
      <c r="K304" s="603" t="s">
        <v>762</v>
      </c>
      <c r="L304" s="600">
        <v>35.928161000000003</v>
      </c>
      <c r="M304" s="600">
        <f t="shared" si="26"/>
        <v>119.44459832000001</v>
      </c>
      <c r="N304" s="345" t="s">
        <v>763</v>
      </c>
      <c r="O304" s="345" t="s">
        <v>764</v>
      </c>
      <c r="P304" s="76" t="s">
        <v>36</v>
      </c>
      <c r="Q304" s="190">
        <f>[1]龙永!O303</f>
        <v>0</v>
      </c>
      <c r="R304" s="190">
        <f>[1]龙永!P303</f>
        <v>0</v>
      </c>
      <c r="S304" s="345" t="s">
        <v>765</v>
      </c>
      <c r="T304" s="196">
        <f>[1]龙永!R303</f>
        <v>0</v>
      </c>
      <c r="U304" s="194" t="e">
        <f t="shared" si="25"/>
        <v>#DIV/0!</v>
      </c>
      <c r="V304" s="192"/>
      <c r="W304" s="192"/>
      <c r="X304" s="192"/>
      <c r="Y304" s="192"/>
      <c r="Z304" s="609" t="s">
        <v>148</v>
      </c>
      <c r="AA304" s="98"/>
    </row>
    <row r="305" spans="1:27" ht="24">
      <c r="A305" s="475"/>
      <c r="B305" s="604"/>
      <c r="C305" s="605"/>
      <c r="D305" s="608"/>
      <c r="E305" s="608"/>
      <c r="F305" s="602"/>
      <c r="G305" s="600"/>
      <c r="H305" s="600"/>
      <c r="I305" s="602"/>
      <c r="J305" s="600"/>
      <c r="K305" s="603"/>
      <c r="L305" s="600"/>
      <c r="M305" s="600"/>
      <c r="N305" s="345" t="s">
        <v>766</v>
      </c>
      <c r="O305" s="345" t="s">
        <v>767</v>
      </c>
      <c r="P305" s="76" t="s">
        <v>27</v>
      </c>
      <c r="Q305" s="190">
        <f>[1]龙永!O304</f>
        <v>0</v>
      </c>
      <c r="R305" s="190">
        <f>[1]龙永!P304</f>
        <v>0</v>
      </c>
      <c r="S305" s="345" t="s">
        <v>768</v>
      </c>
      <c r="T305" s="196"/>
      <c r="U305" s="194"/>
      <c r="V305" s="192"/>
      <c r="W305" s="192"/>
      <c r="X305" s="192"/>
      <c r="Y305" s="192"/>
      <c r="Z305" s="609"/>
      <c r="AA305" s="98"/>
    </row>
    <row r="306" spans="1:27" ht="24" hidden="1">
      <c r="A306" s="475"/>
      <c r="B306" s="604"/>
      <c r="C306" s="605"/>
      <c r="D306" s="607"/>
      <c r="E306" s="607"/>
      <c r="F306" s="602"/>
      <c r="G306" s="600"/>
      <c r="H306" s="600"/>
      <c r="I306" s="602"/>
      <c r="J306" s="600"/>
      <c r="K306" s="603"/>
      <c r="L306" s="600"/>
      <c r="M306" s="600"/>
      <c r="N306" s="195" t="s">
        <v>769</v>
      </c>
      <c r="O306" s="195" t="s">
        <v>770</v>
      </c>
      <c r="P306" s="76" t="s">
        <v>36</v>
      </c>
      <c r="Q306" s="190">
        <f>[1]龙永!O305</f>
        <v>0</v>
      </c>
      <c r="R306" s="190">
        <f>[1]龙永!P305</f>
        <v>0</v>
      </c>
      <c r="S306" s="345" t="s">
        <v>768</v>
      </c>
      <c r="T306" s="196"/>
      <c r="U306" s="194"/>
      <c r="V306" s="192"/>
      <c r="W306" s="192"/>
      <c r="X306" s="192"/>
      <c r="Y306" s="192"/>
      <c r="Z306" s="609"/>
      <c r="AA306" s="98"/>
    </row>
    <row r="307" spans="1:27" ht="36" hidden="1">
      <c r="A307" s="475"/>
      <c r="B307" s="339">
        <v>10</v>
      </c>
      <c r="C307" s="346" t="s">
        <v>771</v>
      </c>
      <c r="D307" s="378">
        <v>40500</v>
      </c>
      <c r="E307" s="379" t="s">
        <v>2121</v>
      </c>
      <c r="F307" s="343" t="s">
        <v>243</v>
      </c>
      <c r="G307" s="325">
        <v>152.2595</v>
      </c>
      <c r="H307" s="325">
        <v>1</v>
      </c>
      <c r="I307" s="343"/>
      <c r="J307" s="325"/>
      <c r="K307" s="341" t="s">
        <v>772</v>
      </c>
      <c r="L307" s="325">
        <v>40.511211000000003</v>
      </c>
      <c r="M307" s="325">
        <f t="shared" ref="M307:M309" si="27">SUM(G307,H307,J307,L307)</f>
        <v>193.77071100000001</v>
      </c>
      <c r="N307" s="342" t="s">
        <v>731</v>
      </c>
      <c r="O307" s="342"/>
      <c r="P307" s="342"/>
      <c r="Q307" s="347"/>
      <c r="R307" s="347"/>
      <c r="S307" s="342"/>
      <c r="T307" s="325"/>
      <c r="U307" s="18"/>
      <c r="V307" s="25"/>
      <c r="W307" s="25"/>
      <c r="X307" s="25"/>
      <c r="Y307" s="25"/>
      <c r="Z307" s="342" t="s">
        <v>148</v>
      </c>
      <c r="AA307" s="98"/>
    </row>
    <row r="308" spans="1:27" ht="36" hidden="1">
      <c r="A308" s="475"/>
      <c r="B308" s="339">
        <v>11</v>
      </c>
      <c r="C308" s="346" t="s">
        <v>773</v>
      </c>
      <c r="D308" s="380">
        <v>20515</v>
      </c>
      <c r="E308" s="381" t="s">
        <v>2122</v>
      </c>
      <c r="F308" s="343" t="s">
        <v>31</v>
      </c>
      <c r="G308" s="325">
        <v>303.7</v>
      </c>
      <c r="H308" s="325">
        <v>2.8</v>
      </c>
      <c r="I308" s="343"/>
      <c r="J308" s="325"/>
      <c r="K308" s="341" t="s">
        <v>774</v>
      </c>
      <c r="L308" s="325">
        <v>252.9</v>
      </c>
      <c r="M308" s="325">
        <f t="shared" si="27"/>
        <v>559.4</v>
      </c>
      <c r="N308" s="342" t="s">
        <v>731</v>
      </c>
      <c r="O308" s="342"/>
      <c r="P308" s="342"/>
      <c r="Q308" s="347"/>
      <c r="R308" s="347"/>
      <c r="S308" s="342"/>
      <c r="T308" s="325"/>
      <c r="U308" s="18"/>
      <c r="V308" s="25"/>
      <c r="W308" s="25"/>
      <c r="X308" s="25"/>
      <c r="Y308" s="25"/>
      <c r="Z308" s="342" t="s">
        <v>148</v>
      </c>
      <c r="AA308" s="98"/>
    </row>
    <row r="309" spans="1:27" ht="24" hidden="1">
      <c r="A309" s="475"/>
      <c r="B309" s="604">
        <v>12</v>
      </c>
      <c r="C309" s="605" t="s">
        <v>775</v>
      </c>
      <c r="D309" s="606">
        <v>29651</v>
      </c>
      <c r="E309" s="606" t="s">
        <v>2123</v>
      </c>
      <c r="F309" s="602" t="s">
        <v>776</v>
      </c>
      <c r="G309" s="600">
        <v>94.051883000000004</v>
      </c>
      <c r="H309" s="600">
        <v>0.7</v>
      </c>
      <c r="I309" s="602" t="s">
        <v>776</v>
      </c>
      <c r="J309" s="600">
        <v>34.933557</v>
      </c>
      <c r="K309" s="603" t="s">
        <v>144</v>
      </c>
      <c r="L309" s="600">
        <v>53.372219999999999</v>
      </c>
      <c r="M309" s="600">
        <f t="shared" si="27"/>
        <v>183.05766</v>
      </c>
      <c r="N309" s="342" t="s">
        <v>777</v>
      </c>
      <c r="O309" s="342" t="s">
        <v>778</v>
      </c>
      <c r="P309" s="76" t="s">
        <v>36</v>
      </c>
      <c r="Q309" s="347">
        <f>[1]邵坪!O302</f>
        <v>0</v>
      </c>
      <c r="R309" s="347">
        <f>[1]邵坪!P302</f>
        <v>0</v>
      </c>
      <c r="S309" s="342">
        <v>2014.9</v>
      </c>
      <c r="T309" s="325">
        <f>[1]邵坪!R302</f>
        <v>0</v>
      </c>
      <c r="U309" s="18" t="e">
        <f t="shared" ref="U309:U313" si="28">T309/Q309</f>
        <v>#DIV/0!</v>
      </c>
      <c r="V309" s="25"/>
      <c r="W309" s="25"/>
      <c r="X309" s="25"/>
      <c r="Y309" s="25"/>
      <c r="Z309" s="601" t="s">
        <v>148</v>
      </c>
      <c r="AA309" s="98"/>
    </row>
    <row r="310" spans="1:27" ht="24">
      <c r="A310" s="475"/>
      <c r="B310" s="604"/>
      <c r="C310" s="605"/>
      <c r="D310" s="607"/>
      <c r="E310" s="607"/>
      <c r="F310" s="602"/>
      <c r="G310" s="600"/>
      <c r="H310" s="600"/>
      <c r="I310" s="602"/>
      <c r="J310" s="600"/>
      <c r="K310" s="603"/>
      <c r="L310" s="600"/>
      <c r="M310" s="600"/>
      <c r="N310" s="342" t="s">
        <v>779</v>
      </c>
      <c r="O310" s="342" t="s">
        <v>780</v>
      </c>
      <c r="P310" s="76" t="s">
        <v>27</v>
      </c>
      <c r="Q310" s="347">
        <f>[1]邵坪!O303</f>
        <v>0</v>
      </c>
      <c r="R310" s="347">
        <f>[1]邵坪!P303</f>
        <v>0</v>
      </c>
      <c r="S310" s="342" t="s">
        <v>781</v>
      </c>
      <c r="T310" s="325">
        <f>[1]邵坪!R303</f>
        <v>0</v>
      </c>
      <c r="U310" s="18" t="e">
        <f t="shared" si="28"/>
        <v>#DIV/0!</v>
      </c>
      <c r="V310" s="25"/>
      <c r="W310" s="25"/>
      <c r="X310" s="25"/>
      <c r="Y310" s="25"/>
      <c r="Z310" s="601"/>
      <c r="AA310" s="98"/>
    </row>
    <row r="311" spans="1:27" ht="36" hidden="1">
      <c r="A311" s="475"/>
      <c r="B311" s="339">
        <v>13</v>
      </c>
      <c r="C311" s="346" t="s">
        <v>782</v>
      </c>
      <c r="D311" s="380">
        <v>54696</v>
      </c>
      <c r="E311" s="381" t="s">
        <v>2124</v>
      </c>
      <c r="F311" s="343" t="s">
        <v>783</v>
      </c>
      <c r="G311" s="325">
        <f>(3063161.32-40000)/10000</f>
        <v>302.31613199999998</v>
      </c>
      <c r="H311" s="325">
        <f>40000/10000</f>
        <v>4</v>
      </c>
      <c r="I311" s="343" t="s">
        <v>31</v>
      </c>
      <c r="J311" s="325">
        <f>437520/10000</f>
        <v>43.752000000000002</v>
      </c>
      <c r="K311" s="341"/>
      <c r="L311" s="325"/>
      <c r="M311" s="188">
        <f t="shared" ref="M311:M319" si="29">SUM(G311,H311,J311,L311)</f>
        <v>350.06813199999999</v>
      </c>
      <c r="N311" s="342" t="s">
        <v>731</v>
      </c>
      <c r="O311" s="342"/>
      <c r="P311" s="342"/>
      <c r="Q311" s="347"/>
      <c r="R311" s="347"/>
      <c r="S311" s="342"/>
      <c r="T311" s="325"/>
      <c r="U311" s="18"/>
      <c r="V311" s="25"/>
      <c r="W311" s="25"/>
      <c r="X311" s="25"/>
      <c r="Y311" s="25"/>
      <c r="Z311" s="342" t="s">
        <v>247</v>
      </c>
      <c r="AA311" s="98"/>
    </row>
    <row r="312" spans="1:27" ht="48" hidden="1">
      <c r="A312" s="475"/>
      <c r="B312" s="604">
        <v>14</v>
      </c>
      <c r="C312" s="601" t="s">
        <v>784</v>
      </c>
      <c r="D312" s="614">
        <v>29654</v>
      </c>
      <c r="E312" s="614" t="s">
        <v>2125</v>
      </c>
      <c r="F312" s="602" t="s">
        <v>785</v>
      </c>
      <c r="G312" s="600">
        <v>153.17679999999999</v>
      </c>
      <c r="H312" s="600">
        <v>0.08</v>
      </c>
      <c r="I312" s="602" t="s">
        <v>772</v>
      </c>
      <c r="J312" s="600">
        <v>20.444624000000001</v>
      </c>
      <c r="K312" s="603"/>
      <c r="L312" s="600"/>
      <c r="M312" s="600">
        <f t="shared" si="29"/>
        <v>173.701424</v>
      </c>
      <c r="N312" s="342" t="s">
        <v>786</v>
      </c>
      <c r="O312" s="342" t="s">
        <v>787</v>
      </c>
      <c r="P312" s="76" t="s">
        <v>36</v>
      </c>
      <c r="Q312" s="347">
        <v>40</v>
      </c>
      <c r="R312" s="347">
        <v>200</v>
      </c>
      <c r="S312" s="342" t="s">
        <v>788</v>
      </c>
      <c r="T312" s="325">
        <v>48</v>
      </c>
      <c r="U312" s="18">
        <f t="shared" si="28"/>
        <v>1.2</v>
      </c>
      <c r="V312" s="610">
        <f>SUM(Q312:Q313)</f>
        <v>45</v>
      </c>
      <c r="W312" s="610">
        <f>SUM(T312:T313)</f>
        <v>54.120072</v>
      </c>
      <c r="X312" s="578">
        <f>W312/V312</f>
        <v>1.2026682666666666</v>
      </c>
      <c r="Y312" s="578">
        <f>W312/M312</f>
        <v>0.3115695355496913</v>
      </c>
      <c r="Z312" s="601" t="s">
        <v>247</v>
      </c>
      <c r="AA312" s="98"/>
    </row>
    <row r="313" spans="1:27" ht="48">
      <c r="A313" s="475"/>
      <c r="B313" s="604"/>
      <c r="C313" s="601"/>
      <c r="D313" s="615"/>
      <c r="E313" s="615"/>
      <c r="F313" s="602"/>
      <c r="G313" s="600"/>
      <c r="H313" s="600"/>
      <c r="I313" s="602"/>
      <c r="J313" s="600"/>
      <c r="K313" s="603"/>
      <c r="L313" s="600"/>
      <c r="M313" s="600"/>
      <c r="N313" s="342" t="s">
        <v>789</v>
      </c>
      <c r="O313" s="342" t="s">
        <v>756</v>
      </c>
      <c r="P313" s="76" t="s">
        <v>27</v>
      </c>
      <c r="Q313" s="347">
        <v>5</v>
      </c>
      <c r="R313" s="347">
        <v>20</v>
      </c>
      <c r="S313" s="342" t="s">
        <v>790</v>
      </c>
      <c r="T313" s="325">
        <v>6.1200720000000004</v>
      </c>
      <c r="U313" s="18">
        <f t="shared" si="28"/>
        <v>1.2240144000000002</v>
      </c>
      <c r="V313" s="577"/>
      <c r="W313" s="577"/>
      <c r="X313" s="580"/>
      <c r="Y313" s="580"/>
      <c r="Z313" s="601"/>
      <c r="AA313" s="98"/>
    </row>
    <row r="314" spans="1:27" ht="48" hidden="1">
      <c r="A314" s="475"/>
      <c r="B314" s="339">
        <v>15</v>
      </c>
      <c r="C314" s="346" t="s">
        <v>791</v>
      </c>
      <c r="D314" s="378">
        <v>31482</v>
      </c>
      <c r="E314" s="379" t="s">
        <v>2125</v>
      </c>
      <c r="F314" s="343" t="s">
        <v>792</v>
      </c>
      <c r="G314" s="325">
        <v>182.46100000000001</v>
      </c>
      <c r="H314" s="325" t="s">
        <v>793</v>
      </c>
      <c r="I314" s="343"/>
      <c r="J314" s="325"/>
      <c r="K314" s="341"/>
      <c r="L314" s="325"/>
      <c r="M314" s="325">
        <f t="shared" si="29"/>
        <v>182.46100000000001</v>
      </c>
      <c r="N314" s="342" t="s">
        <v>731</v>
      </c>
      <c r="O314" s="342"/>
      <c r="P314" s="342"/>
      <c r="Q314" s="347"/>
      <c r="R314" s="347"/>
      <c r="S314" s="342"/>
      <c r="T314" s="325"/>
      <c r="U314" s="18"/>
      <c r="V314" s="25"/>
      <c r="W314" s="25"/>
      <c r="X314" s="25"/>
      <c r="Y314" s="25"/>
      <c r="Z314" s="342" t="s">
        <v>247</v>
      </c>
      <c r="AA314" s="98"/>
    </row>
    <row r="315" spans="1:27" ht="36" hidden="1">
      <c r="A315" s="475"/>
      <c r="B315" s="339">
        <v>16</v>
      </c>
      <c r="C315" s="346" t="s">
        <v>794</v>
      </c>
      <c r="D315" s="380">
        <v>54413</v>
      </c>
      <c r="E315" s="381" t="s">
        <v>2126</v>
      </c>
      <c r="F315" s="343" t="s">
        <v>39</v>
      </c>
      <c r="G315" s="325">
        <v>259.11</v>
      </c>
      <c r="H315" s="325" t="s">
        <v>795</v>
      </c>
      <c r="I315" s="343" t="s">
        <v>250</v>
      </c>
      <c r="J315" s="325">
        <v>102.024</v>
      </c>
      <c r="K315" s="341"/>
      <c r="L315" s="325"/>
      <c r="M315" s="325">
        <f t="shared" si="29"/>
        <v>361.13400000000001</v>
      </c>
      <c r="N315" s="342" t="s">
        <v>731</v>
      </c>
      <c r="O315" s="342"/>
      <c r="P315" s="342"/>
      <c r="Q315" s="347"/>
      <c r="R315" s="347"/>
      <c r="S315" s="342"/>
      <c r="T315" s="325"/>
      <c r="U315" s="18"/>
      <c r="V315" s="25"/>
      <c r="W315" s="25"/>
      <c r="X315" s="25"/>
      <c r="Y315" s="25"/>
      <c r="Z315" s="342" t="s">
        <v>247</v>
      </c>
      <c r="AA315" s="98"/>
    </row>
    <row r="316" spans="1:27" ht="36" hidden="1">
      <c r="A316" s="475"/>
      <c r="B316" s="339">
        <v>17</v>
      </c>
      <c r="C316" s="346" t="s">
        <v>796</v>
      </c>
      <c r="D316" s="378">
        <v>10891</v>
      </c>
      <c r="E316" s="379" t="s">
        <v>2127</v>
      </c>
      <c r="F316" s="343" t="s">
        <v>797</v>
      </c>
      <c r="G316" s="325">
        <v>23.956727000000001</v>
      </c>
      <c r="H316" s="325">
        <v>5</v>
      </c>
      <c r="I316" s="343" t="s">
        <v>31</v>
      </c>
      <c r="J316" s="325">
        <v>9.9</v>
      </c>
      <c r="K316" s="341"/>
      <c r="L316" s="325"/>
      <c r="M316" s="325">
        <f t="shared" si="29"/>
        <v>38.856726999999999</v>
      </c>
      <c r="N316" s="342" t="s">
        <v>798</v>
      </c>
      <c r="O316" s="342" t="s">
        <v>799</v>
      </c>
      <c r="P316" s="76" t="s">
        <v>36</v>
      </c>
      <c r="Q316" s="347">
        <v>76</v>
      </c>
      <c r="R316" s="347">
        <v>118.44540000000001</v>
      </c>
      <c r="S316" s="342" t="s">
        <v>800</v>
      </c>
      <c r="T316" s="325">
        <v>53</v>
      </c>
      <c r="U316" s="18">
        <f t="shared" ref="U316:U321" si="30">T316/Q316</f>
        <v>0.69736842105263153</v>
      </c>
      <c r="V316" s="347">
        <f>Q316</f>
        <v>76</v>
      </c>
      <c r="W316" s="347">
        <f>T316</f>
        <v>53</v>
      </c>
      <c r="X316" s="347">
        <f>W316/V316</f>
        <v>0.69736842105263153</v>
      </c>
      <c r="Y316" s="347">
        <f>W316/M316</f>
        <v>1.363985185885574</v>
      </c>
      <c r="Z316" s="342" t="s">
        <v>540</v>
      </c>
      <c r="AA316" s="98"/>
    </row>
    <row r="317" spans="1:27" ht="36" hidden="1">
      <c r="A317" s="475"/>
      <c r="B317" s="339">
        <v>18</v>
      </c>
      <c r="C317" s="346" t="s">
        <v>801</v>
      </c>
      <c r="D317" s="380">
        <v>24997</v>
      </c>
      <c r="E317" s="381" t="s">
        <v>2128</v>
      </c>
      <c r="F317" s="343" t="s">
        <v>802</v>
      </c>
      <c r="G317" s="325">
        <v>56.597000000000001</v>
      </c>
      <c r="H317" s="325">
        <v>0.25</v>
      </c>
      <c r="I317" s="74" t="s">
        <v>803</v>
      </c>
      <c r="J317" s="325">
        <f>(99215+33286+17499)/10000</f>
        <v>15</v>
      </c>
      <c r="K317" s="341"/>
      <c r="L317" s="325"/>
      <c r="M317" s="325">
        <f t="shared" si="29"/>
        <v>71.847000000000008</v>
      </c>
      <c r="N317" s="342" t="s">
        <v>804</v>
      </c>
      <c r="O317" s="342" t="s">
        <v>805</v>
      </c>
      <c r="P317" s="76" t="s">
        <v>36</v>
      </c>
      <c r="Q317" s="347">
        <v>3.2494999999999998</v>
      </c>
      <c r="R317" s="347">
        <v>125.70440000000001</v>
      </c>
      <c r="S317" s="342" t="s">
        <v>806</v>
      </c>
      <c r="T317" s="325">
        <v>7</v>
      </c>
      <c r="U317" s="18">
        <f t="shared" si="30"/>
        <v>2.1541775657793507</v>
      </c>
      <c r="V317" s="347">
        <f>Q317</f>
        <v>3.2494999999999998</v>
      </c>
      <c r="W317" s="347">
        <f>T317</f>
        <v>7</v>
      </c>
      <c r="X317" s="347">
        <f>W317/V317</f>
        <v>2.1541775657793507</v>
      </c>
      <c r="Y317" s="347">
        <f>W317/M317</f>
        <v>9.7429259398443907E-2</v>
      </c>
      <c r="Z317" s="342" t="s">
        <v>540</v>
      </c>
      <c r="AA317" s="98"/>
    </row>
    <row r="318" spans="1:27" ht="24" hidden="1">
      <c r="A318" s="475"/>
      <c r="B318" s="339">
        <v>19</v>
      </c>
      <c r="C318" s="346" t="s">
        <v>807</v>
      </c>
      <c r="D318" s="380">
        <v>42213</v>
      </c>
      <c r="E318" s="381" t="s">
        <v>2129</v>
      </c>
      <c r="F318" s="345" t="s">
        <v>808</v>
      </c>
      <c r="G318" s="196">
        <v>55</v>
      </c>
      <c r="H318" s="196"/>
      <c r="I318" s="345" t="s">
        <v>808</v>
      </c>
      <c r="J318" s="196" t="s">
        <v>1935</v>
      </c>
      <c r="K318" s="196"/>
      <c r="L318" s="196"/>
      <c r="M318" s="308">
        <f t="shared" si="29"/>
        <v>55</v>
      </c>
      <c r="N318" s="345" t="s">
        <v>731</v>
      </c>
      <c r="O318" s="342"/>
      <c r="P318" s="342"/>
      <c r="Q318" s="347"/>
      <c r="R318" s="347"/>
      <c r="S318" s="342"/>
      <c r="T318" s="325"/>
      <c r="U318" s="18"/>
      <c r="V318" s="25"/>
      <c r="W318" s="25"/>
      <c r="X318" s="25"/>
      <c r="Y318" s="25"/>
      <c r="Z318" s="342" t="s">
        <v>540</v>
      </c>
      <c r="AA318" s="98"/>
    </row>
    <row r="319" spans="1:27" ht="24" hidden="1">
      <c r="A319" s="475"/>
      <c r="B319" s="604">
        <v>20</v>
      </c>
      <c r="C319" s="611" t="s">
        <v>809</v>
      </c>
      <c r="D319" s="606">
        <v>89559</v>
      </c>
      <c r="E319" s="612" t="s">
        <v>2130</v>
      </c>
      <c r="F319" s="601" t="s">
        <v>810</v>
      </c>
      <c r="G319" s="600">
        <v>1601.3959460000001</v>
      </c>
      <c r="H319" s="600"/>
      <c r="I319" s="625" t="s">
        <v>39</v>
      </c>
      <c r="J319" s="600">
        <v>745.47739999999999</v>
      </c>
      <c r="K319" s="600"/>
      <c r="L319" s="600"/>
      <c r="M319" s="600">
        <f t="shared" si="29"/>
        <v>2346.8733460000003</v>
      </c>
      <c r="N319" s="342" t="s">
        <v>811</v>
      </c>
      <c r="O319" s="342" t="s">
        <v>812</v>
      </c>
      <c r="P319" s="76" t="s">
        <v>36</v>
      </c>
      <c r="Q319" s="347">
        <f>[1]万利3分部!O307</f>
        <v>0</v>
      </c>
      <c r="R319" s="347">
        <v>1.7728999999999999</v>
      </c>
      <c r="S319" s="342" t="s">
        <v>813</v>
      </c>
      <c r="T319" s="325">
        <f>[1]万利3分部!R307</f>
        <v>0</v>
      </c>
      <c r="U319" s="18" t="e">
        <f t="shared" si="30"/>
        <v>#DIV/0!</v>
      </c>
      <c r="V319" s="575"/>
      <c r="W319" s="575"/>
      <c r="X319" s="575"/>
      <c r="Y319" s="575"/>
      <c r="Z319" s="601" t="s">
        <v>814</v>
      </c>
      <c r="AA319" s="98"/>
    </row>
    <row r="320" spans="1:27" ht="24">
      <c r="A320" s="475"/>
      <c r="B320" s="604"/>
      <c r="C320" s="611"/>
      <c r="D320" s="607"/>
      <c r="E320" s="613"/>
      <c r="F320" s="601"/>
      <c r="G320" s="600"/>
      <c r="H320" s="600"/>
      <c r="I320" s="625"/>
      <c r="J320" s="600"/>
      <c r="K320" s="600"/>
      <c r="L320" s="600"/>
      <c r="M320" s="600"/>
      <c r="N320" s="345" t="s">
        <v>815</v>
      </c>
      <c r="O320" s="345" t="s">
        <v>756</v>
      </c>
      <c r="P320" s="76" t="s">
        <v>27</v>
      </c>
      <c r="Q320" s="190">
        <f>[1]万利3分部!O308</f>
        <v>0</v>
      </c>
      <c r="R320" s="190">
        <f>[1]万利3分部!P308</f>
        <v>0</v>
      </c>
      <c r="S320" s="345" t="s">
        <v>134</v>
      </c>
      <c r="T320" s="196">
        <f>[1]万利3分部!R308</f>
        <v>0</v>
      </c>
      <c r="U320" s="194" t="e">
        <f t="shared" si="30"/>
        <v>#DIV/0!</v>
      </c>
      <c r="V320" s="576"/>
      <c r="W320" s="576"/>
      <c r="X320" s="576"/>
      <c r="Y320" s="576"/>
      <c r="Z320" s="601"/>
      <c r="AA320" s="98"/>
    </row>
    <row r="321" spans="1:27" ht="24" hidden="1">
      <c r="A321" s="475"/>
      <c r="B321" s="604">
        <v>21</v>
      </c>
      <c r="C321" s="611" t="s">
        <v>816</v>
      </c>
      <c r="D321" s="606">
        <v>64833</v>
      </c>
      <c r="E321" s="612" t="s">
        <v>2131</v>
      </c>
      <c r="F321" s="601"/>
      <c r="G321" s="600"/>
      <c r="H321" s="600"/>
      <c r="I321" s="625"/>
      <c r="J321" s="600"/>
      <c r="K321" s="600"/>
      <c r="L321" s="600"/>
      <c r="M321" s="600"/>
      <c r="N321" s="345" t="s">
        <v>817</v>
      </c>
      <c r="O321" s="345" t="s">
        <v>818</v>
      </c>
      <c r="P321" s="76" t="s">
        <v>36</v>
      </c>
      <c r="Q321" s="190">
        <f>[1]万利7分部!O307</f>
        <v>0</v>
      </c>
      <c r="R321" s="190">
        <f>[1]万利7分部!P307</f>
        <v>0</v>
      </c>
      <c r="S321" s="345" t="s">
        <v>819</v>
      </c>
      <c r="T321" s="196">
        <f>[1]万利7分部!R307</f>
        <v>0</v>
      </c>
      <c r="U321" s="194" t="e">
        <f t="shared" si="30"/>
        <v>#DIV/0!</v>
      </c>
      <c r="V321" s="576"/>
      <c r="W321" s="576"/>
      <c r="X321" s="576"/>
      <c r="Y321" s="576"/>
      <c r="Z321" s="609" t="s">
        <v>814</v>
      </c>
      <c r="AA321" s="98"/>
    </row>
    <row r="322" spans="1:27" ht="24">
      <c r="A322" s="475"/>
      <c r="B322" s="604"/>
      <c r="C322" s="611"/>
      <c r="D322" s="607"/>
      <c r="E322" s="613"/>
      <c r="F322" s="601"/>
      <c r="G322" s="600"/>
      <c r="H322" s="600"/>
      <c r="I322" s="625"/>
      <c r="J322" s="600"/>
      <c r="K322" s="600"/>
      <c r="L322" s="600"/>
      <c r="M322" s="600"/>
      <c r="N322" s="345" t="s">
        <v>820</v>
      </c>
      <c r="O322" s="345" t="s">
        <v>756</v>
      </c>
      <c r="P322" s="76" t="s">
        <v>27</v>
      </c>
      <c r="Q322" s="190">
        <f>[1]万利7分部!O308</f>
        <v>0</v>
      </c>
      <c r="R322" s="190">
        <f>[1]万利7分部!P308</f>
        <v>0</v>
      </c>
      <c r="S322" s="345" t="s">
        <v>768</v>
      </c>
      <c r="T322" s="196"/>
      <c r="U322" s="194"/>
      <c r="V322" s="577"/>
      <c r="W322" s="577"/>
      <c r="X322" s="577"/>
      <c r="Y322" s="577"/>
      <c r="Z322" s="609"/>
      <c r="AA322" s="98"/>
    </row>
    <row r="323" spans="1:27" ht="48" hidden="1">
      <c r="A323" s="475"/>
      <c r="B323" s="339">
        <v>22</v>
      </c>
      <c r="C323" s="346" t="s">
        <v>821</v>
      </c>
      <c r="D323" s="380">
        <v>22846</v>
      </c>
      <c r="E323" s="381" t="s">
        <v>2132</v>
      </c>
      <c r="F323" s="343" t="s">
        <v>31</v>
      </c>
      <c r="G323" s="325"/>
      <c r="H323" s="325"/>
      <c r="I323" s="343" t="s">
        <v>822</v>
      </c>
      <c r="J323" s="325">
        <v>14.850199999999999</v>
      </c>
      <c r="K323" s="341"/>
      <c r="L323" s="325"/>
      <c r="M323" s="325">
        <f t="shared" ref="M323:M329" si="31">SUM(G323,H323,J323,L323)</f>
        <v>14.850199999999999</v>
      </c>
      <c r="N323" s="195" t="s">
        <v>823</v>
      </c>
      <c r="O323" s="345" t="s">
        <v>824</v>
      </c>
      <c r="P323" s="76" t="s">
        <v>36</v>
      </c>
      <c r="Q323" s="190">
        <f>[1]宁高!O302</f>
        <v>0</v>
      </c>
      <c r="R323" s="190">
        <f>[1]宁高!P302</f>
        <v>0</v>
      </c>
      <c r="S323" s="345" t="s">
        <v>825</v>
      </c>
      <c r="T323" s="196"/>
      <c r="U323" s="194"/>
      <c r="V323" s="192"/>
      <c r="W323" s="192"/>
      <c r="X323" s="192"/>
      <c r="Y323" s="192"/>
      <c r="Z323" s="342" t="s">
        <v>826</v>
      </c>
      <c r="AA323" s="98"/>
    </row>
    <row r="324" spans="1:27" ht="36" hidden="1">
      <c r="A324" s="475"/>
      <c r="B324" s="339">
        <v>23</v>
      </c>
      <c r="C324" s="346" t="s">
        <v>827</v>
      </c>
      <c r="D324" s="378">
        <v>13520.64</v>
      </c>
      <c r="E324" s="379" t="s">
        <v>2133</v>
      </c>
      <c r="F324" s="343" t="s">
        <v>543</v>
      </c>
      <c r="G324" s="325">
        <v>14.1031</v>
      </c>
      <c r="H324" s="325"/>
      <c r="I324" s="343" t="s">
        <v>543</v>
      </c>
      <c r="J324" s="325">
        <v>15.5487</v>
      </c>
      <c r="K324" s="341"/>
      <c r="L324" s="325"/>
      <c r="M324" s="188">
        <f t="shared" si="31"/>
        <v>29.651800000000001</v>
      </c>
      <c r="N324" s="342" t="s">
        <v>731</v>
      </c>
      <c r="O324" s="342"/>
      <c r="P324" s="342"/>
      <c r="Q324" s="347"/>
      <c r="R324" s="347"/>
      <c r="S324" s="342"/>
      <c r="T324" s="325"/>
      <c r="U324" s="18"/>
      <c r="V324" s="25"/>
      <c r="W324" s="25"/>
      <c r="X324" s="25"/>
      <c r="Y324" s="25"/>
      <c r="Z324" s="342" t="s">
        <v>826</v>
      </c>
      <c r="AA324" s="98"/>
    </row>
    <row r="325" spans="1:27" ht="24" hidden="1">
      <c r="A325" s="475"/>
      <c r="B325" s="339">
        <v>24</v>
      </c>
      <c r="C325" s="346" t="s">
        <v>828</v>
      </c>
      <c r="D325" s="380">
        <v>14695</v>
      </c>
      <c r="E325" s="381" t="s">
        <v>2134</v>
      </c>
      <c r="F325" s="343"/>
      <c r="G325" s="325"/>
      <c r="H325" s="325"/>
      <c r="I325" s="187" t="s">
        <v>250</v>
      </c>
      <c r="J325" s="188">
        <v>14</v>
      </c>
      <c r="K325" s="307"/>
      <c r="L325" s="188"/>
      <c r="M325" s="325">
        <f t="shared" si="31"/>
        <v>14</v>
      </c>
      <c r="N325" s="342" t="s">
        <v>731</v>
      </c>
      <c r="O325" s="342"/>
      <c r="P325" s="342"/>
      <c r="Q325" s="347"/>
      <c r="R325" s="347"/>
      <c r="S325" s="342"/>
      <c r="T325" s="325"/>
      <c r="U325" s="18"/>
      <c r="V325" s="25"/>
      <c r="W325" s="25"/>
      <c r="X325" s="25"/>
      <c r="Y325" s="25"/>
      <c r="Z325" s="342" t="s">
        <v>826</v>
      </c>
      <c r="AA325" s="98"/>
    </row>
    <row r="326" spans="1:27" ht="24" hidden="1">
      <c r="A326" s="475"/>
      <c r="B326" s="339">
        <v>25</v>
      </c>
      <c r="C326" s="346" t="s">
        <v>829</v>
      </c>
      <c r="D326" s="380">
        <v>28886</v>
      </c>
      <c r="E326" s="381" t="s">
        <v>2135</v>
      </c>
      <c r="F326" s="343" t="s">
        <v>830</v>
      </c>
      <c r="G326" s="325">
        <v>28.8855</v>
      </c>
      <c r="H326" s="325">
        <v>0</v>
      </c>
      <c r="I326" s="343" t="s">
        <v>39</v>
      </c>
      <c r="J326" s="325">
        <v>11.5542</v>
      </c>
      <c r="K326" s="341"/>
      <c r="L326" s="325"/>
      <c r="M326" s="325">
        <f t="shared" si="31"/>
        <v>40.439700000000002</v>
      </c>
      <c r="N326" s="345" t="s">
        <v>831</v>
      </c>
      <c r="O326" s="345" t="s">
        <v>832</v>
      </c>
      <c r="P326" s="76" t="s">
        <v>36</v>
      </c>
      <c r="Q326" s="190">
        <v>0</v>
      </c>
      <c r="R326" s="190">
        <v>15</v>
      </c>
      <c r="S326" s="345" t="s">
        <v>825</v>
      </c>
      <c r="T326" s="196"/>
      <c r="U326" s="194"/>
      <c r="V326" s="192"/>
      <c r="W326" s="192"/>
      <c r="X326" s="192"/>
      <c r="Y326" s="192"/>
      <c r="Z326" s="345" t="s">
        <v>826</v>
      </c>
      <c r="AA326" s="98"/>
    </row>
    <row r="327" spans="1:27" ht="48" hidden="1">
      <c r="A327" s="475"/>
      <c r="B327" s="339">
        <v>26</v>
      </c>
      <c r="C327" s="346" t="s">
        <v>833</v>
      </c>
      <c r="D327" s="380">
        <v>33822</v>
      </c>
      <c r="E327" s="381" t="s">
        <v>2136</v>
      </c>
      <c r="F327" s="187" t="s">
        <v>834</v>
      </c>
      <c r="G327" s="188">
        <v>44.139387999999997</v>
      </c>
      <c r="H327" s="188"/>
      <c r="I327" s="187" t="s">
        <v>835</v>
      </c>
      <c r="J327" s="188">
        <v>25.366536</v>
      </c>
      <c r="K327" s="307"/>
      <c r="L327" s="188"/>
      <c r="M327" s="325">
        <f t="shared" si="31"/>
        <v>69.505923999999993</v>
      </c>
      <c r="N327" s="345" t="s">
        <v>836</v>
      </c>
      <c r="O327" s="345" t="s">
        <v>837</v>
      </c>
      <c r="P327" s="76" t="s">
        <v>36</v>
      </c>
      <c r="Q327" s="190">
        <v>5</v>
      </c>
      <c r="R327" s="190">
        <v>12</v>
      </c>
      <c r="S327" s="345" t="s">
        <v>825</v>
      </c>
      <c r="T327" s="196"/>
      <c r="U327" s="194"/>
      <c r="V327" s="192"/>
      <c r="W327" s="192"/>
      <c r="X327" s="192"/>
      <c r="Y327" s="192"/>
      <c r="Z327" s="356" t="s">
        <v>826</v>
      </c>
      <c r="AA327" s="98"/>
    </row>
    <row r="328" spans="1:27" ht="48">
      <c r="A328" s="475"/>
      <c r="B328" s="339">
        <v>27</v>
      </c>
      <c r="C328" s="346" t="s">
        <v>838</v>
      </c>
      <c r="D328" s="380">
        <v>99594.150999999998</v>
      </c>
      <c r="E328" s="381" t="s">
        <v>2137</v>
      </c>
      <c r="F328" s="343" t="s">
        <v>839</v>
      </c>
      <c r="G328" s="325">
        <v>187.5429</v>
      </c>
      <c r="H328" s="325">
        <v>7.5</v>
      </c>
      <c r="I328" s="343" t="s">
        <v>840</v>
      </c>
      <c r="J328" s="325">
        <v>160.3295</v>
      </c>
      <c r="K328" s="341"/>
      <c r="L328" s="325"/>
      <c r="M328" s="325">
        <f t="shared" si="31"/>
        <v>355.37239999999997</v>
      </c>
      <c r="N328" s="345" t="s">
        <v>841</v>
      </c>
      <c r="O328" s="345" t="s">
        <v>756</v>
      </c>
      <c r="P328" s="76" t="s">
        <v>27</v>
      </c>
      <c r="Q328" s="190">
        <f>[1]连盐铁路!O303</f>
        <v>0</v>
      </c>
      <c r="R328" s="190">
        <f>[1]连盐铁路!P303</f>
        <v>0</v>
      </c>
      <c r="S328" s="345" t="s">
        <v>842</v>
      </c>
      <c r="T328" s="196">
        <f>[1]连盐铁路!R303</f>
        <v>0</v>
      </c>
      <c r="U328" s="194" t="e">
        <f>T328/Q328</f>
        <v>#DIV/0!</v>
      </c>
      <c r="V328" s="192"/>
      <c r="W328" s="192"/>
      <c r="X328" s="192"/>
      <c r="Y328" s="192"/>
      <c r="Z328" s="345" t="s">
        <v>826</v>
      </c>
      <c r="AA328" s="98"/>
    </row>
    <row r="329" spans="1:27" ht="48" hidden="1">
      <c r="A329" s="475"/>
      <c r="B329" s="604">
        <v>28</v>
      </c>
      <c r="C329" s="346" t="s">
        <v>843</v>
      </c>
      <c r="D329" s="380">
        <v>18740</v>
      </c>
      <c r="E329" s="381" t="s">
        <v>2138</v>
      </c>
      <c r="F329" s="623" t="s">
        <v>844</v>
      </c>
      <c r="G329" s="616">
        <v>18.740055999999999</v>
      </c>
      <c r="H329" s="616">
        <v>0.5</v>
      </c>
      <c r="I329" s="623"/>
      <c r="J329" s="616"/>
      <c r="K329" s="618"/>
      <c r="L329" s="616"/>
      <c r="M329" s="616">
        <f t="shared" si="31"/>
        <v>19.240055999999999</v>
      </c>
      <c r="N329" s="342" t="s">
        <v>731</v>
      </c>
      <c r="O329" s="342"/>
      <c r="P329" s="342"/>
      <c r="Q329" s="347"/>
      <c r="R329" s="347"/>
      <c r="S329" s="342"/>
      <c r="T329" s="325"/>
      <c r="U329" s="18"/>
      <c r="V329" s="25"/>
      <c r="W329" s="25"/>
      <c r="X329" s="25"/>
      <c r="Y329" s="25"/>
      <c r="Z329" s="601" t="s">
        <v>826</v>
      </c>
      <c r="AA329" s="98"/>
    </row>
    <row r="330" spans="1:27" ht="72" hidden="1">
      <c r="A330" s="475"/>
      <c r="B330" s="604"/>
      <c r="C330" s="346" t="s">
        <v>845</v>
      </c>
      <c r="D330" s="380">
        <v>11540</v>
      </c>
      <c r="E330" s="381" t="s">
        <v>2139</v>
      </c>
      <c r="F330" s="624"/>
      <c r="G330" s="617"/>
      <c r="H330" s="617"/>
      <c r="I330" s="624"/>
      <c r="J330" s="617"/>
      <c r="K330" s="619"/>
      <c r="L330" s="617"/>
      <c r="M330" s="617"/>
      <c r="N330" s="342" t="s">
        <v>731</v>
      </c>
      <c r="O330" s="342"/>
      <c r="P330" s="342"/>
      <c r="Q330" s="347"/>
      <c r="R330" s="347"/>
      <c r="S330" s="342"/>
      <c r="T330" s="325"/>
      <c r="U330" s="18"/>
      <c r="V330" s="25"/>
      <c r="W330" s="25"/>
      <c r="X330" s="25"/>
      <c r="Y330" s="25"/>
      <c r="Z330" s="601"/>
      <c r="AA330" s="98"/>
    </row>
    <row r="331" spans="1:27" ht="24">
      <c r="A331" s="475"/>
      <c r="B331" s="339">
        <v>29</v>
      </c>
      <c r="C331" s="189" t="s">
        <v>846</v>
      </c>
      <c r="D331" s="380">
        <v>5500</v>
      </c>
      <c r="E331" s="381" t="s">
        <v>2140</v>
      </c>
      <c r="F331" s="187"/>
      <c r="G331" s="188"/>
      <c r="H331" s="188"/>
      <c r="I331" s="187" t="s">
        <v>31</v>
      </c>
      <c r="J331" s="188">
        <v>0.39</v>
      </c>
      <c r="K331" s="307"/>
      <c r="L331" s="188"/>
      <c r="M331" s="325">
        <f t="shared" ref="M331:M335" si="32">SUM(G331,H331,J331,L331)</f>
        <v>0.39</v>
      </c>
      <c r="N331" s="197" t="s">
        <v>847</v>
      </c>
      <c r="O331" s="197" t="s">
        <v>848</v>
      </c>
      <c r="P331" s="76" t="s">
        <v>27</v>
      </c>
      <c r="Q331" s="185">
        <v>2.2000000000000002</v>
      </c>
      <c r="R331" s="185">
        <v>2.2000000000000002</v>
      </c>
      <c r="S331" s="197" t="s">
        <v>849</v>
      </c>
      <c r="T331" s="188">
        <v>1.1000000000000001</v>
      </c>
      <c r="U331" s="198">
        <f>T331/Q331</f>
        <v>0.5</v>
      </c>
      <c r="V331" s="185">
        <f>Q331</f>
        <v>2.2000000000000002</v>
      </c>
      <c r="W331" s="185">
        <f>T331</f>
        <v>1.1000000000000001</v>
      </c>
      <c r="X331" s="185">
        <f>W331/V331</f>
        <v>0.5</v>
      </c>
      <c r="Y331" s="185">
        <f>W331/M331</f>
        <v>2.8205128205128207</v>
      </c>
      <c r="Z331" s="197" t="s">
        <v>826</v>
      </c>
      <c r="AA331" s="98"/>
    </row>
    <row r="332" spans="1:27" ht="48" hidden="1">
      <c r="A332" s="475"/>
      <c r="B332" s="339">
        <v>30</v>
      </c>
      <c r="C332" s="346" t="s">
        <v>850</v>
      </c>
      <c r="D332" s="380">
        <v>35756</v>
      </c>
      <c r="E332" s="381" t="s">
        <v>2141</v>
      </c>
      <c r="F332" s="356" t="s">
        <v>851</v>
      </c>
      <c r="G332" s="313">
        <v>99.212491</v>
      </c>
      <c r="H332" s="313"/>
      <c r="I332" s="356" t="s">
        <v>852</v>
      </c>
      <c r="J332" s="313">
        <v>34.6</v>
      </c>
      <c r="K332" s="313"/>
      <c r="L332" s="313"/>
      <c r="M332" s="313">
        <f t="shared" si="32"/>
        <v>133.81249099999999</v>
      </c>
      <c r="N332" s="342" t="s">
        <v>731</v>
      </c>
      <c r="O332" s="342"/>
      <c r="P332" s="342"/>
      <c r="Q332" s="347"/>
      <c r="R332" s="347"/>
      <c r="S332" s="342"/>
      <c r="T332" s="325"/>
      <c r="U332" s="18"/>
      <c r="V332" s="25"/>
      <c r="W332" s="25"/>
      <c r="X332" s="25"/>
      <c r="Y332" s="25"/>
      <c r="Z332" s="345" t="s">
        <v>21</v>
      </c>
      <c r="AA332" s="98"/>
    </row>
    <row r="333" spans="1:27" ht="48" hidden="1">
      <c r="A333" s="475"/>
      <c r="B333" s="339">
        <v>31</v>
      </c>
      <c r="C333" s="199" t="s">
        <v>853</v>
      </c>
      <c r="D333" s="380">
        <v>29654.054599999999</v>
      </c>
      <c r="E333" s="381" t="s">
        <v>2142</v>
      </c>
      <c r="F333" s="345"/>
      <c r="G333" s="196"/>
      <c r="H333" s="196"/>
      <c r="I333" s="345" t="s">
        <v>854</v>
      </c>
      <c r="J333" s="196">
        <v>24.998795000000001</v>
      </c>
      <c r="K333" s="196"/>
      <c r="L333" s="196"/>
      <c r="M333" s="196">
        <f t="shared" si="32"/>
        <v>24.998795000000001</v>
      </c>
      <c r="N333" s="342" t="s">
        <v>731</v>
      </c>
      <c r="O333" s="342"/>
      <c r="P333" s="342"/>
      <c r="Q333" s="347"/>
      <c r="R333" s="347"/>
      <c r="S333" s="342"/>
      <c r="T333" s="325"/>
      <c r="U333" s="18"/>
      <c r="V333" s="25"/>
      <c r="W333" s="25"/>
      <c r="X333" s="25"/>
      <c r="Y333" s="25"/>
      <c r="Z333" s="345" t="s">
        <v>247</v>
      </c>
      <c r="AA333" s="98"/>
    </row>
    <row r="334" spans="1:27" ht="36" hidden="1">
      <c r="A334" s="475"/>
      <c r="B334" s="339">
        <v>32</v>
      </c>
      <c r="C334" s="199" t="s">
        <v>855</v>
      </c>
      <c r="D334" s="380">
        <v>20118</v>
      </c>
      <c r="E334" s="381" t="s">
        <v>2143</v>
      </c>
      <c r="F334" s="200"/>
      <c r="G334" s="201"/>
      <c r="H334" s="201"/>
      <c r="I334" s="200" t="s">
        <v>856</v>
      </c>
      <c r="J334" s="201">
        <v>28.165900000000001</v>
      </c>
      <c r="K334" s="201"/>
      <c r="L334" s="201"/>
      <c r="M334" s="201">
        <f t="shared" si="32"/>
        <v>28.165900000000001</v>
      </c>
      <c r="N334" s="359" t="s">
        <v>731</v>
      </c>
      <c r="O334" s="359"/>
      <c r="P334" s="359"/>
      <c r="Q334" s="319"/>
      <c r="R334" s="319"/>
      <c r="S334" s="359"/>
      <c r="T334" s="321"/>
      <c r="U334" s="202"/>
      <c r="V334" s="316"/>
      <c r="W334" s="316"/>
      <c r="X334" s="316"/>
      <c r="Y334" s="316"/>
      <c r="Z334" s="203" t="s">
        <v>247</v>
      </c>
      <c r="AA334" s="98"/>
    </row>
    <row r="335" spans="1:27" ht="48" hidden="1">
      <c r="A335" s="475"/>
      <c r="B335" s="339">
        <v>33</v>
      </c>
      <c r="C335" s="199" t="s">
        <v>857</v>
      </c>
      <c r="D335" s="380">
        <v>16706</v>
      </c>
      <c r="E335" s="381" t="s">
        <v>2144</v>
      </c>
      <c r="F335" s="204"/>
      <c r="G335" s="196"/>
      <c r="H335" s="196"/>
      <c r="I335" s="204"/>
      <c r="J335" s="196"/>
      <c r="K335" s="201" t="s">
        <v>858</v>
      </c>
      <c r="L335" s="201">
        <v>10.884230000000001</v>
      </c>
      <c r="M335" s="201">
        <f t="shared" si="32"/>
        <v>10.884230000000001</v>
      </c>
      <c r="N335" s="359" t="s">
        <v>731</v>
      </c>
      <c r="O335" s="342"/>
      <c r="P335" s="342"/>
      <c r="Q335" s="347"/>
      <c r="R335" s="347"/>
      <c r="S335" s="342"/>
      <c r="T335" s="325"/>
      <c r="U335" s="18"/>
      <c r="V335" s="25"/>
      <c r="W335" s="25"/>
      <c r="X335" s="25"/>
      <c r="Y335" s="25"/>
      <c r="Z335" s="345" t="s">
        <v>739</v>
      </c>
      <c r="AA335" s="98"/>
    </row>
    <row r="336" spans="1:27" ht="24" hidden="1">
      <c r="A336" s="475"/>
      <c r="B336" s="339">
        <v>34</v>
      </c>
      <c r="C336" s="346" t="s">
        <v>859</v>
      </c>
      <c r="D336" s="380">
        <v>8529</v>
      </c>
      <c r="E336" s="381" t="s">
        <v>2145</v>
      </c>
      <c r="F336" s="205" t="s">
        <v>860</v>
      </c>
      <c r="G336" s="325"/>
      <c r="H336" s="325"/>
      <c r="I336" s="343"/>
      <c r="J336" s="325"/>
      <c r="K336" s="341"/>
      <c r="L336" s="325"/>
      <c r="M336" s="325"/>
      <c r="N336" s="342" t="s">
        <v>731</v>
      </c>
      <c r="O336" s="342"/>
      <c r="P336" s="342"/>
      <c r="Q336" s="347"/>
      <c r="R336" s="347"/>
      <c r="S336" s="342"/>
      <c r="T336" s="325"/>
      <c r="U336" s="18"/>
      <c r="V336" s="25"/>
      <c r="W336" s="25"/>
      <c r="X336" s="25"/>
      <c r="Y336" s="25"/>
      <c r="Z336" s="345" t="s">
        <v>861</v>
      </c>
      <c r="AA336" s="98"/>
    </row>
    <row r="337" spans="1:27" ht="36" hidden="1">
      <c r="A337" s="475"/>
      <c r="B337" s="339">
        <v>35</v>
      </c>
      <c r="C337" s="346" t="s">
        <v>862</v>
      </c>
      <c r="D337" s="380">
        <v>29159</v>
      </c>
      <c r="E337" s="381" t="s">
        <v>2146</v>
      </c>
      <c r="F337" s="205" t="s">
        <v>863</v>
      </c>
      <c r="G337" s="325"/>
      <c r="H337" s="325"/>
      <c r="I337" s="343"/>
      <c r="J337" s="325"/>
      <c r="K337" s="341"/>
      <c r="L337" s="325"/>
      <c r="M337" s="325"/>
      <c r="N337" s="342" t="s">
        <v>731</v>
      </c>
      <c r="O337" s="342"/>
      <c r="P337" s="342"/>
      <c r="Q337" s="347"/>
      <c r="R337" s="347"/>
      <c r="S337" s="342"/>
      <c r="T337" s="325"/>
      <c r="U337" s="18"/>
      <c r="V337" s="25"/>
      <c r="W337" s="25"/>
      <c r="X337" s="25"/>
      <c r="Y337" s="25"/>
      <c r="Z337" s="345" t="s">
        <v>32</v>
      </c>
      <c r="AA337" s="98"/>
    </row>
    <row r="338" spans="1:27" ht="36" hidden="1">
      <c r="A338" s="475"/>
      <c r="B338" s="339">
        <v>36</v>
      </c>
      <c r="C338" s="346" t="s">
        <v>864</v>
      </c>
      <c r="D338" s="378">
        <v>10459</v>
      </c>
      <c r="E338" s="378" t="s">
        <v>2147</v>
      </c>
      <c r="F338" s="343" t="s">
        <v>865</v>
      </c>
      <c r="G338" s="325"/>
      <c r="H338" s="325"/>
      <c r="I338" s="343"/>
      <c r="J338" s="325"/>
      <c r="K338" s="341"/>
      <c r="L338" s="325"/>
      <c r="M338" s="325"/>
      <c r="N338" s="342" t="s">
        <v>731</v>
      </c>
      <c r="O338" s="342"/>
      <c r="P338" s="342"/>
      <c r="Q338" s="347"/>
      <c r="R338" s="347"/>
      <c r="S338" s="342"/>
      <c r="T338" s="325"/>
      <c r="U338" s="18"/>
      <c r="V338" s="25"/>
      <c r="W338" s="25"/>
      <c r="X338" s="25"/>
      <c r="Y338" s="25"/>
      <c r="Z338" s="345" t="s">
        <v>739</v>
      </c>
      <c r="AA338" s="98"/>
    </row>
    <row r="339" spans="1:27" ht="36" hidden="1">
      <c r="A339" s="475"/>
      <c r="B339" s="339">
        <v>37</v>
      </c>
      <c r="C339" s="346" t="s">
        <v>866</v>
      </c>
      <c r="D339" s="378">
        <v>25124.924599999998</v>
      </c>
      <c r="E339" s="378" t="s">
        <v>2148</v>
      </c>
      <c r="F339" s="343" t="s">
        <v>867</v>
      </c>
      <c r="G339" s="325"/>
      <c r="H339" s="325"/>
      <c r="I339" s="343"/>
      <c r="J339" s="325"/>
      <c r="K339" s="341"/>
      <c r="L339" s="325"/>
      <c r="M339" s="325"/>
      <c r="N339" s="342" t="s">
        <v>731</v>
      </c>
      <c r="O339" s="342"/>
      <c r="P339" s="342"/>
      <c r="Q339" s="347"/>
      <c r="R339" s="347"/>
      <c r="S339" s="342"/>
      <c r="T339" s="325"/>
      <c r="U339" s="18"/>
      <c r="V339" s="25"/>
      <c r="W339" s="25"/>
      <c r="X339" s="25"/>
      <c r="Y339" s="25"/>
      <c r="Z339" s="345" t="s">
        <v>739</v>
      </c>
      <c r="AA339" s="98"/>
    </row>
    <row r="340" spans="1:27" ht="24" hidden="1">
      <c r="A340" s="475"/>
      <c r="B340" s="339">
        <v>38</v>
      </c>
      <c r="C340" s="346" t="s">
        <v>868</v>
      </c>
      <c r="D340" s="378">
        <v>7980</v>
      </c>
      <c r="E340" s="378" t="s">
        <v>2149</v>
      </c>
      <c r="F340" s="343" t="s">
        <v>865</v>
      </c>
      <c r="G340" s="325"/>
      <c r="H340" s="325"/>
      <c r="I340" s="343"/>
      <c r="J340" s="325"/>
      <c r="K340" s="341"/>
      <c r="L340" s="325"/>
      <c r="M340" s="325"/>
      <c r="N340" s="342" t="s">
        <v>731</v>
      </c>
      <c r="O340" s="342"/>
      <c r="P340" s="342"/>
      <c r="Q340" s="347"/>
      <c r="R340" s="347"/>
      <c r="S340" s="342"/>
      <c r="T340" s="325"/>
      <c r="U340" s="18"/>
      <c r="V340" s="25"/>
      <c r="W340" s="25"/>
      <c r="X340" s="25"/>
      <c r="Y340" s="25"/>
      <c r="Z340" s="345" t="s">
        <v>869</v>
      </c>
      <c r="AA340" s="98"/>
    </row>
    <row r="341" spans="1:27" ht="36" hidden="1">
      <c r="A341" s="475"/>
      <c r="B341" s="339">
        <v>39</v>
      </c>
      <c r="C341" s="346" t="s">
        <v>870</v>
      </c>
      <c r="D341" s="378">
        <v>10000</v>
      </c>
      <c r="E341" s="379" t="s">
        <v>2150</v>
      </c>
      <c r="F341" s="206" t="s">
        <v>860</v>
      </c>
      <c r="G341" s="325"/>
      <c r="H341" s="325"/>
      <c r="I341" s="343"/>
      <c r="J341" s="325"/>
      <c r="K341" s="341"/>
      <c r="L341" s="325"/>
      <c r="M341" s="325"/>
      <c r="N341" s="342" t="s">
        <v>731</v>
      </c>
      <c r="O341" s="342"/>
      <c r="P341" s="342"/>
      <c r="Q341" s="347"/>
      <c r="R341" s="347"/>
      <c r="S341" s="342"/>
      <c r="T341" s="325"/>
      <c r="U341" s="18"/>
      <c r="V341" s="25"/>
      <c r="W341" s="25"/>
      <c r="X341" s="25"/>
      <c r="Y341" s="25"/>
      <c r="Z341" s="345" t="s">
        <v>869</v>
      </c>
      <c r="AA341" s="98"/>
    </row>
    <row r="342" spans="1:27" ht="36" hidden="1">
      <c r="A342" s="475"/>
      <c r="B342" s="339">
        <v>40</v>
      </c>
      <c r="C342" s="346" t="s">
        <v>871</v>
      </c>
      <c r="D342" s="380">
        <v>26000</v>
      </c>
      <c r="E342" s="381" t="s">
        <v>2151</v>
      </c>
      <c r="F342" s="206" t="s">
        <v>860</v>
      </c>
      <c r="G342" s="325"/>
      <c r="H342" s="325"/>
      <c r="I342" s="343"/>
      <c r="J342" s="325"/>
      <c r="K342" s="341"/>
      <c r="L342" s="325"/>
      <c r="M342" s="325"/>
      <c r="N342" s="342" t="s">
        <v>731</v>
      </c>
      <c r="O342" s="342"/>
      <c r="P342" s="342"/>
      <c r="Q342" s="347"/>
      <c r="R342" s="347"/>
      <c r="S342" s="342"/>
      <c r="T342" s="325"/>
      <c r="U342" s="18"/>
      <c r="V342" s="25"/>
      <c r="W342" s="25"/>
      <c r="X342" s="25"/>
      <c r="Y342" s="25"/>
      <c r="Z342" s="345" t="s">
        <v>869</v>
      </c>
      <c r="AA342" s="98"/>
    </row>
    <row r="343" spans="1:27" ht="48" hidden="1">
      <c r="A343" s="475"/>
      <c r="B343" s="339">
        <v>41</v>
      </c>
      <c r="C343" s="207" t="s">
        <v>872</v>
      </c>
      <c r="D343" s="380">
        <v>88298</v>
      </c>
      <c r="E343" s="381" t="s">
        <v>2152</v>
      </c>
      <c r="F343" s="9" t="s">
        <v>867</v>
      </c>
      <c r="G343" s="321"/>
      <c r="H343" s="321"/>
      <c r="I343" s="9"/>
      <c r="J343" s="321"/>
      <c r="K343" s="309"/>
      <c r="L343" s="321"/>
      <c r="M343" s="361"/>
      <c r="N343" s="342" t="s">
        <v>731</v>
      </c>
      <c r="O343" s="342"/>
      <c r="P343" s="342"/>
      <c r="Q343" s="347"/>
      <c r="R343" s="347"/>
      <c r="S343" s="342"/>
      <c r="T343" s="325"/>
      <c r="U343" s="18"/>
      <c r="V343" s="25"/>
      <c r="W343" s="25"/>
      <c r="X343" s="25"/>
      <c r="Y343" s="25"/>
      <c r="Z343" s="345" t="s">
        <v>732</v>
      </c>
      <c r="AA343" s="98"/>
    </row>
    <row r="344" spans="1:27" ht="24" hidden="1">
      <c r="A344" s="475"/>
      <c r="B344" s="339">
        <v>42</v>
      </c>
      <c r="C344" s="93" t="s">
        <v>873</v>
      </c>
      <c r="D344" s="380">
        <v>20937</v>
      </c>
      <c r="E344" s="381" t="s">
        <v>2153</v>
      </c>
      <c r="F344" s="206" t="s">
        <v>860</v>
      </c>
      <c r="G344" s="325"/>
      <c r="H344" s="325"/>
      <c r="I344" s="343"/>
      <c r="J344" s="325"/>
      <c r="K344" s="341"/>
      <c r="L344" s="325"/>
      <c r="M344" s="320"/>
      <c r="N344" s="342" t="s">
        <v>731</v>
      </c>
      <c r="O344" s="342"/>
      <c r="P344" s="342"/>
      <c r="Q344" s="347"/>
      <c r="R344" s="347"/>
      <c r="S344" s="342"/>
      <c r="T344" s="325"/>
      <c r="U344" s="18"/>
      <c r="V344" s="25"/>
      <c r="W344" s="25"/>
      <c r="X344" s="25"/>
      <c r="Y344" s="25"/>
      <c r="Z344" s="345" t="s">
        <v>732</v>
      </c>
      <c r="AA344" s="98"/>
    </row>
    <row r="345" spans="1:27" ht="84" hidden="1">
      <c r="A345" s="475" t="s">
        <v>1034</v>
      </c>
      <c r="B345" s="355">
        <v>1</v>
      </c>
      <c r="C345" s="8" t="s">
        <v>875</v>
      </c>
      <c r="D345" s="8">
        <v>35028.972900000001</v>
      </c>
      <c r="E345" s="8" t="s">
        <v>2155</v>
      </c>
      <c r="F345" s="356" t="s">
        <v>876</v>
      </c>
      <c r="G345" s="313">
        <f>110.085214+0.3</f>
        <v>110.38521399999999</v>
      </c>
      <c r="H345" s="313">
        <v>0.3</v>
      </c>
      <c r="I345" s="356" t="s">
        <v>877</v>
      </c>
      <c r="J345" s="313">
        <v>47.591276000000001</v>
      </c>
      <c r="K345" s="313"/>
      <c r="L345" s="313"/>
      <c r="M345" s="313">
        <f>SUM(G345,H345,J345,L345)</f>
        <v>158.27649</v>
      </c>
      <c r="N345" s="356" t="s">
        <v>878</v>
      </c>
      <c r="O345" s="356" t="s">
        <v>879</v>
      </c>
      <c r="P345" s="76" t="s">
        <v>36</v>
      </c>
      <c r="Q345" s="434">
        <v>25.1739</v>
      </c>
      <c r="R345" s="434">
        <v>27.510899999999999</v>
      </c>
      <c r="S345" s="356" t="s">
        <v>880</v>
      </c>
      <c r="T345" s="313">
        <v>22.656918999999998</v>
      </c>
      <c r="U345" s="5">
        <f t="shared" ref="U345:U358" si="33">T345/Q345</f>
        <v>0.90001624698596561</v>
      </c>
      <c r="V345" s="620">
        <f>SUM(Q345:Q348)</f>
        <v>71.713899999999995</v>
      </c>
      <c r="W345" s="620">
        <f>SUM(T345:T348)</f>
        <v>63.367005999999989</v>
      </c>
      <c r="X345" s="589">
        <f>W345/V345</f>
        <v>0.88360842179828447</v>
      </c>
      <c r="Y345" s="589">
        <f>W345/M345</f>
        <v>0.40035640163614944</v>
      </c>
      <c r="Z345" s="356" t="s">
        <v>881</v>
      </c>
      <c r="AA345" s="98"/>
    </row>
    <row r="346" spans="1:27" ht="24" hidden="1">
      <c r="A346" s="475"/>
      <c r="B346" s="355"/>
      <c r="C346" s="8"/>
      <c r="D346" s="8"/>
      <c r="E346" s="8"/>
      <c r="F346" s="356"/>
      <c r="G346" s="313"/>
      <c r="H346" s="313"/>
      <c r="I346" s="356"/>
      <c r="J346" s="313"/>
      <c r="K346" s="313"/>
      <c r="L346" s="313"/>
      <c r="M346" s="313"/>
      <c r="N346" s="356" t="s">
        <v>882</v>
      </c>
      <c r="O346" s="356" t="s">
        <v>879</v>
      </c>
      <c r="P346" s="76" t="s">
        <v>36</v>
      </c>
      <c r="Q346" s="434">
        <v>35.74</v>
      </c>
      <c r="R346" s="434">
        <v>37.21</v>
      </c>
      <c r="S346" s="356" t="s">
        <v>883</v>
      </c>
      <c r="T346" s="313">
        <v>32.410086999999997</v>
      </c>
      <c r="U346" s="5">
        <f t="shared" si="33"/>
        <v>0.90682951874650242</v>
      </c>
      <c r="V346" s="621"/>
      <c r="W346" s="621"/>
      <c r="X346" s="592"/>
      <c r="Y346" s="592"/>
      <c r="Z346" s="356"/>
      <c r="AA346" s="98"/>
    </row>
    <row r="347" spans="1:27" ht="36">
      <c r="A347" s="475"/>
      <c r="B347" s="355"/>
      <c r="C347" s="8"/>
      <c r="D347" s="8"/>
      <c r="E347" s="8"/>
      <c r="F347" s="356"/>
      <c r="G347" s="313"/>
      <c r="H347" s="313"/>
      <c r="I347" s="356"/>
      <c r="J347" s="313"/>
      <c r="K347" s="313"/>
      <c r="L347" s="313"/>
      <c r="M347" s="313"/>
      <c r="N347" s="356" t="s">
        <v>884</v>
      </c>
      <c r="O347" s="356" t="s">
        <v>885</v>
      </c>
      <c r="P347" s="76" t="s">
        <v>27</v>
      </c>
      <c r="Q347" s="434">
        <v>9</v>
      </c>
      <c r="R347" s="434">
        <v>10</v>
      </c>
      <c r="S347" s="356" t="s">
        <v>886</v>
      </c>
      <c r="T347" s="313">
        <v>7</v>
      </c>
      <c r="U347" s="5">
        <f t="shared" si="33"/>
        <v>0.77777777777777779</v>
      </c>
      <c r="V347" s="621"/>
      <c r="W347" s="621"/>
      <c r="X347" s="592"/>
      <c r="Y347" s="592"/>
      <c r="Z347" s="356"/>
      <c r="AA347" s="98"/>
    </row>
    <row r="348" spans="1:27" ht="36">
      <c r="A348" s="475"/>
      <c r="B348" s="355"/>
      <c r="C348" s="8"/>
      <c r="D348" s="8"/>
      <c r="E348" s="8"/>
      <c r="F348" s="356"/>
      <c r="G348" s="313"/>
      <c r="H348" s="313"/>
      <c r="I348" s="356"/>
      <c r="J348" s="313"/>
      <c r="K348" s="313"/>
      <c r="L348" s="313"/>
      <c r="M348" s="313"/>
      <c r="N348" s="356" t="s">
        <v>887</v>
      </c>
      <c r="O348" s="356" t="s">
        <v>888</v>
      </c>
      <c r="P348" s="76" t="s">
        <v>27</v>
      </c>
      <c r="Q348" s="434">
        <v>1.8</v>
      </c>
      <c r="R348" s="434">
        <v>2</v>
      </c>
      <c r="S348" s="356" t="s">
        <v>889</v>
      </c>
      <c r="T348" s="313">
        <v>1.3</v>
      </c>
      <c r="U348" s="5">
        <f t="shared" si="33"/>
        <v>0.72222222222222221</v>
      </c>
      <c r="V348" s="622"/>
      <c r="W348" s="622"/>
      <c r="X348" s="590"/>
      <c r="Y348" s="590"/>
      <c r="Z348" s="356"/>
      <c r="AA348" s="98"/>
    </row>
    <row r="349" spans="1:27" ht="36" hidden="1">
      <c r="A349" s="475"/>
      <c r="B349" s="355">
        <v>2</v>
      </c>
      <c r="C349" s="8" t="s">
        <v>890</v>
      </c>
      <c r="D349" s="382">
        <v>73905.514299999995</v>
      </c>
      <c r="E349" s="382" t="s">
        <v>2156</v>
      </c>
      <c r="F349" s="359" t="s">
        <v>31</v>
      </c>
      <c r="G349" s="321">
        <v>1.4704999999999999</v>
      </c>
      <c r="H349" s="321"/>
      <c r="I349" s="359" t="s">
        <v>41</v>
      </c>
      <c r="J349" s="321">
        <v>23.529499999999999</v>
      </c>
      <c r="K349" s="310"/>
      <c r="L349" s="310"/>
      <c r="M349" s="321">
        <f>SUM(G349,H349,J349,L349)</f>
        <v>25</v>
      </c>
      <c r="N349" s="342" t="s">
        <v>891</v>
      </c>
      <c r="O349" s="340" t="s">
        <v>892</v>
      </c>
      <c r="P349" s="76" t="s">
        <v>36</v>
      </c>
      <c r="Q349" s="347">
        <v>2.2545999999999999</v>
      </c>
      <c r="R349" s="347">
        <v>0.22459999999999999</v>
      </c>
      <c r="S349" s="342" t="s">
        <v>893</v>
      </c>
      <c r="T349" s="295">
        <v>1.7449699999999999</v>
      </c>
      <c r="U349" s="5">
        <f t="shared" si="33"/>
        <v>0.77395990419586624</v>
      </c>
      <c r="V349" s="620">
        <f>SUM(Q349:Q358)</f>
        <v>37.520000000000003</v>
      </c>
      <c r="W349" s="620">
        <f>SUM(T349:T358)</f>
        <v>83.687117999999998</v>
      </c>
      <c r="X349" s="589">
        <f>W349/V349</f>
        <v>2.2304668976545838</v>
      </c>
      <c r="Y349" s="589">
        <f>W349/M349</f>
        <v>3.3474847199999997</v>
      </c>
      <c r="Z349" s="356" t="s">
        <v>894</v>
      </c>
      <c r="AA349" s="98"/>
    </row>
    <row r="350" spans="1:27" ht="36" hidden="1">
      <c r="A350" s="475"/>
      <c r="B350" s="355"/>
      <c r="C350" s="8"/>
      <c r="D350" s="8"/>
      <c r="E350" s="8"/>
      <c r="F350" s="356"/>
      <c r="G350" s="313"/>
      <c r="H350" s="313"/>
      <c r="I350" s="356"/>
      <c r="J350" s="313"/>
      <c r="K350" s="313"/>
      <c r="L350" s="313"/>
      <c r="M350" s="313"/>
      <c r="N350" s="12" t="s">
        <v>895</v>
      </c>
      <c r="O350" s="13" t="s">
        <v>896</v>
      </c>
      <c r="P350" s="76" t="s">
        <v>36</v>
      </c>
      <c r="Q350" s="347">
        <v>2.1326000000000001</v>
      </c>
      <c r="R350" s="347">
        <v>2.1326000000000001</v>
      </c>
      <c r="S350" s="342" t="s">
        <v>897</v>
      </c>
      <c r="T350" s="295">
        <v>1.7421</v>
      </c>
      <c r="U350" s="5">
        <f t="shared" si="33"/>
        <v>0.81689018099971866</v>
      </c>
      <c r="V350" s="591"/>
      <c r="W350" s="591"/>
      <c r="X350" s="592"/>
      <c r="Y350" s="592"/>
      <c r="Z350" s="356"/>
      <c r="AA350" s="98"/>
    </row>
    <row r="351" spans="1:27" hidden="1">
      <c r="A351" s="475"/>
      <c r="B351" s="355"/>
      <c r="C351" s="8"/>
      <c r="D351" s="8"/>
      <c r="E351" s="8"/>
      <c r="F351" s="356"/>
      <c r="G351" s="313"/>
      <c r="H351" s="313"/>
      <c r="I351" s="356"/>
      <c r="J351" s="313"/>
      <c r="K351" s="313"/>
      <c r="L351" s="313"/>
      <c r="M351" s="313"/>
      <c r="N351" s="12" t="s">
        <v>898</v>
      </c>
      <c r="O351" s="14" t="s">
        <v>899</v>
      </c>
      <c r="P351" s="76" t="s">
        <v>36</v>
      </c>
      <c r="Q351" s="347">
        <v>2.4125000000000001</v>
      </c>
      <c r="R351" s="347">
        <v>2.4125000000000001</v>
      </c>
      <c r="S351" s="342" t="s">
        <v>900</v>
      </c>
      <c r="T351" s="295">
        <v>1.77976</v>
      </c>
      <c r="U351" s="5">
        <f t="shared" si="33"/>
        <v>0.73772435233160616</v>
      </c>
      <c r="V351" s="591"/>
      <c r="W351" s="591"/>
      <c r="X351" s="592"/>
      <c r="Y351" s="592"/>
      <c r="Z351" s="356"/>
      <c r="AA351" s="98"/>
    </row>
    <row r="352" spans="1:27" hidden="1">
      <c r="A352" s="475"/>
      <c r="B352" s="355"/>
      <c r="C352" s="8"/>
      <c r="D352" s="8"/>
      <c r="E352" s="8"/>
      <c r="F352" s="356"/>
      <c r="G352" s="313"/>
      <c r="H352" s="313"/>
      <c r="I352" s="356"/>
      <c r="J352" s="313"/>
      <c r="K352" s="313"/>
      <c r="L352" s="313"/>
      <c r="M352" s="313"/>
      <c r="N352" s="12" t="s">
        <v>107</v>
      </c>
      <c r="O352" s="14" t="s">
        <v>901</v>
      </c>
      <c r="P352" s="76" t="s">
        <v>36</v>
      </c>
      <c r="Q352" s="347">
        <v>0.74570000000000003</v>
      </c>
      <c r="R352" s="347">
        <v>0.74570000000000003</v>
      </c>
      <c r="S352" s="342" t="s">
        <v>902</v>
      </c>
      <c r="T352" s="295">
        <v>0.53335200000000005</v>
      </c>
      <c r="U352" s="5">
        <f t="shared" si="33"/>
        <v>0.71523669035805282</v>
      </c>
      <c r="V352" s="591"/>
      <c r="W352" s="591"/>
      <c r="X352" s="592"/>
      <c r="Y352" s="592"/>
      <c r="Z352" s="356"/>
      <c r="AA352" s="98"/>
    </row>
    <row r="353" spans="1:27" ht="24" hidden="1">
      <c r="A353" s="475"/>
      <c r="B353" s="355"/>
      <c r="C353" s="8"/>
      <c r="D353" s="8"/>
      <c r="E353" s="8"/>
      <c r="F353" s="356"/>
      <c r="G353" s="313"/>
      <c r="H353" s="313"/>
      <c r="I353" s="356"/>
      <c r="J353" s="313"/>
      <c r="K353" s="313"/>
      <c r="L353" s="313"/>
      <c r="M353" s="313"/>
      <c r="N353" s="12" t="s">
        <v>903</v>
      </c>
      <c r="O353" s="13" t="s">
        <v>904</v>
      </c>
      <c r="P353" s="76" t="s">
        <v>36</v>
      </c>
      <c r="Q353" s="347">
        <v>4.7746000000000004</v>
      </c>
      <c r="R353" s="347">
        <v>4.7746000000000004</v>
      </c>
      <c r="S353" s="342" t="s">
        <v>905</v>
      </c>
      <c r="T353" s="295">
        <v>3.536486</v>
      </c>
      <c r="U353" s="5">
        <f t="shared" si="33"/>
        <v>0.74068738742512452</v>
      </c>
      <c r="V353" s="591"/>
      <c r="W353" s="591"/>
      <c r="X353" s="592"/>
      <c r="Y353" s="592"/>
      <c r="Z353" s="356"/>
      <c r="AA353" s="98"/>
    </row>
    <row r="354" spans="1:27">
      <c r="A354" s="475"/>
      <c r="B354" s="355"/>
      <c r="C354" s="8"/>
      <c r="D354" s="8"/>
      <c r="E354" s="8"/>
      <c r="F354" s="356"/>
      <c r="G354" s="313"/>
      <c r="H354" s="313"/>
      <c r="I354" s="356"/>
      <c r="J354" s="313"/>
      <c r="K354" s="313"/>
      <c r="L354" s="313"/>
      <c r="M354" s="313"/>
      <c r="N354" s="12" t="s">
        <v>109</v>
      </c>
      <c r="O354" s="14" t="s">
        <v>906</v>
      </c>
      <c r="P354" s="76" t="s">
        <v>27</v>
      </c>
      <c r="Q354" s="347">
        <v>2</v>
      </c>
      <c r="R354" s="15">
        <v>5.9164000000000003</v>
      </c>
      <c r="S354" s="12" t="s">
        <v>907</v>
      </c>
      <c r="T354" s="295">
        <v>5.9164000000000003</v>
      </c>
      <c r="U354" s="5">
        <f t="shared" si="33"/>
        <v>2.9582000000000002</v>
      </c>
      <c r="V354" s="591"/>
      <c r="W354" s="591"/>
      <c r="X354" s="592"/>
      <c r="Y354" s="592"/>
      <c r="Z354" s="356"/>
      <c r="AA354" s="98"/>
    </row>
    <row r="355" spans="1:27" hidden="1">
      <c r="A355" s="475"/>
      <c r="B355" s="355"/>
      <c r="C355" s="8"/>
      <c r="D355" s="8"/>
      <c r="E355" s="8"/>
      <c r="F355" s="356"/>
      <c r="G355" s="313"/>
      <c r="H355" s="313"/>
      <c r="I355" s="356"/>
      <c r="J355" s="313"/>
      <c r="K355" s="313"/>
      <c r="L355" s="313"/>
      <c r="M355" s="313"/>
      <c r="N355" s="12" t="s">
        <v>908</v>
      </c>
      <c r="O355" s="14" t="s">
        <v>909</v>
      </c>
      <c r="P355" s="76" t="s">
        <v>36</v>
      </c>
      <c r="Q355" s="347">
        <v>12</v>
      </c>
      <c r="R355" s="15">
        <v>43</v>
      </c>
      <c r="S355" s="12" t="s">
        <v>910</v>
      </c>
      <c r="T355" s="295">
        <v>43</v>
      </c>
      <c r="U355" s="5">
        <f t="shared" si="33"/>
        <v>3.5833333333333335</v>
      </c>
      <c r="V355" s="591"/>
      <c r="W355" s="591"/>
      <c r="X355" s="592"/>
      <c r="Y355" s="592"/>
      <c r="Z355" s="356"/>
      <c r="AA355" s="98"/>
    </row>
    <row r="356" spans="1:27" hidden="1">
      <c r="A356" s="475"/>
      <c r="B356" s="355"/>
      <c r="C356" s="8"/>
      <c r="D356" s="8"/>
      <c r="E356" s="8"/>
      <c r="F356" s="356"/>
      <c r="G356" s="313"/>
      <c r="H356" s="313"/>
      <c r="I356" s="356"/>
      <c r="J356" s="313"/>
      <c r="K356" s="313"/>
      <c r="L356" s="313"/>
      <c r="M356" s="313"/>
      <c r="N356" s="12" t="s">
        <v>911</v>
      </c>
      <c r="O356" s="14" t="s">
        <v>909</v>
      </c>
      <c r="P356" s="76" t="s">
        <v>36</v>
      </c>
      <c r="Q356" s="347">
        <v>7</v>
      </c>
      <c r="R356" s="15">
        <v>16</v>
      </c>
      <c r="S356" s="12" t="s">
        <v>895</v>
      </c>
      <c r="T356" s="295">
        <v>16</v>
      </c>
      <c r="U356" s="5">
        <f t="shared" si="33"/>
        <v>2.2857142857142856</v>
      </c>
      <c r="V356" s="591"/>
      <c r="W356" s="591"/>
      <c r="X356" s="592"/>
      <c r="Y356" s="592"/>
      <c r="Z356" s="356"/>
      <c r="AA356" s="98"/>
    </row>
    <row r="357" spans="1:27" ht="48" hidden="1">
      <c r="A357" s="475"/>
      <c r="B357" s="355"/>
      <c r="C357" s="8"/>
      <c r="D357" s="8"/>
      <c r="E357" s="8"/>
      <c r="F357" s="356"/>
      <c r="G357" s="313"/>
      <c r="H357" s="313"/>
      <c r="I357" s="356"/>
      <c r="J357" s="313"/>
      <c r="K357" s="313"/>
      <c r="L357" s="313"/>
      <c r="M357" s="313"/>
      <c r="N357" s="12" t="s">
        <v>912</v>
      </c>
      <c r="O357" s="13" t="s">
        <v>913</v>
      </c>
      <c r="P357" s="76" t="s">
        <v>36</v>
      </c>
      <c r="Q357" s="347">
        <v>1.2</v>
      </c>
      <c r="R357" s="15">
        <v>0.83404999999999996</v>
      </c>
      <c r="S357" s="12" t="s">
        <v>914</v>
      </c>
      <c r="T357" s="295">
        <v>0.83404999999999996</v>
      </c>
      <c r="U357" s="5">
        <f t="shared" si="33"/>
        <v>0.69504166666666667</v>
      </c>
      <c r="V357" s="591"/>
      <c r="W357" s="591"/>
      <c r="X357" s="592"/>
      <c r="Y357" s="592"/>
      <c r="Z357" s="356"/>
      <c r="AA357" s="98"/>
    </row>
    <row r="358" spans="1:27" hidden="1">
      <c r="A358" s="475"/>
      <c r="B358" s="355"/>
      <c r="C358" s="8"/>
      <c r="D358" s="8"/>
      <c r="E358" s="8"/>
      <c r="F358" s="356"/>
      <c r="G358" s="313"/>
      <c r="H358" s="313"/>
      <c r="I358" s="356"/>
      <c r="J358" s="313"/>
      <c r="K358" s="313"/>
      <c r="L358" s="313"/>
      <c r="M358" s="313"/>
      <c r="N358" s="12" t="s">
        <v>915</v>
      </c>
      <c r="O358" s="14" t="s">
        <v>906</v>
      </c>
      <c r="P358" s="76" t="s">
        <v>36</v>
      </c>
      <c r="Q358" s="347">
        <v>3</v>
      </c>
      <c r="R358" s="15">
        <v>8.6</v>
      </c>
      <c r="S358" s="12" t="s">
        <v>391</v>
      </c>
      <c r="T358" s="295">
        <v>8.6</v>
      </c>
      <c r="U358" s="5">
        <f t="shared" si="33"/>
        <v>2.8666666666666667</v>
      </c>
      <c r="V358" s="588"/>
      <c r="W358" s="588"/>
      <c r="X358" s="590"/>
      <c r="Y358" s="590"/>
      <c r="Z358" s="356"/>
      <c r="AA358" s="98"/>
    </row>
    <row r="359" spans="1:27" ht="48" hidden="1">
      <c r="A359" s="475"/>
      <c r="B359" s="355">
        <v>3</v>
      </c>
      <c r="C359" s="8" t="s">
        <v>916</v>
      </c>
      <c r="D359" s="8">
        <v>67787.517699999997</v>
      </c>
      <c r="E359" s="8" t="s">
        <v>2157</v>
      </c>
      <c r="F359" s="356" t="s">
        <v>372</v>
      </c>
      <c r="G359" s="313">
        <v>185.8</v>
      </c>
      <c r="H359" s="313">
        <v>2.9</v>
      </c>
      <c r="I359" s="356" t="s">
        <v>255</v>
      </c>
      <c r="J359" s="313">
        <f>59.25+37.03+4.1</f>
        <v>100.38</v>
      </c>
      <c r="K359" s="313"/>
      <c r="L359" s="313"/>
      <c r="M359" s="313">
        <f>SUM(G359,H359,J359,L359)</f>
        <v>289.08000000000004</v>
      </c>
      <c r="N359" s="356" t="s">
        <v>917</v>
      </c>
      <c r="O359" s="356" t="s">
        <v>918</v>
      </c>
      <c r="P359" s="76" t="s">
        <v>36</v>
      </c>
      <c r="Q359" s="434">
        <v>34</v>
      </c>
      <c r="R359" s="434">
        <v>173.5881</v>
      </c>
      <c r="S359" s="356" t="s">
        <v>919</v>
      </c>
      <c r="T359" s="313">
        <v>62.15</v>
      </c>
      <c r="U359" s="5">
        <f>T359/Q359</f>
        <v>1.8279411764705882</v>
      </c>
      <c r="V359" s="587">
        <f>SUM(Q359:Q362)</f>
        <v>395.1</v>
      </c>
      <c r="W359" s="587">
        <f>SUM(T359:T362)</f>
        <v>393.15</v>
      </c>
      <c r="X359" s="589">
        <f>W359/V359</f>
        <v>0.99506454062262706</v>
      </c>
      <c r="Y359" s="589">
        <f>W359/M359</f>
        <v>1.3600041511000411</v>
      </c>
      <c r="Z359" s="356" t="s">
        <v>920</v>
      </c>
      <c r="AA359" s="98"/>
    </row>
    <row r="360" spans="1:27" hidden="1">
      <c r="A360" s="475"/>
      <c r="B360" s="355"/>
      <c r="C360" s="8"/>
      <c r="D360" s="8"/>
      <c r="E360" s="8"/>
      <c r="F360" s="356"/>
      <c r="G360" s="313"/>
      <c r="H360" s="313"/>
      <c r="I360" s="356"/>
      <c r="J360" s="313"/>
      <c r="K360" s="313"/>
      <c r="L360" s="313"/>
      <c r="M360" s="313"/>
      <c r="N360" s="356" t="s">
        <v>921</v>
      </c>
      <c r="O360" s="356" t="s">
        <v>922</v>
      </c>
      <c r="P360" s="76" t="s">
        <v>36</v>
      </c>
      <c r="Q360" s="434">
        <v>340</v>
      </c>
      <c r="R360" s="434">
        <v>1073.3399999999999</v>
      </c>
      <c r="S360" s="356" t="s">
        <v>923</v>
      </c>
      <c r="T360" s="313">
        <v>320</v>
      </c>
      <c r="U360" s="5">
        <f t="shared" ref="U360" si="34">T360/Q360</f>
        <v>0.94117647058823528</v>
      </c>
      <c r="V360" s="591"/>
      <c r="W360" s="591"/>
      <c r="X360" s="592"/>
      <c r="Y360" s="592"/>
      <c r="Z360" s="356"/>
      <c r="AA360" s="98"/>
    </row>
    <row r="361" spans="1:27" ht="24" hidden="1">
      <c r="A361" s="475"/>
      <c r="B361" s="355"/>
      <c r="C361" s="8"/>
      <c r="D361" s="8"/>
      <c r="E361" s="8"/>
      <c r="F361" s="356"/>
      <c r="G361" s="313"/>
      <c r="H361" s="313"/>
      <c r="I361" s="356"/>
      <c r="J361" s="313"/>
      <c r="K361" s="313"/>
      <c r="L361" s="313"/>
      <c r="M361" s="313"/>
      <c r="N361" s="356" t="s">
        <v>924</v>
      </c>
      <c r="O361" s="356" t="s">
        <v>925</v>
      </c>
      <c r="P361" s="76" t="s">
        <v>36</v>
      </c>
      <c r="Q361" s="434">
        <v>1.1000000000000001</v>
      </c>
      <c r="R361" s="434">
        <v>15.9</v>
      </c>
      <c r="S361" s="356" t="s">
        <v>926</v>
      </c>
      <c r="T361" s="313">
        <v>1</v>
      </c>
      <c r="U361" s="5">
        <f>T361/Q361</f>
        <v>0.90909090909090906</v>
      </c>
      <c r="V361" s="591"/>
      <c r="W361" s="591"/>
      <c r="X361" s="592"/>
      <c r="Y361" s="592"/>
      <c r="Z361" s="356"/>
      <c r="AA361" s="98"/>
    </row>
    <row r="362" spans="1:27" ht="24" hidden="1">
      <c r="A362" s="475"/>
      <c r="B362" s="355"/>
      <c r="C362" s="8"/>
      <c r="D362" s="8"/>
      <c r="E362" s="8"/>
      <c r="F362" s="356"/>
      <c r="G362" s="313"/>
      <c r="H362" s="313"/>
      <c r="I362" s="356"/>
      <c r="J362" s="313"/>
      <c r="K362" s="313"/>
      <c r="L362" s="313"/>
      <c r="M362" s="313"/>
      <c r="N362" s="356" t="s">
        <v>927</v>
      </c>
      <c r="O362" s="356" t="s">
        <v>928</v>
      </c>
      <c r="P362" s="76" t="s">
        <v>36</v>
      </c>
      <c r="Q362" s="434">
        <v>20</v>
      </c>
      <c r="R362" s="434">
        <v>41</v>
      </c>
      <c r="S362" s="356" t="s">
        <v>929</v>
      </c>
      <c r="T362" s="313">
        <v>10</v>
      </c>
      <c r="U362" s="5">
        <f>T362/Q362</f>
        <v>0.5</v>
      </c>
      <c r="V362" s="588"/>
      <c r="W362" s="588"/>
      <c r="X362" s="590"/>
      <c r="Y362" s="590"/>
      <c r="Z362" s="356"/>
      <c r="AA362" s="98"/>
    </row>
    <row r="363" spans="1:27" ht="36" hidden="1">
      <c r="A363" s="475"/>
      <c r="B363" s="355">
        <v>4</v>
      </c>
      <c r="C363" s="8" t="s">
        <v>930</v>
      </c>
      <c r="D363" s="8">
        <v>26589.4679</v>
      </c>
      <c r="E363" s="8" t="s">
        <v>2158</v>
      </c>
      <c r="F363" s="356" t="s">
        <v>931</v>
      </c>
      <c r="G363" s="313">
        <v>25.791784</v>
      </c>
      <c r="H363" s="313"/>
      <c r="I363" s="356" t="s">
        <v>932</v>
      </c>
      <c r="J363" s="313">
        <v>27.081865000000001</v>
      </c>
      <c r="K363" s="313"/>
      <c r="L363" s="313"/>
      <c r="M363" s="313">
        <f>SUM(G363,H363,J363,L363)</f>
        <v>52.873649</v>
      </c>
      <c r="N363" s="356"/>
      <c r="O363" s="356"/>
      <c r="P363" s="356"/>
      <c r="Q363" s="434"/>
      <c r="R363" s="434"/>
      <c r="S363" s="356"/>
      <c r="T363" s="313"/>
      <c r="U363" s="5"/>
      <c r="V363" s="24"/>
      <c r="W363" s="24"/>
      <c r="X363" s="24"/>
      <c r="Y363" s="24"/>
      <c r="Z363" s="356" t="s">
        <v>933</v>
      </c>
      <c r="AA363" s="98"/>
    </row>
    <row r="364" spans="1:27" ht="60" hidden="1">
      <c r="A364" s="475"/>
      <c r="B364" s="339">
        <v>5</v>
      </c>
      <c r="C364" s="8" t="s">
        <v>934</v>
      </c>
      <c r="D364" s="8">
        <v>20802.467000000001</v>
      </c>
      <c r="E364" s="8" t="s">
        <v>2159</v>
      </c>
      <c r="F364" s="342" t="s">
        <v>935</v>
      </c>
      <c r="G364" s="325">
        <v>74.750699999999995</v>
      </c>
      <c r="H364" s="325">
        <v>37.444400000000002</v>
      </c>
      <c r="I364" s="342"/>
      <c r="J364" s="325"/>
      <c r="K364" s="325"/>
      <c r="L364" s="325"/>
      <c r="M364" s="325">
        <f>SUM(G364,H364,J364,L364)</f>
        <v>112.1951</v>
      </c>
      <c r="N364" s="342" t="s">
        <v>936</v>
      </c>
      <c r="O364" s="342" t="s">
        <v>937</v>
      </c>
      <c r="P364" s="76" t="s">
        <v>36</v>
      </c>
      <c r="Q364" s="347">
        <f>8.812+36</f>
        <v>44.811999999999998</v>
      </c>
      <c r="R364" s="347">
        <f>8.812+36</f>
        <v>44.811999999999998</v>
      </c>
      <c r="S364" s="342" t="s">
        <v>938</v>
      </c>
      <c r="T364" s="325">
        <f>7.3847+8.4835</f>
        <v>15.868199999999998</v>
      </c>
      <c r="U364" s="16">
        <f t="shared" ref="U364:U379" si="35">T364/Q364</f>
        <v>0.35410604302418991</v>
      </c>
      <c r="V364" s="25">
        <f>Q364</f>
        <v>44.811999999999998</v>
      </c>
      <c r="W364" s="25">
        <f>T364</f>
        <v>15.868199999999998</v>
      </c>
      <c r="X364" s="46">
        <f>W364/V364</f>
        <v>0.35410604302418991</v>
      </c>
      <c r="Y364" s="46">
        <f>W364/M364</f>
        <v>0.14143398419360559</v>
      </c>
      <c r="Z364" s="342" t="s">
        <v>939</v>
      </c>
      <c r="AA364" s="98"/>
    </row>
    <row r="365" spans="1:27" ht="24">
      <c r="A365" s="475"/>
      <c r="B365" s="208">
        <v>6</v>
      </c>
      <c r="C365" s="356" t="s">
        <v>1936</v>
      </c>
      <c r="D365" s="342">
        <v>19620.3426</v>
      </c>
      <c r="E365" s="342" t="s">
        <v>2160</v>
      </c>
      <c r="F365" s="356" t="s">
        <v>372</v>
      </c>
      <c r="G365" s="313">
        <v>46.436199999999999</v>
      </c>
      <c r="H365" s="313">
        <v>1.25</v>
      </c>
      <c r="I365" s="356" t="s">
        <v>394</v>
      </c>
      <c r="J365" s="313">
        <v>14.9053</v>
      </c>
      <c r="K365" s="313"/>
      <c r="L365" s="313"/>
      <c r="M365" s="313">
        <f>SUM(G365,H365,J365,L365)</f>
        <v>62.591499999999996</v>
      </c>
      <c r="N365" s="356" t="s">
        <v>941</v>
      </c>
      <c r="O365" s="356" t="s">
        <v>1937</v>
      </c>
      <c r="P365" s="76" t="s">
        <v>27</v>
      </c>
      <c r="Q365" s="434">
        <v>0.5</v>
      </c>
      <c r="R365" s="434">
        <v>0.4</v>
      </c>
      <c r="S365" s="356" t="s">
        <v>942</v>
      </c>
      <c r="T365" s="313">
        <v>0.18</v>
      </c>
      <c r="U365" s="5">
        <f t="shared" si="35"/>
        <v>0.36</v>
      </c>
      <c r="V365" s="587">
        <f>SUM(Q365:Q377)</f>
        <v>255.5</v>
      </c>
      <c r="W365" s="587">
        <f>SUM(T365:T377)</f>
        <v>80.37</v>
      </c>
      <c r="X365" s="589">
        <f>W365/V365</f>
        <v>0.31455968688845404</v>
      </c>
      <c r="Y365" s="589">
        <f>W365/M365</f>
        <v>1.2840401651981501</v>
      </c>
      <c r="Z365" s="356" t="s">
        <v>29</v>
      </c>
      <c r="AA365" s="98"/>
    </row>
    <row r="366" spans="1:27" hidden="1">
      <c r="A366" s="475"/>
      <c r="B366" s="208"/>
      <c r="C366" s="356"/>
      <c r="D366" s="342"/>
      <c r="E366" s="342"/>
      <c r="F366" s="356"/>
      <c r="G366" s="313"/>
      <c r="H366" s="313"/>
      <c r="I366" s="356"/>
      <c r="J366" s="313"/>
      <c r="K366" s="313"/>
      <c r="L366" s="313"/>
      <c r="M366" s="313"/>
      <c r="N366" s="356" t="s">
        <v>943</v>
      </c>
      <c r="O366" s="356" t="s">
        <v>944</v>
      </c>
      <c r="P366" s="76" t="s">
        <v>36</v>
      </c>
      <c r="Q366" s="434">
        <v>20</v>
      </c>
      <c r="R366" s="434">
        <v>98</v>
      </c>
      <c r="S366" s="356" t="s">
        <v>262</v>
      </c>
      <c r="T366" s="313">
        <v>35</v>
      </c>
      <c r="U366" s="5">
        <f t="shared" si="35"/>
        <v>1.75</v>
      </c>
      <c r="V366" s="591"/>
      <c r="W366" s="591"/>
      <c r="X366" s="592"/>
      <c r="Y366" s="592"/>
      <c r="Z366" s="356" t="s">
        <v>29</v>
      </c>
      <c r="AA366" s="98"/>
    </row>
    <row r="367" spans="1:27" ht="24" hidden="1">
      <c r="A367" s="475"/>
      <c r="B367" s="208"/>
      <c r="C367" s="356"/>
      <c r="D367" s="342"/>
      <c r="E367" s="342"/>
      <c r="F367" s="356"/>
      <c r="G367" s="313"/>
      <c r="H367" s="313"/>
      <c r="I367" s="356"/>
      <c r="J367" s="313"/>
      <c r="K367" s="313"/>
      <c r="L367" s="313"/>
      <c r="M367" s="313"/>
      <c r="N367" s="356" t="s">
        <v>943</v>
      </c>
      <c r="O367" s="356" t="s">
        <v>945</v>
      </c>
      <c r="P367" s="76" t="s">
        <v>36</v>
      </c>
      <c r="Q367" s="434">
        <v>140</v>
      </c>
      <c r="R367" s="434">
        <v>147</v>
      </c>
      <c r="S367" s="356" t="s">
        <v>262</v>
      </c>
      <c r="T367" s="313">
        <v>30</v>
      </c>
      <c r="U367" s="5">
        <f t="shared" si="35"/>
        <v>0.21428571428571427</v>
      </c>
      <c r="V367" s="591"/>
      <c r="W367" s="591"/>
      <c r="X367" s="592"/>
      <c r="Y367" s="592"/>
      <c r="Z367" s="356"/>
      <c r="AA367" s="98"/>
    </row>
    <row r="368" spans="1:27" ht="24">
      <c r="A368" s="475"/>
      <c r="B368" s="355"/>
      <c r="C368" s="356"/>
      <c r="D368" s="342"/>
      <c r="E368" s="342"/>
      <c r="F368" s="356"/>
      <c r="G368" s="313"/>
      <c r="H368" s="313"/>
      <c r="I368" s="356"/>
      <c r="J368" s="313"/>
      <c r="K368" s="313"/>
      <c r="L368" s="313"/>
      <c r="M368" s="313"/>
      <c r="N368" s="356" t="s">
        <v>946</v>
      </c>
      <c r="O368" s="356" t="s">
        <v>1938</v>
      </c>
      <c r="P368" s="76" t="s">
        <v>27</v>
      </c>
      <c r="Q368" s="434">
        <v>1.8</v>
      </c>
      <c r="R368" s="434">
        <v>1.2</v>
      </c>
      <c r="S368" s="356" t="s">
        <v>947</v>
      </c>
      <c r="T368" s="313">
        <v>0.73</v>
      </c>
      <c r="U368" s="5">
        <f t="shared" si="35"/>
        <v>0.40555555555555556</v>
      </c>
      <c r="V368" s="591"/>
      <c r="W368" s="591"/>
      <c r="X368" s="592"/>
      <c r="Y368" s="592"/>
      <c r="Z368" s="356"/>
      <c r="AA368" s="98"/>
    </row>
    <row r="369" spans="1:27" ht="24" hidden="1">
      <c r="A369" s="475"/>
      <c r="B369" s="355"/>
      <c r="C369" s="356"/>
      <c r="D369" s="342"/>
      <c r="E369" s="342"/>
      <c r="F369" s="356"/>
      <c r="G369" s="313"/>
      <c r="H369" s="313"/>
      <c r="I369" s="356"/>
      <c r="J369" s="313"/>
      <c r="K369" s="313"/>
      <c r="L369" s="313"/>
      <c r="M369" s="313"/>
      <c r="N369" s="356" t="s">
        <v>948</v>
      </c>
      <c r="O369" s="356" t="s">
        <v>949</v>
      </c>
      <c r="P369" s="76" t="s">
        <v>36</v>
      </c>
      <c r="Q369" s="434">
        <v>0.6</v>
      </c>
      <c r="R369" s="434">
        <v>0.6</v>
      </c>
      <c r="S369" s="356" t="s">
        <v>950</v>
      </c>
      <c r="T369" s="313">
        <v>0.66</v>
      </c>
      <c r="U369" s="5">
        <f t="shared" si="35"/>
        <v>1.1000000000000001</v>
      </c>
      <c r="V369" s="591"/>
      <c r="W369" s="591"/>
      <c r="X369" s="592"/>
      <c r="Y369" s="592"/>
      <c r="Z369" s="356"/>
      <c r="AA369" s="98"/>
    </row>
    <row r="370" spans="1:27">
      <c r="A370" s="475"/>
      <c r="B370" s="355"/>
      <c r="C370" s="356"/>
      <c r="D370" s="342"/>
      <c r="E370" s="342"/>
      <c r="F370" s="356"/>
      <c r="G370" s="313"/>
      <c r="H370" s="313"/>
      <c r="I370" s="356"/>
      <c r="J370" s="313"/>
      <c r="K370" s="313"/>
      <c r="L370" s="313"/>
      <c r="M370" s="313"/>
      <c r="N370" s="356" t="s">
        <v>951</v>
      </c>
      <c r="O370" s="356" t="s">
        <v>952</v>
      </c>
      <c r="P370" s="76" t="s">
        <v>27</v>
      </c>
      <c r="Q370" s="434">
        <v>13</v>
      </c>
      <c r="R370" s="434">
        <v>2.9</v>
      </c>
      <c r="S370" s="356" t="s">
        <v>953</v>
      </c>
      <c r="T370" s="313">
        <v>2.5</v>
      </c>
      <c r="U370" s="5">
        <f t="shared" si="35"/>
        <v>0.19230769230769232</v>
      </c>
      <c r="V370" s="591"/>
      <c r="W370" s="591"/>
      <c r="X370" s="592"/>
      <c r="Y370" s="592"/>
      <c r="Z370" s="356"/>
      <c r="AA370" s="98"/>
    </row>
    <row r="371" spans="1:27" ht="24">
      <c r="A371" s="475"/>
      <c r="B371" s="355"/>
      <c r="C371" s="356" t="s">
        <v>954</v>
      </c>
      <c r="D371" s="342"/>
      <c r="E371" s="342"/>
      <c r="F371" s="356"/>
      <c r="G371" s="313"/>
      <c r="H371" s="313"/>
      <c r="I371" s="356"/>
      <c r="J371" s="313"/>
      <c r="K371" s="313"/>
      <c r="L371" s="313"/>
      <c r="M371" s="313"/>
      <c r="N371" s="356" t="s">
        <v>955</v>
      </c>
      <c r="O371" s="356" t="s">
        <v>956</v>
      </c>
      <c r="P371" s="76" t="s">
        <v>27</v>
      </c>
      <c r="Q371" s="434">
        <v>11</v>
      </c>
      <c r="R371" s="434">
        <v>3.6</v>
      </c>
      <c r="S371" s="356" t="s">
        <v>957</v>
      </c>
      <c r="T371" s="313">
        <v>2.82</v>
      </c>
      <c r="U371" s="5">
        <f t="shared" si="35"/>
        <v>0.25636363636363635</v>
      </c>
      <c r="V371" s="591"/>
      <c r="W371" s="591"/>
      <c r="X371" s="592"/>
      <c r="Y371" s="592"/>
      <c r="Z371" s="356"/>
      <c r="AA371" s="98"/>
    </row>
    <row r="372" spans="1:27">
      <c r="A372" s="475"/>
      <c r="B372" s="355"/>
      <c r="C372" s="356"/>
      <c r="D372" s="342"/>
      <c r="E372" s="342"/>
      <c r="F372" s="356"/>
      <c r="G372" s="313"/>
      <c r="H372" s="313"/>
      <c r="I372" s="356"/>
      <c r="J372" s="313"/>
      <c r="K372" s="313"/>
      <c r="L372" s="313"/>
      <c r="M372" s="313"/>
      <c r="N372" s="356" t="s">
        <v>958</v>
      </c>
      <c r="O372" s="356" t="s">
        <v>959</v>
      </c>
      <c r="P372" s="76" t="s">
        <v>27</v>
      </c>
      <c r="Q372" s="434">
        <v>1.6</v>
      </c>
      <c r="R372" s="434">
        <v>1.2</v>
      </c>
      <c r="S372" s="356" t="s">
        <v>957</v>
      </c>
      <c r="T372" s="313">
        <v>0.82</v>
      </c>
      <c r="U372" s="5">
        <f t="shared" si="35"/>
        <v>0.51249999999999996</v>
      </c>
      <c r="V372" s="591"/>
      <c r="W372" s="591"/>
      <c r="X372" s="592"/>
      <c r="Y372" s="592"/>
      <c r="Z372" s="356"/>
      <c r="AA372" s="98"/>
    </row>
    <row r="373" spans="1:27">
      <c r="A373" s="475"/>
      <c r="B373" s="355"/>
      <c r="C373" s="356"/>
      <c r="D373" s="342"/>
      <c r="E373" s="342"/>
      <c r="F373" s="356"/>
      <c r="G373" s="313"/>
      <c r="H373" s="313"/>
      <c r="I373" s="356"/>
      <c r="J373" s="313"/>
      <c r="K373" s="313"/>
      <c r="L373" s="313"/>
      <c r="M373" s="313"/>
      <c r="N373" s="356" t="s">
        <v>960</v>
      </c>
      <c r="O373" s="356" t="s">
        <v>961</v>
      </c>
      <c r="P373" s="76" t="s">
        <v>27</v>
      </c>
      <c r="Q373" s="434">
        <v>16</v>
      </c>
      <c r="R373" s="434">
        <v>5.4</v>
      </c>
      <c r="S373" s="356" t="s">
        <v>957</v>
      </c>
      <c r="T373" s="313">
        <v>3.83</v>
      </c>
      <c r="U373" s="5">
        <f t="shared" si="35"/>
        <v>0.239375</v>
      </c>
      <c r="V373" s="591"/>
      <c r="W373" s="591"/>
      <c r="X373" s="592"/>
      <c r="Y373" s="592"/>
      <c r="Z373" s="356"/>
      <c r="AA373" s="98"/>
    </row>
    <row r="374" spans="1:27">
      <c r="A374" s="475"/>
      <c r="B374" s="355"/>
      <c r="C374" s="356"/>
      <c r="D374" s="342"/>
      <c r="E374" s="342"/>
      <c r="F374" s="356"/>
      <c r="G374" s="313"/>
      <c r="H374" s="313"/>
      <c r="I374" s="356"/>
      <c r="J374" s="313"/>
      <c r="K374" s="313"/>
      <c r="L374" s="313"/>
      <c r="M374" s="313"/>
      <c r="N374" s="356" t="s">
        <v>962</v>
      </c>
      <c r="O374" s="356" t="s">
        <v>963</v>
      </c>
      <c r="P374" s="76" t="s">
        <v>27</v>
      </c>
      <c r="Q374" s="434">
        <v>5</v>
      </c>
      <c r="R374" s="434">
        <v>3.5</v>
      </c>
      <c r="S374" s="356" t="s">
        <v>964</v>
      </c>
      <c r="T374" s="313">
        <v>2.4300000000000002</v>
      </c>
      <c r="U374" s="5">
        <f t="shared" si="35"/>
        <v>0.48600000000000004</v>
      </c>
      <c r="V374" s="591"/>
      <c r="W374" s="591"/>
      <c r="X374" s="592"/>
      <c r="Y374" s="592"/>
      <c r="Z374" s="356"/>
      <c r="AA374" s="98"/>
    </row>
    <row r="375" spans="1:27">
      <c r="A375" s="475"/>
      <c r="B375" s="355"/>
      <c r="C375" s="356"/>
      <c r="D375" s="342"/>
      <c r="E375" s="342"/>
      <c r="F375" s="356"/>
      <c r="G375" s="313"/>
      <c r="H375" s="313"/>
      <c r="I375" s="356"/>
      <c r="J375" s="313"/>
      <c r="K375" s="313"/>
      <c r="L375" s="313"/>
      <c r="M375" s="313"/>
      <c r="N375" s="356" t="s">
        <v>264</v>
      </c>
      <c r="O375" s="356" t="s">
        <v>965</v>
      </c>
      <c r="P375" s="76" t="s">
        <v>27</v>
      </c>
      <c r="Q375" s="434">
        <v>6</v>
      </c>
      <c r="R375" s="434">
        <v>1.8</v>
      </c>
      <c r="S375" s="356" t="s">
        <v>964</v>
      </c>
      <c r="T375" s="313">
        <v>1.4</v>
      </c>
      <c r="U375" s="5">
        <f t="shared" si="35"/>
        <v>0.23333333333333331</v>
      </c>
      <c r="V375" s="591"/>
      <c r="W375" s="591"/>
      <c r="X375" s="592"/>
      <c r="Y375" s="592"/>
      <c r="Z375" s="356"/>
      <c r="AA375" s="98"/>
    </row>
    <row r="376" spans="1:27" ht="24" hidden="1">
      <c r="A376" s="475"/>
      <c r="B376" s="355"/>
      <c r="C376" s="356"/>
      <c r="D376" s="342"/>
      <c r="E376" s="342"/>
      <c r="F376" s="356"/>
      <c r="G376" s="313"/>
      <c r="H376" s="313"/>
      <c r="I376" s="356"/>
      <c r="J376" s="313"/>
      <c r="K376" s="313"/>
      <c r="L376" s="313"/>
      <c r="M376" s="313"/>
      <c r="N376" s="356" t="s">
        <v>1939</v>
      </c>
      <c r="O376" s="356" t="s">
        <v>944</v>
      </c>
      <c r="P376" s="76" t="s">
        <v>36</v>
      </c>
      <c r="Q376" s="434">
        <v>20</v>
      </c>
      <c r="R376" s="434">
        <v>50</v>
      </c>
      <c r="S376" s="356"/>
      <c r="T376" s="313"/>
      <c r="U376" s="5">
        <f t="shared" si="35"/>
        <v>0</v>
      </c>
      <c r="V376" s="591"/>
      <c r="W376" s="591"/>
      <c r="X376" s="592"/>
      <c r="Y376" s="592"/>
      <c r="Z376" s="356"/>
      <c r="AA376" s="98"/>
    </row>
    <row r="377" spans="1:27" ht="24" hidden="1">
      <c r="A377" s="475"/>
      <c r="B377" s="355"/>
      <c r="C377" s="356"/>
      <c r="D377" s="342"/>
      <c r="E377" s="342"/>
      <c r="F377" s="356"/>
      <c r="G377" s="313"/>
      <c r="H377" s="313"/>
      <c r="I377" s="356"/>
      <c r="J377" s="313"/>
      <c r="K377" s="313"/>
      <c r="L377" s="313"/>
      <c r="M377" s="313"/>
      <c r="N377" s="356" t="s">
        <v>1939</v>
      </c>
      <c r="O377" s="356" t="s">
        <v>945</v>
      </c>
      <c r="P377" s="76" t="s">
        <v>36</v>
      </c>
      <c r="Q377" s="434">
        <v>20</v>
      </c>
      <c r="R377" s="434">
        <v>50</v>
      </c>
      <c r="S377" s="356"/>
      <c r="T377" s="313"/>
      <c r="U377" s="5">
        <f t="shared" si="35"/>
        <v>0</v>
      </c>
      <c r="V377" s="588"/>
      <c r="W377" s="588"/>
      <c r="X377" s="590"/>
      <c r="Y377" s="590"/>
      <c r="Z377" s="356"/>
      <c r="AA377" s="98"/>
    </row>
    <row r="378" spans="1:27" ht="24" hidden="1">
      <c r="A378" s="475"/>
      <c r="B378" s="339">
        <v>7</v>
      </c>
      <c r="C378" s="342" t="s">
        <v>966</v>
      </c>
      <c r="D378" s="342">
        <v>12517.5098</v>
      </c>
      <c r="E378" s="342" t="s">
        <v>2161</v>
      </c>
      <c r="F378" s="342" t="s">
        <v>372</v>
      </c>
      <c r="G378" s="325">
        <v>52.5169</v>
      </c>
      <c r="H378" s="209"/>
      <c r="I378" s="342" t="s">
        <v>242</v>
      </c>
      <c r="J378" s="325">
        <v>15</v>
      </c>
      <c r="K378" s="325"/>
      <c r="L378" s="325"/>
      <c r="M378" s="325">
        <f>SUM(G378,H378,J378,L378)</f>
        <v>67.516899999999993</v>
      </c>
      <c r="N378" s="342" t="s">
        <v>967</v>
      </c>
      <c r="O378" s="342" t="s">
        <v>968</v>
      </c>
      <c r="P378" s="76" t="s">
        <v>36</v>
      </c>
      <c r="Q378" s="347">
        <v>18</v>
      </c>
      <c r="R378" s="347">
        <v>54</v>
      </c>
      <c r="S378" s="342" t="s">
        <v>969</v>
      </c>
      <c r="T378" s="325">
        <v>17.723379999999999</v>
      </c>
      <c r="U378" s="16">
        <f t="shared" si="35"/>
        <v>0.98463222222222213</v>
      </c>
      <c r="V378" s="575">
        <f>SUM(Q378:Q379)</f>
        <v>148</v>
      </c>
      <c r="W378" s="575">
        <f>SUM(T378:T379)</f>
        <v>145.72337999999999</v>
      </c>
      <c r="X378" s="578">
        <f>W378/V378</f>
        <v>0.98461743243243238</v>
      </c>
      <c r="Y378" s="578">
        <f>W378/M378</f>
        <v>2.1583245083823459</v>
      </c>
      <c r="Z378" s="342" t="s">
        <v>970</v>
      </c>
      <c r="AA378" s="98"/>
    </row>
    <row r="379" spans="1:27" ht="24" hidden="1">
      <c r="A379" s="475"/>
      <c r="B379" s="355"/>
      <c r="C379" s="356" t="s">
        <v>954</v>
      </c>
      <c r="D379" s="342"/>
      <c r="E379" s="342"/>
      <c r="F379" s="356"/>
      <c r="G379" s="313"/>
      <c r="H379" s="313"/>
      <c r="I379" s="356"/>
      <c r="J379" s="313"/>
      <c r="K379" s="313"/>
      <c r="L379" s="313"/>
      <c r="M379" s="313"/>
      <c r="N379" s="356" t="s">
        <v>971</v>
      </c>
      <c r="O379" s="356" t="s">
        <v>972</v>
      </c>
      <c r="P379" s="76" t="s">
        <v>36</v>
      </c>
      <c r="Q379" s="434">
        <v>130</v>
      </c>
      <c r="R379" s="434">
        <v>782</v>
      </c>
      <c r="S379" s="356" t="s">
        <v>973</v>
      </c>
      <c r="T379" s="313">
        <v>128</v>
      </c>
      <c r="U379" s="5">
        <f t="shared" si="35"/>
        <v>0.98461538461538467</v>
      </c>
      <c r="V379" s="577"/>
      <c r="W379" s="577"/>
      <c r="X379" s="580"/>
      <c r="Y379" s="580"/>
      <c r="Z379" s="356"/>
      <c r="AA379" s="98"/>
    </row>
    <row r="380" spans="1:27" ht="24" hidden="1">
      <c r="A380" s="475"/>
      <c r="B380" s="355">
        <v>8</v>
      </c>
      <c r="C380" s="8" t="s">
        <v>974</v>
      </c>
      <c r="D380" s="8">
        <v>35221.199999999997</v>
      </c>
      <c r="E380" s="8" t="s">
        <v>2162</v>
      </c>
      <c r="F380" s="356" t="s">
        <v>975</v>
      </c>
      <c r="G380" s="313">
        <v>72.3</v>
      </c>
      <c r="H380" s="313"/>
      <c r="I380" s="356" t="s">
        <v>31</v>
      </c>
      <c r="J380" s="313">
        <v>35.4</v>
      </c>
      <c r="K380" s="313"/>
      <c r="L380" s="313"/>
      <c r="M380" s="313">
        <f t="shared" ref="M380" si="36">SUM(G380,H380,J380,L380)</f>
        <v>107.69999999999999</v>
      </c>
      <c r="N380" s="356" t="s">
        <v>976</v>
      </c>
      <c r="O380" s="356" t="s">
        <v>977</v>
      </c>
      <c r="P380" s="76" t="s">
        <v>36</v>
      </c>
      <c r="Q380" s="434">
        <v>2</v>
      </c>
      <c r="R380" s="434">
        <v>34</v>
      </c>
      <c r="S380" s="356" t="s">
        <v>978</v>
      </c>
      <c r="T380" s="313">
        <v>15.28</v>
      </c>
      <c r="U380" s="5">
        <f>T380/Q380</f>
        <v>7.64</v>
      </c>
      <c r="V380" s="587">
        <f>SUM(Q380:Q382)</f>
        <v>86</v>
      </c>
      <c r="W380" s="587">
        <f>SUM(T380:T382)</f>
        <v>274.08</v>
      </c>
      <c r="X380" s="589">
        <f>W380/V380</f>
        <v>3.1869767441860462</v>
      </c>
      <c r="Y380" s="589">
        <f>W380/M380</f>
        <v>2.5448467966573816</v>
      </c>
      <c r="Z380" s="356" t="s">
        <v>32</v>
      </c>
      <c r="AA380" s="98"/>
    </row>
    <row r="381" spans="1:27" hidden="1">
      <c r="A381" s="475"/>
      <c r="B381" s="355"/>
      <c r="C381" s="356"/>
      <c r="D381" s="342"/>
      <c r="E381" s="342"/>
      <c r="F381" s="356"/>
      <c r="G381" s="313"/>
      <c r="H381" s="313"/>
      <c r="I381" s="356"/>
      <c r="J381" s="313"/>
      <c r="K381" s="313"/>
      <c r="L381" s="313"/>
      <c r="M381" s="313"/>
      <c r="N381" s="356" t="s">
        <v>979</v>
      </c>
      <c r="O381" s="356" t="s">
        <v>980</v>
      </c>
      <c r="P381" s="76" t="s">
        <v>36</v>
      </c>
      <c r="Q381" s="434">
        <v>4</v>
      </c>
      <c r="R381" s="434">
        <v>70</v>
      </c>
      <c r="S381" s="356" t="s">
        <v>981</v>
      </c>
      <c r="T381" s="313">
        <v>16.3</v>
      </c>
      <c r="U381" s="5">
        <f t="shared" ref="U381:U382" si="37">T381/Q381</f>
        <v>4.0750000000000002</v>
      </c>
      <c r="V381" s="591"/>
      <c r="W381" s="591"/>
      <c r="X381" s="592"/>
      <c r="Y381" s="592"/>
      <c r="Z381" s="356"/>
      <c r="AA381" s="98"/>
    </row>
    <row r="382" spans="1:27" hidden="1">
      <c r="A382" s="475"/>
      <c r="B382" s="355"/>
      <c r="C382" s="356"/>
      <c r="D382" s="342"/>
      <c r="E382" s="342"/>
      <c r="F382" s="356"/>
      <c r="G382" s="313"/>
      <c r="H382" s="313"/>
      <c r="I382" s="356"/>
      <c r="J382" s="313"/>
      <c r="K382" s="313"/>
      <c r="L382" s="313"/>
      <c r="M382" s="313"/>
      <c r="N382" s="356" t="s">
        <v>982</v>
      </c>
      <c r="O382" s="356" t="s">
        <v>980</v>
      </c>
      <c r="P382" s="76" t="s">
        <v>36</v>
      </c>
      <c r="Q382" s="434">
        <v>80</v>
      </c>
      <c r="R382" s="434">
        <v>400</v>
      </c>
      <c r="S382" s="356" t="s">
        <v>983</v>
      </c>
      <c r="T382" s="313">
        <v>242.5</v>
      </c>
      <c r="U382" s="5">
        <f t="shared" si="37"/>
        <v>3.03125</v>
      </c>
      <c r="V382" s="588"/>
      <c r="W382" s="588"/>
      <c r="X382" s="590"/>
      <c r="Y382" s="590"/>
      <c r="Z382" s="356"/>
      <c r="AA382" s="98"/>
    </row>
    <row r="383" spans="1:27" ht="48" hidden="1">
      <c r="A383" s="475"/>
      <c r="B383" s="355">
        <v>9</v>
      </c>
      <c r="C383" s="8" t="s">
        <v>984</v>
      </c>
      <c r="D383" s="8">
        <v>18718.8986</v>
      </c>
      <c r="E383" s="8" t="s">
        <v>2163</v>
      </c>
      <c r="F383" s="356" t="s">
        <v>985</v>
      </c>
      <c r="G383" s="313">
        <f>489231.01/10000</f>
        <v>48.923101000000003</v>
      </c>
      <c r="H383" s="313">
        <f>5500/10000</f>
        <v>0.55000000000000004</v>
      </c>
      <c r="I383" s="356" t="s">
        <v>986</v>
      </c>
      <c r="J383" s="313">
        <f>270000/10000</f>
        <v>27</v>
      </c>
      <c r="K383" s="313"/>
      <c r="L383" s="313"/>
      <c r="M383" s="313">
        <f>SUM(G383,H383,J383,L383)</f>
        <v>76.473101</v>
      </c>
      <c r="N383" s="356"/>
      <c r="O383" s="356"/>
      <c r="P383" s="356"/>
      <c r="Q383" s="434"/>
      <c r="R383" s="434"/>
      <c r="S383" s="356"/>
      <c r="T383" s="313"/>
      <c r="U383" s="5"/>
      <c r="V383" s="24"/>
      <c r="W383" s="24"/>
      <c r="X383" s="24"/>
      <c r="Y383" s="24"/>
      <c r="Z383" s="356" t="s">
        <v>29</v>
      </c>
      <c r="AA383" s="98"/>
    </row>
    <row r="384" spans="1:27" ht="36" hidden="1">
      <c r="A384" s="475"/>
      <c r="B384" s="355">
        <v>10</v>
      </c>
      <c r="C384" s="8" t="s">
        <v>987</v>
      </c>
      <c r="D384" s="8">
        <v>73826.732600000003</v>
      </c>
      <c r="E384" s="8" t="s">
        <v>2164</v>
      </c>
      <c r="F384" s="356" t="s">
        <v>39</v>
      </c>
      <c r="G384" s="313">
        <v>282</v>
      </c>
      <c r="H384" s="313">
        <v>0.62</v>
      </c>
      <c r="I384" s="356" t="s">
        <v>39</v>
      </c>
      <c r="J384" s="313">
        <v>88</v>
      </c>
      <c r="K384" s="313"/>
      <c r="L384" s="313"/>
      <c r="M384" s="313">
        <f>SUM(G384,H384,J384,L384)</f>
        <v>370.62</v>
      </c>
      <c r="N384" s="210" t="s">
        <v>988</v>
      </c>
      <c r="O384" s="356" t="s">
        <v>989</v>
      </c>
      <c r="P384" s="76" t="s">
        <v>36</v>
      </c>
      <c r="Q384" s="347">
        <v>108</v>
      </c>
      <c r="R384" s="347">
        <v>108</v>
      </c>
      <c r="S384" s="356"/>
      <c r="T384" s="313"/>
      <c r="U384" s="5">
        <f>T384/Q384</f>
        <v>0</v>
      </c>
      <c r="V384" s="620">
        <f>SUM(Q384:Q393)</f>
        <v>345.649</v>
      </c>
      <c r="W384" s="620">
        <f>SUM(T384:T393)</f>
        <v>0</v>
      </c>
      <c r="X384" s="620"/>
      <c r="Y384" s="620"/>
      <c r="Z384" s="356" t="s">
        <v>990</v>
      </c>
      <c r="AA384" s="98"/>
    </row>
    <row r="385" spans="1:27" ht="24" hidden="1">
      <c r="A385" s="475"/>
      <c r="B385" s="355"/>
      <c r="C385" s="8"/>
      <c r="D385" s="8"/>
      <c r="E385" s="8"/>
      <c r="F385" s="356"/>
      <c r="G385" s="313"/>
      <c r="H385" s="313"/>
      <c r="I385" s="356"/>
      <c r="J385" s="313"/>
      <c r="K385" s="313"/>
      <c r="L385" s="313"/>
      <c r="M385" s="313"/>
      <c r="N385" s="210" t="s">
        <v>991</v>
      </c>
      <c r="O385" s="356" t="s">
        <v>992</v>
      </c>
      <c r="P385" s="76" t="s">
        <v>36</v>
      </c>
      <c r="Q385" s="347">
        <v>6.6</v>
      </c>
      <c r="R385" s="347">
        <v>6.6</v>
      </c>
      <c r="S385" s="356"/>
      <c r="T385" s="313"/>
      <c r="U385" s="356"/>
      <c r="V385" s="591"/>
      <c r="W385" s="591"/>
      <c r="X385" s="591"/>
      <c r="Y385" s="591"/>
      <c r="Z385" s="356"/>
      <c r="AA385" s="98"/>
    </row>
    <row r="386" spans="1:27" ht="24" hidden="1">
      <c r="A386" s="475"/>
      <c r="B386" s="355"/>
      <c r="C386" s="8"/>
      <c r="D386" s="8"/>
      <c r="E386" s="8"/>
      <c r="F386" s="356"/>
      <c r="G386" s="313"/>
      <c r="H386" s="313"/>
      <c r="I386" s="356"/>
      <c r="J386" s="313"/>
      <c r="K386" s="313"/>
      <c r="L386" s="313"/>
      <c r="M386" s="313"/>
      <c r="N386" s="210" t="s">
        <v>993</v>
      </c>
      <c r="O386" s="356" t="s">
        <v>994</v>
      </c>
      <c r="P386" s="76" t="s">
        <v>36</v>
      </c>
      <c r="Q386" s="347">
        <v>1.5</v>
      </c>
      <c r="R386" s="347">
        <v>1.5</v>
      </c>
      <c r="S386" s="356"/>
      <c r="T386" s="313"/>
      <c r="U386" s="356"/>
      <c r="V386" s="591"/>
      <c r="W386" s="591"/>
      <c r="X386" s="591"/>
      <c r="Y386" s="591"/>
      <c r="Z386" s="356"/>
      <c r="AA386" s="98"/>
    </row>
    <row r="387" spans="1:27" ht="24" hidden="1">
      <c r="A387" s="475"/>
      <c r="B387" s="355"/>
      <c r="C387" s="8"/>
      <c r="D387" s="8"/>
      <c r="E387" s="8"/>
      <c r="F387" s="356"/>
      <c r="G387" s="313"/>
      <c r="H387" s="313"/>
      <c r="I387" s="356"/>
      <c r="J387" s="313"/>
      <c r="K387" s="313"/>
      <c r="L387" s="313"/>
      <c r="M387" s="313"/>
      <c r="N387" s="210" t="s">
        <v>798</v>
      </c>
      <c r="O387" s="356" t="s">
        <v>995</v>
      </c>
      <c r="P387" s="76" t="s">
        <v>36</v>
      </c>
      <c r="Q387" s="347">
        <v>2.66</v>
      </c>
      <c r="R387" s="347">
        <v>2.66</v>
      </c>
      <c r="S387" s="356"/>
      <c r="T387" s="313"/>
      <c r="U387" s="356"/>
      <c r="V387" s="591"/>
      <c r="W387" s="591"/>
      <c r="X387" s="591"/>
      <c r="Y387" s="591"/>
      <c r="Z387" s="356"/>
      <c r="AA387" s="98"/>
    </row>
    <row r="388" spans="1:27" ht="24" hidden="1">
      <c r="A388" s="475"/>
      <c r="B388" s="355"/>
      <c r="C388" s="8"/>
      <c r="D388" s="8"/>
      <c r="E388" s="8"/>
      <c r="F388" s="356"/>
      <c r="G388" s="313"/>
      <c r="H388" s="313"/>
      <c r="I388" s="356"/>
      <c r="J388" s="313"/>
      <c r="K388" s="313"/>
      <c r="L388" s="313"/>
      <c r="M388" s="313"/>
      <c r="N388" s="210" t="s">
        <v>996</v>
      </c>
      <c r="O388" s="356" t="s">
        <v>997</v>
      </c>
      <c r="P388" s="76" t="s">
        <v>36</v>
      </c>
      <c r="Q388" s="15">
        <v>10.089</v>
      </c>
      <c r="R388" s="15">
        <v>10.089</v>
      </c>
      <c r="S388" s="356"/>
      <c r="T388" s="313"/>
      <c r="U388" s="356"/>
      <c r="V388" s="591"/>
      <c r="W388" s="591"/>
      <c r="X388" s="591"/>
      <c r="Y388" s="591"/>
      <c r="Z388" s="356"/>
      <c r="AA388" s="98"/>
    </row>
    <row r="389" spans="1:27" ht="48" hidden="1">
      <c r="A389" s="475"/>
      <c r="B389" s="355"/>
      <c r="C389" s="8"/>
      <c r="D389" s="8"/>
      <c r="E389" s="8"/>
      <c r="F389" s="356"/>
      <c r="G389" s="313"/>
      <c r="H389" s="313"/>
      <c r="I389" s="356"/>
      <c r="J389" s="313"/>
      <c r="K389" s="313"/>
      <c r="L389" s="313"/>
      <c r="M389" s="313"/>
      <c r="N389" s="210" t="s">
        <v>998</v>
      </c>
      <c r="O389" s="356" t="s">
        <v>999</v>
      </c>
      <c r="P389" s="76" t="s">
        <v>36</v>
      </c>
      <c r="Q389" s="15">
        <v>109</v>
      </c>
      <c r="R389" s="15">
        <v>109</v>
      </c>
      <c r="S389" s="356"/>
      <c r="T389" s="313"/>
      <c r="U389" s="356"/>
      <c r="V389" s="591"/>
      <c r="W389" s="591"/>
      <c r="X389" s="591"/>
      <c r="Y389" s="591"/>
      <c r="Z389" s="356"/>
      <c r="AA389" s="98"/>
    </row>
    <row r="390" spans="1:27" ht="24" hidden="1">
      <c r="A390" s="475"/>
      <c r="B390" s="355"/>
      <c r="C390" s="8"/>
      <c r="D390" s="8"/>
      <c r="E390" s="8"/>
      <c r="F390" s="356"/>
      <c r="G390" s="313"/>
      <c r="H390" s="313"/>
      <c r="I390" s="356"/>
      <c r="J390" s="313"/>
      <c r="K390" s="313"/>
      <c r="L390" s="313"/>
      <c r="M390" s="313"/>
      <c r="N390" s="210" t="s">
        <v>1000</v>
      </c>
      <c r="O390" s="356" t="s">
        <v>1001</v>
      </c>
      <c r="P390" s="76" t="s">
        <v>36</v>
      </c>
      <c r="Q390" s="15">
        <v>13</v>
      </c>
      <c r="R390" s="15">
        <v>13</v>
      </c>
      <c r="S390" s="356"/>
      <c r="T390" s="313"/>
      <c r="U390" s="356"/>
      <c r="V390" s="591"/>
      <c r="W390" s="591"/>
      <c r="X390" s="591"/>
      <c r="Y390" s="591"/>
      <c r="Z390" s="356"/>
      <c r="AA390" s="98"/>
    </row>
    <row r="391" spans="1:27" hidden="1">
      <c r="A391" s="475"/>
      <c r="B391" s="355"/>
      <c r="C391" s="8"/>
      <c r="D391" s="8"/>
      <c r="E391" s="8"/>
      <c r="F391" s="356"/>
      <c r="G391" s="313"/>
      <c r="H391" s="313"/>
      <c r="I391" s="356"/>
      <c r="J391" s="313"/>
      <c r="K391" s="313"/>
      <c r="L391" s="313"/>
      <c r="M391" s="313"/>
      <c r="N391" s="210" t="s">
        <v>1002</v>
      </c>
      <c r="O391" s="356" t="s">
        <v>1003</v>
      </c>
      <c r="P391" s="76" t="s">
        <v>36</v>
      </c>
      <c r="Q391" s="15">
        <v>63</v>
      </c>
      <c r="R391" s="15">
        <v>63</v>
      </c>
      <c r="S391" s="356"/>
      <c r="T391" s="313"/>
      <c r="U391" s="356"/>
      <c r="V391" s="591"/>
      <c r="W391" s="591"/>
      <c r="X391" s="591"/>
      <c r="Y391" s="591"/>
      <c r="Z391" s="356"/>
      <c r="AA391" s="98"/>
    </row>
    <row r="392" spans="1:27" ht="36" hidden="1">
      <c r="A392" s="475"/>
      <c r="B392" s="355"/>
      <c r="C392" s="8"/>
      <c r="D392" s="8"/>
      <c r="E392" s="8"/>
      <c r="F392" s="356"/>
      <c r="G392" s="313"/>
      <c r="H392" s="313"/>
      <c r="I392" s="356"/>
      <c r="J392" s="313"/>
      <c r="K392" s="313"/>
      <c r="L392" s="313"/>
      <c r="M392" s="313"/>
      <c r="N392" s="210" t="s">
        <v>1004</v>
      </c>
      <c r="O392" s="356" t="s">
        <v>1005</v>
      </c>
      <c r="P392" s="76" t="s">
        <v>36</v>
      </c>
      <c r="Q392" s="15">
        <v>30</v>
      </c>
      <c r="R392" s="15">
        <v>30</v>
      </c>
      <c r="S392" s="356"/>
      <c r="T392" s="313"/>
      <c r="U392" s="356"/>
      <c r="V392" s="591"/>
      <c r="W392" s="591"/>
      <c r="X392" s="591"/>
      <c r="Y392" s="591"/>
      <c r="Z392" s="356"/>
      <c r="AA392" s="98"/>
    </row>
    <row r="393" spans="1:27" ht="60" hidden="1">
      <c r="A393" s="475"/>
      <c r="B393" s="355"/>
      <c r="C393" s="8"/>
      <c r="D393" s="8"/>
      <c r="E393" s="8"/>
      <c r="F393" s="356"/>
      <c r="G393" s="313"/>
      <c r="H393" s="313"/>
      <c r="I393" s="356"/>
      <c r="J393" s="313"/>
      <c r="K393" s="313"/>
      <c r="L393" s="313"/>
      <c r="M393" s="313"/>
      <c r="N393" s="356" t="s">
        <v>1006</v>
      </c>
      <c r="O393" s="356" t="s">
        <v>1007</v>
      </c>
      <c r="P393" s="76" t="s">
        <v>36</v>
      </c>
      <c r="Q393" s="347">
        <v>1.8</v>
      </c>
      <c r="R393" s="347">
        <v>1.8</v>
      </c>
      <c r="S393" s="356"/>
      <c r="T393" s="313"/>
      <c r="U393" s="356"/>
      <c r="V393" s="588"/>
      <c r="W393" s="588"/>
      <c r="X393" s="588"/>
      <c r="Y393" s="588"/>
      <c r="Z393" s="356"/>
      <c r="AA393" s="98"/>
    </row>
    <row r="394" spans="1:27" ht="60">
      <c r="A394" s="475"/>
      <c r="B394" s="355">
        <v>11</v>
      </c>
      <c r="C394" s="8" t="s">
        <v>1008</v>
      </c>
      <c r="D394" s="8">
        <v>25319.399700000002</v>
      </c>
      <c r="E394" s="8" t="s">
        <v>2165</v>
      </c>
      <c r="F394" s="356" t="s">
        <v>1009</v>
      </c>
      <c r="G394" s="313">
        <f>688877/10000</f>
        <v>68.887699999999995</v>
      </c>
      <c r="H394" s="313">
        <f>40000/10000</f>
        <v>4</v>
      </c>
      <c r="I394" s="356" t="s">
        <v>1010</v>
      </c>
      <c r="J394" s="313">
        <f>(222810.72+122721.09)/10000</f>
        <v>34.553181000000002</v>
      </c>
      <c r="K394" s="313"/>
      <c r="L394" s="313"/>
      <c r="M394" s="313">
        <f>SUM(G394,H394,J394,L394)</f>
        <v>107.44088099999999</v>
      </c>
      <c r="N394" s="356" t="s">
        <v>458</v>
      </c>
      <c r="O394" s="356" t="s">
        <v>1011</v>
      </c>
      <c r="P394" s="76" t="s">
        <v>27</v>
      </c>
      <c r="Q394" s="434">
        <f>6172.11/10000</f>
        <v>0.61721099999999995</v>
      </c>
      <c r="R394" s="434">
        <f>Q394</f>
        <v>0.61721099999999995</v>
      </c>
      <c r="S394" s="356" t="s">
        <v>1012</v>
      </c>
      <c r="T394" s="313">
        <f>1506.87/10000</f>
        <v>0.15068699999999999</v>
      </c>
      <c r="U394" s="5">
        <f>T394/Q394</f>
        <v>0.24414179267705857</v>
      </c>
      <c r="V394" s="620">
        <f>SUM(Q394:Q396)</f>
        <v>2.5927990000000003</v>
      </c>
      <c r="W394" s="620">
        <f>SUM(T394:T396)</f>
        <v>1.2075600000000002</v>
      </c>
      <c r="X394" s="589">
        <f>W394/V394</f>
        <v>0.46573606361310693</v>
      </c>
      <c r="Y394" s="589">
        <f>W394/M394</f>
        <v>1.1239297265256047E-2</v>
      </c>
      <c r="Z394" s="356" t="s">
        <v>1013</v>
      </c>
      <c r="AA394" s="98"/>
    </row>
    <row r="395" spans="1:27">
      <c r="A395" s="475"/>
      <c r="B395" s="355"/>
      <c r="C395" s="8"/>
      <c r="D395" s="8"/>
      <c r="E395" s="8"/>
      <c r="F395" s="356"/>
      <c r="G395" s="313"/>
      <c r="H395" s="313"/>
      <c r="I395" s="356"/>
      <c r="J395" s="313"/>
      <c r="K395" s="313"/>
      <c r="L395" s="313"/>
      <c r="M395" s="313"/>
      <c r="N395" s="356" t="s">
        <v>1014</v>
      </c>
      <c r="O395" s="356" t="s">
        <v>1015</v>
      </c>
      <c r="P395" s="76" t="s">
        <v>27</v>
      </c>
      <c r="Q395" s="434">
        <f>14157.04/10000</f>
        <v>1.4157040000000001</v>
      </c>
      <c r="R395" s="434">
        <f t="shared" ref="R395:R396" si="38">Q395</f>
        <v>1.4157040000000001</v>
      </c>
      <c r="S395" s="356" t="s">
        <v>1016</v>
      </c>
      <c r="T395" s="313">
        <f>8384.03/10000</f>
        <v>0.83840300000000012</v>
      </c>
      <c r="U395" s="5">
        <f t="shared" ref="U395:U396" si="39">T395/Q395</f>
        <v>0.59221631075422554</v>
      </c>
      <c r="V395" s="621"/>
      <c r="W395" s="621"/>
      <c r="X395" s="592"/>
      <c r="Y395" s="592"/>
      <c r="Z395" s="356"/>
      <c r="AA395" s="98"/>
    </row>
    <row r="396" spans="1:27">
      <c r="A396" s="475"/>
      <c r="B396" s="355"/>
      <c r="C396" s="8"/>
      <c r="D396" s="8"/>
      <c r="E396" s="8"/>
      <c r="F396" s="356"/>
      <c r="G396" s="313"/>
      <c r="H396" s="313"/>
      <c r="I396" s="356"/>
      <c r="J396" s="313"/>
      <c r="K396" s="313"/>
      <c r="L396" s="313"/>
      <c r="M396" s="313"/>
      <c r="N396" s="356" t="s">
        <v>1017</v>
      </c>
      <c r="O396" s="356" t="s">
        <v>1018</v>
      </c>
      <c r="P396" s="76" t="s">
        <v>27</v>
      </c>
      <c r="Q396" s="434">
        <f>5598.84/10000</f>
        <v>0.55988400000000005</v>
      </c>
      <c r="R396" s="434">
        <f t="shared" si="38"/>
        <v>0.55988400000000005</v>
      </c>
      <c r="S396" s="356" t="s">
        <v>1012</v>
      </c>
      <c r="T396" s="313">
        <f>2184.7/10000</f>
        <v>0.21846999999999997</v>
      </c>
      <c r="U396" s="5">
        <f t="shared" si="39"/>
        <v>0.39020582835015816</v>
      </c>
      <c r="V396" s="622"/>
      <c r="W396" s="622"/>
      <c r="X396" s="590"/>
      <c r="Y396" s="590"/>
      <c r="Z396" s="356"/>
      <c r="AA396" s="98"/>
    </row>
    <row r="397" spans="1:27" ht="24" hidden="1">
      <c r="A397" s="475"/>
      <c r="B397" s="355">
        <v>12</v>
      </c>
      <c r="C397" s="8" t="s">
        <v>1019</v>
      </c>
      <c r="D397" s="8">
        <v>54684.0406</v>
      </c>
      <c r="E397" s="8" t="s">
        <v>2166</v>
      </c>
      <c r="F397" s="332" t="s">
        <v>242</v>
      </c>
      <c r="G397" s="333">
        <v>147.33000000000001</v>
      </c>
      <c r="H397" s="333">
        <v>0.35</v>
      </c>
      <c r="I397" s="332" t="s">
        <v>394</v>
      </c>
      <c r="J397" s="333">
        <v>59.11</v>
      </c>
      <c r="K397" s="333"/>
      <c r="L397" s="333"/>
      <c r="M397" s="333">
        <f t="shared" ref="M397:M403" si="40">SUM(G397,H397,J397,L397)</f>
        <v>206.79000000000002</v>
      </c>
      <c r="N397" s="356"/>
      <c r="O397" s="356"/>
      <c r="P397" s="356"/>
      <c r="Q397" s="434"/>
      <c r="R397" s="434"/>
      <c r="S397" s="356"/>
      <c r="T397" s="313"/>
      <c r="U397" s="5"/>
      <c r="V397" s="24"/>
      <c r="W397" s="24"/>
      <c r="X397" s="24"/>
      <c r="Y397" s="24"/>
      <c r="Z397" s="356" t="s">
        <v>224</v>
      </c>
      <c r="AA397" s="98"/>
    </row>
    <row r="398" spans="1:27" hidden="1">
      <c r="A398" s="475"/>
      <c r="B398" s="355">
        <v>13</v>
      </c>
      <c r="C398" s="8" t="s">
        <v>1020</v>
      </c>
      <c r="D398" s="8"/>
      <c r="E398" s="8"/>
      <c r="F398" s="356"/>
      <c r="G398" s="313"/>
      <c r="H398" s="313"/>
      <c r="I398" s="356" t="s">
        <v>31</v>
      </c>
      <c r="J398" s="313">
        <v>18</v>
      </c>
      <c r="K398" s="313"/>
      <c r="L398" s="313"/>
      <c r="M398" s="313">
        <f t="shared" si="40"/>
        <v>18</v>
      </c>
      <c r="N398" s="356"/>
      <c r="O398" s="356"/>
      <c r="P398" s="356"/>
      <c r="Q398" s="434"/>
      <c r="R398" s="434"/>
      <c r="S398" s="356"/>
      <c r="T398" s="313"/>
      <c r="U398" s="5"/>
      <c r="V398" s="24"/>
      <c r="W398" s="24"/>
      <c r="X398" s="24"/>
      <c r="Y398" s="24"/>
      <c r="Z398" s="356" t="s">
        <v>1021</v>
      </c>
      <c r="AA398" s="98"/>
    </row>
    <row r="399" spans="1:27" ht="36" hidden="1">
      <c r="A399" s="475"/>
      <c r="B399" s="355">
        <v>14</v>
      </c>
      <c r="C399" s="8" t="s">
        <v>1022</v>
      </c>
      <c r="D399" s="8">
        <v>47351.101999999999</v>
      </c>
      <c r="E399" s="8" t="s">
        <v>2167</v>
      </c>
      <c r="F399" s="356" t="s">
        <v>242</v>
      </c>
      <c r="G399" s="313">
        <v>136.44210000000001</v>
      </c>
      <c r="H399" s="313">
        <v>9.9760000000000009</v>
      </c>
      <c r="I399" s="356" t="s">
        <v>1023</v>
      </c>
      <c r="J399" s="313">
        <v>41.743200000000002</v>
      </c>
      <c r="K399" s="313"/>
      <c r="L399" s="313"/>
      <c r="M399" s="313">
        <f t="shared" si="40"/>
        <v>188.16130000000001</v>
      </c>
      <c r="N399" s="356"/>
      <c r="O399" s="356"/>
      <c r="P399" s="356"/>
      <c r="Q399" s="434"/>
      <c r="R399" s="434"/>
      <c r="S399" s="356"/>
      <c r="T399" s="313"/>
      <c r="U399" s="5"/>
      <c r="V399" s="24"/>
      <c r="W399" s="24"/>
      <c r="X399" s="24"/>
      <c r="Y399" s="24"/>
      <c r="Z399" s="356" t="s">
        <v>381</v>
      </c>
      <c r="AA399" s="98"/>
    </row>
    <row r="400" spans="1:27" ht="36" hidden="1">
      <c r="A400" s="475"/>
      <c r="B400" s="339">
        <v>15</v>
      </c>
      <c r="C400" s="8" t="s">
        <v>1024</v>
      </c>
      <c r="D400" s="8">
        <v>50454.879200000003</v>
      </c>
      <c r="E400" s="8" t="s">
        <v>2168</v>
      </c>
      <c r="F400" s="342" t="s">
        <v>372</v>
      </c>
      <c r="G400" s="325">
        <v>515.54999999999995</v>
      </c>
      <c r="H400" s="325">
        <v>4.2</v>
      </c>
      <c r="I400" s="342" t="s">
        <v>394</v>
      </c>
      <c r="J400" s="325">
        <v>40.382399999999997</v>
      </c>
      <c r="K400" s="325"/>
      <c r="L400" s="325"/>
      <c r="M400" s="325">
        <f t="shared" si="40"/>
        <v>560.13239999999996</v>
      </c>
      <c r="N400" s="342"/>
      <c r="O400" s="342"/>
      <c r="P400" s="342"/>
      <c r="Q400" s="347"/>
      <c r="R400" s="347"/>
      <c r="S400" s="342"/>
      <c r="T400" s="325"/>
      <c r="U400" s="16"/>
      <c r="V400" s="25"/>
      <c r="W400" s="25"/>
      <c r="X400" s="25"/>
      <c r="Y400" s="25"/>
      <c r="Z400" s="342" t="s">
        <v>881</v>
      </c>
      <c r="AA400" s="98"/>
    </row>
    <row r="401" spans="1:27" ht="60" hidden="1">
      <c r="A401" s="475"/>
      <c r="B401" s="355">
        <v>16</v>
      </c>
      <c r="C401" s="356" t="s">
        <v>1025</v>
      </c>
      <c r="D401" s="342">
        <v>29053.2389</v>
      </c>
      <c r="E401" s="342" t="s">
        <v>2169</v>
      </c>
      <c r="F401" s="356" t="s">
        <v>935</v>
      </c>
      <c r="G401" s="313">
        <v>79.996418000000006</v>
      </c>
      <c r="H401" s="313">
        <v>52.295830000000002</v>
      </c>
      <c r="I401" s="356"/>
      <c r="J401" s="313"/>
      <c r="K401" s="313"/>
      <c r="L401" s="313"/>
      <c r="M401" s="313">
        <f t="shared" si="40"/>
        <v>132.292248</v>
      </c>
      <c r="N401" s="356"/>
      <c r="O401" s="356"/>
      <c r="P401" s="356"/>
      <c r="Q401" s="434"/>
      <c r="R401" s="434"/>
      <c r="S401" s="356"/>
      <c r="T401" s="313"/>
      <c r="U401" s="356"/>
      <c r="V401" s="24"/>
      <c r="W401" s="24"/>
      <c r="X401" s="24"/>
      <c r="Y401" s="24"/>
      <c r="Z401" s="356" t="s">
        <v>939</v>
      </c>
      <c r="AA401" s="98"/>
    </row>
    <row r="402" spans="1:27" ht="36" hidden="1">
      <c r="A402" s="475"/>
      <c r="B402" s="355">
        <v>17</v>
      </c>
      <c r="C402" s="8" t="s">
        <v>1026</v>
      </c>
      <c r="D402" s="8">
        <v>152362.29810000001</v>
      </c>
      <c r="E402" s="8" t="s">
        <v>2170</v>
      </c>
      <c r="F402" s="356"/>
      <c r="G402" s="313"/>
      <c r="H402" s="313"/>
      <c r="I402" s="356" t="s">
        <v>255</v>
      </c>
      <c r="J402" s="313">
        <v>108.4945</v>
      </c>
      <c r="K402" s="313"/>
      <c r="L402" s="313"/>
      <c r="M402" s="313">
        <f t="shared" si="40"/>
        <v>108.4945</v>
      </c>
      <c r="N402" s="356"/>
      <c r="O402" s="356"/>
      <c r="P402" s="356"/>
      <c r="Q402" s="434"/>
      <c r="R402" s="434"/>
      <c r="S402" s="356"/>
      <c r="T402" s="313"/>
      <c r="U402" s="5"/>
      <c r="V402" s="24"/>
      <c r="W402" s="24"/>
      <c r="X402" s="24"/>
      <c r="Y402" s="24"/>
      <c r="Z402" s="356" t="s">
        <v>1013</v>
      </c>
      <c r="AA402" s="98"/>
    </row>
    <row r="403" spans="1:27" ht="24" hidden="1">
      <c r="A403" s="475"/>
      <c r="B403" s="339">
        <v>18</v>
      </c>
      <c r="C403" s="17" t="s">
        <v>1027</v>
      </c>
      <c r="D403" s="17">
        <v>120425.5049</v>
      </c>
      <c r="E403" s="17" t="s">
        <v>2171</v>
      </c>
      <c r="F403" s="342" t="s">
        <v>250</v>
      </c>
      <c r="G403" s="325">
        <v>0</v>
      </c>
      <c r="H403" s="325">
        <v>0</v>
      </c>
      <c r="I403" s="342" t="s">
        <v>250</v>
      </c>
      <c r="J403" s="325">
        <v>72</v>
      </c>
      <c r="K403" s="325" t="s">
        <v>250</v>
      </c>
      <c r="L403" s="325">
        <v>36</v>
      </c>
      <c r="M403" s="313">
        <f t="shared" si="40"/>
        <v>108</v>
      </c>
      <c r="N403" s="342"/>
      <c r="O403" s="342"/>
      <c r="P403" s="342"/>
      <c r="Q403" s="347"/>
      <c r="R403" s="347"/>
      <c r="S403" s="342"/>
      <c r="T403" s="325"/>
      <c r="U403" s="16"/>
      <c r="V403" s="25"/>
      <c r="W403" s="25"/>
      <c r="X403" s="25"/>
      <c r="Y403" s="25"/>
      <c r="Z403" s="342" t="s">
        <v>1013</v>
      </c>
      <c r="AA403" s="98"/>
    </row>
    <row r="404" spans="1:27" ht="24" hidden="1">
      <c r="A404" s="475"/>
      <c r="B404" s="355">
        <v>19</v>
      </c>
      <c r="C404" s="356" t="s">
        <v>1028</v>
      </c>
      <c r="D404" s="342">
        <v>49186.675799999997</v>
      </c>
      <c r="E404" s="342" t="s">
        <v>2172</v>
      </c>
      <c r="F404" s="356" t="s">
        <v>240</v>
      </c>
      <c r="G404" s="313"/>
      <c r="H404" s="313"/>
      <c r="I404" s="356" t="s">
        <v>476</v>
      </c>
      <c r="J404" s="313">
        <v>19.674700000000001</v>
      </c>
      <c r="K404" s="313"/>
      <c r="L404" s="313"/>
      <c r="M404" s="313">
        <f>J404</f>
        <v>19.674700000000001</v>
      </c>
      <c r="N404" s="356"/>
      <c r="O404" s="356"/>
      <c r="P404" s="356"/>
      <c r="Q404" s="434"/>
      <c r="R404" s="434"/>
      <c r="S404" s="356"/>
      <c r="T404" s="313"/>
      <c r="U404" s="5"/>
      <c r="V404" s="24"/>
      <c r="W404" s="24"/>
      <c r="X404" s="24"/>
      <c r="Y404" s="24"/>
      <c r="Z404" s="356"/>
      <c r="AA404" s="98"/>
    </row>
    <row r="405" spans="1:27" ht="36" hidden="1">
      <c r="A405" s="475"/>
      <c r="B405" s="355">
        <v>20</v>
      </c>
      <c r="C405" s="356" t="s">
        <v>1029</v>
      </c>
      <c r="D405" s="342">
        <v>11478.5795</v>
      </c>
      <c r="E405" s="342" t="s">
        <v>2173</v>
      </c>
      <c r="F405" s="356"/>
      <c r="G405" s="313"/>
      <c r="H405" s="313"/>
      <c r="I405" s="356" t="s">
        <v>476</v>
      </c>
      <c r="J405" s="313">
        <v>6.8871000000000002</v>
      </c>
      <c r="K405" s="313"/>
      <c r="L405" s="313"/>
      <c r="M405" s="313">
        <f t="shared" ref="M405:M409" si="41">J405</f>
        <v>6.8871000000000002</v>
      </c>
      <c r="N405" s="356"/>
      <c r="O405" s="356"/>
      <c r="P405" s="356"/>
      <c r="Q405" s="434"/>
      <c r="R405" s="434"/>
      <c r="S405" s="356"/>
      <c r="T405" s="313"/>
      <c r="U405" s="5"/>
      <c r="V405" s="24"/>
      <c r="W405" s="24"/>
      <c r="X405" s="24"/>
      <c r="Y405" s="24"/>
      <c r="Z405" s="356"/>
      <c r="AA405" s="98"/>
    </row>
    <row r="406" spans="1:27" ht="24" hidden="1">
      <c r="A406" s="475"/>
      <c r="B406" s="355">
        <v>21</v>
      </c>
      <c r="C406" s="356" t="s">
        <v>1030</v>
      </c>
      <c r="D406" s="342">
        <v>2780.9965999999999</v>
      </c>
      <c r="E406" s="342" t="s">
        <v>2174</v>
      </c>
      <c r="F406" s="356"/>
      <c r="G406" s="313"/>
      <c r="H406" s="313"/>
      <c r="I406" s="356" t="s">
        <v>476</v>
      </c>
      <c r="J406" s="313">
        <v>1.6686000000000001</v>
      </c>
      <c r="K406" s="313"/>
      <c r="L406" s="313"/>
      <c r="M406" s="313">
        <f t="shared" si="41"/>
        <v>1.6686000000000001</v>
      </c>
      <c r="N406" s="356"/>
      <c r="O406" s="356"/>
      <c r="P406" s="356"/>
      <c r="Q406" s="434"/>
      <c r="R406" s="434"/>
      <c r="S406" s="356"/>
      <c r="T406" s="313"/>
      <c r="U406" s="5"/>
      <c r="V406" s="24"/>
      <c r="W406" s="24"/>
      <c r="X406" s="24"/>
      <c r="Y406" s="24"/>
      <c r="Z406" s="356"/>
      <c r="AA406" s="98"/>
    </row>
    <row r="407" spans="1:27" ht="36" hidden="1">
      <c r="A407" s="475"/>
      <c r="B407" s="355">
        <v>22</v>
      </c>
      <c r="C407" s="356" t="s">
        <v>1031</v>
      </c>
      <c r="D407" s="342">
        <v>633.80849999999998</v>
      </c>
      <c r="E407" s="342" t="s">
        <v>2175</v>
      </c>
      <c r="F407" s="356"/>
      <c r="G407" s="313"/>
      <c r="H407" s="313"/>
      <c r="I407" s="356" t="s">
        <v>476</v>
      </c>
      <c r="J407" s="313">
        <v>0.38030000000000003</v>
      </c>
      <c r="K407" s="313"/>
      <c r="L407" s="313"/>
      <c r="M407" s="313">
        <f t="shared" si="41"/>
        <v>0.38030000000000003</v>
      </c>
      <c r="N407" s="356"/>
      <c r="O407" s="356"/>
      <c r="P407" s="356"/>
      <c r="Q407" s="434"/>
      <c r="R407" s="434"/>
      <c r="S407" s="356"/>
      <c r="T407" s="313"/>
      <c r="U407" s="5"/>
      <c r="V407" s="24"/>
      <c r="W407" s="24"/>
      <c r="X407" s="24"/>
      <c r="Y407" s="24"/>
      <c r="Z407" s="356"/>
      <c r="AA407" s="98"/>
    </row>
    <row r="408" spans="1:27" ht="36" hidden="1">
      <c r="A408" s="475"/>
      <c r="B408" s="355">
        <v>23</v>
      </c>
      <c r="C408" s="356" t="s">
        <v>1032</v>
      </c>
      <c r="D408" s="342">
        <v>5068.9485999999997</v>
      </c>
      <c r="E408" s="342" t="s">
        <v>2176</v>
      </c>
      <c r="F408" s="356"/>
      <c r="G408" s="313"/>
      <c r="H408" s="313"/>
      <c r="I408" s="356" t="s">
        <v>476</v>
      </c>
      <c r="J408" s="313">
        <v>3.0413999999999999</v>
      </c>
      <c r="K408" s="313"/>
      <c r="L408" s="313"/>
      <c r="M408" s="313">
        <f t="shared" si="41"/>
        <v>3.0413999999999999</v>
      </c>
      <c r="N408" s="356"/>
      <c r="O408" s="356"/>
      <c r="P408" s="356"/>
      <c r="Q408" s="434"/>
      <c r="R408" s="434"/>
      <c r="S408" s="356"/>
      <c r="T408" s="313"/>
      <c r="U408" s="5"/>
      <c r="V408" s="24"/>
      <c r="W408" s="24"/>
      <c r="X408" s="24"/>
      <c r="Y408" s="24"/>
      <c r="Z408" s="356"/>
      <c r="AA408" s="98"/>
    </row>
    <row r="409" spans="1:27" ht="36" hidden="1">
      <c r="A409" s="475"/>
      <c r="B409" s="355">
        <v>24</v>
      </c>
      <c r="C409" s="356" t="s">
        <v>1033</v>
      </c>
      <c r="D409" s="342">
        <v>4800.9665000000005</v>
      </c>
      <c r="E409" s="342" t="s">
        <v>2177</v>
      </c>
      <c r="F409" s="356"/>
      <c r="G409" s="313"/>
      <c r="H409" s="313"/>
      <c r="I409" s="356" t="s">
        <v>476</v>
      </c>
      <c r="J409" s="313">
        <v>2.8805999999999998</v>
      </c>
      <c r="K409" s="313"/>
      <c r="L409" s="313"/>
      <c r="M409" s="313">
        <f t="shared" si="41"/>
        <v>2.8805999999999998</v>
      </c>
      <c r="N409" s="356"/>
      <c r="O409" s="356"/>
      <c r="P409" s="356"/>
      <c r="Q409" s="434"/>
      <c r="R409" s="434"/>
      <c r="S409" s="356"/>
      <c r="T409" s="313"/>
      <c r="U409" s="5"/>
      <c r="V409" s="24"/>
      <c r="W409" s="24"/>
      <c r="X409" s="24"/>
      <c r="Y409" s="24"/>
      <c r="Z409" s="356"/>
      <c r="AA409" s="98"/>
    </row>
    <row r="410" spans="1:27" ht="60" hidden="1">
      <c r="A410" s="475" t="s">
        <v>1257</v>
      </c>
      <c r="B410" s="211">
        <v>1</v>
      </c>
      <c r="C410" s="93" t="s">
        <v>1940</v>
      </c>
      <c r="D410" s="383">
        <v>41466.699999999997</v>
      </c>
      <c r="E410" s="384" t="s">
        <v>2178</v>
      </c>
      <c r="F410" s="94" t="s">
        <v>1035</v>
      </c>
      <c r="G410" s="136">
        <f>422418765*0.0037/10000</f>
        <v>156.29494305</v>
      </c>
      <c r="H410" s="136">
        <f>20000000*0.002/10000</f>
        <v>4</v>
      </c>
      <c r="I410" s="94" t="s">
        <v>1036</v>
      </c>
      <c r="J410" s="136">
        <f>387524.65/10000</f>
        <v>38.752465000000001</v>
      </c>
      <c r="K410" s="136"/>
      <c r="L410" s="136"/>
      <c r="M410" s="136">
        <f>J410+H410+G410</f>
        <v>199.04740805</v>
      </c>
      <c r="N410" s="94"/>
      <c r="O410" s="94"/>
      <c r="P410" s="94"/>
      <c r="Q410" s="95"/>
      <c r="R410" s="95"/>
      <c r="S410" s="94"/>
      <c r="T410" s="136"/>
      <c r="U410" s="94"/>
      <c r="V410" s="212"/>
      <c r="W410" s="212"/>
      <c r="X410" s="212"/>
      <c r="Y410" s="212"/>
      <c r="Z410" s="94" t="s">
        <v>1037</v>
      </c>
      <c r="AA410" s="98"/>
    </row>
    <row r="411" spans="1:27" hidden="1">
      <c r="A411" s="475"/>
      <c r="B411" s="213">
        <v>2</v>
      </c>
      <c r="C411" s="214" t="s">
        <v>1941</v>
      </c>
      <c r="D411" s="385">
        <v>16923.027999999998</v>
      </c>
      <c r="E411" s="386" t="s">
        <v>2179</v>
      </c>
      <c r="F411" s="94" t="s">
        <v>542</v>
      </c>
      <c r="G411" s="136"/>
      <c r="H411" s="136"/>
      <c r="I411" s="94"/>
      <c r="J411" s="136"/>
      <c r="K411" s="136"/>
      <c r="L411" s="136"/>
      <c r="M411" s="136">
        <f>SUM(G411,H411,J411,L411)</f>
        <v>0</v>
      </c>
      <c r="N411" s="94"/>
      <c r="O411" s="94"/>
      <c r="P411" s="94"/>
      <c r="Q411" s="95"/>
      <c r="R411" s="95"/>
      <c r="S411" s="94"/>
      <c r="T411" s="136"/>
      <c r="U411" s="215"/>
      <c r="V411" s="212"/>
      <c r="W411" s="212"/>
      <c r="X411" s="212"/>
      <c r="Y411" s="212"/>
      <c r="Z411" s="94" t="s">
        <v>1038</v>
      </c>
      <c r="AA411" s="98"/>
    </row>
    <row r="412" spans="1:27" ht="24" hidden="1">
      <c r="A412" s="475"/>
      <c r="B412" s="213">
        <v>3</v>
      </c>
      <c r="C412" s="214" t="s">
        <v>1039</v>
      </c>
      <c r="D412" s="387">
        <v>8100</v>
      </c>
      <c r="E412" s="388" t="s">
        <v>2180</v>
      </c>
      <c r="F412" s="94" t="s">
        <v>250</v>
      </c>
      <c r="G412" s="136">
        <v>19.277999999999999</v>
      </c>
      <c r="H412" s="136">
        <v>0.69</v>
      </c>
      <c r="I412" s="94"/>
      <c r="J412" s="136"/>
      <c r="K412" s="136"/>
      <c r="L412" s="136"/>
      <c r="M412" s="136">
        <f>SUM(G412,H412,J412,L412)</f>
        <v>19.968</v>
      </c>
      <c r="N412" s="94"/>
      <c r="O412" s="94"/>
      <c r="P412" s="94"/>
      <c r="Q412" s="95"/>
      <c r="R412" s="95"/>
      <c r="S412" s="94"/>
      <c r="T412" s="136"/>
      <c r="U412" s="215"/>
      <c r="V412" s="212"/>
      <c r="W412" s="212"/>
      <c r="X412" s="212"/>
      <c r="Y412" s="212"/>
      <c r="Z412" s="94" t="s">
        <v>1038</v>
      </c>
      <c r="AA412" s="98"/>
    </row>
    <row r="413" spans="1:27" ht="48" hidden="1">
      <c r="A413" s="475"/>
      <c r="B413" s="213">
        <v>4</v>
      </c>
      <c r="C413" s="214" t="s">
        <v>1040</v>
      </c>
      <c r="D413" s="389">
        <f>ROUND(3114.7894,2)</f>
        <v>3114.79</v>
      </c>
      <c r="E413" s="390" t="s">
        <v>2181</v>
      </c>
      <c r="F413" s="94" t="s">
        <v>542</v>
      </c>
      <c r="G413" s="136">
        <v>0</v>
      </c>
      <c r="H413" s="136">
        <v>0</v>
      </c>
      <c r="I413" s="94"/>
      <c r="J413" s="136"/>
      <c r="K413" s="136"/>
      <c r="L413" s="136"/>
      <c r="M413" s="136">
        <f>SUM(G413,H413,J413,L413)</f>
        <v>0</v>
      </c>
      <c r="N413" s="94"/>
      <c r="O413" s="94"/>
      <c r="P413" s="94"/>
      <c r="Q413" s="95"/>
      <c r="R413" s="95"/>
      <c r="S413" s="94"/>
      <c r="T413" s="136"/>
      <c r="U413" s="215"/>
      <c r="V413" s="212"/>
      <c r="W413" s="212"/>
      <c r="X413" s="212"/>
      <c r="Y413" s="212"/>
      <c r="Z413" s="94" t="s">
        <v>1038</v>
      </c>
      <c r="AA413" s="98"/>
    </row>
    <row r="414" spans="1:27" hidden="1">
      <c r="A414" s="475"/>
      <c r="B414" s="213">
        <v>5</v>
      </c>
      <c r="C414" s="216" t="s">
        <v>1942</v>
      </c>
      <c r="D414" s="383">
        <v>17016.23</v>
      </c>
      <c r="E414" s="391" t="s">
        <v>2182</v>
      </c>
      <c r="F414" s="94" t="s">
        <v>1041</v>
      </c>
      <c r="G414" s="136">
        <v>46</v>
      </c>
      <c r="H414" s="136">
        <v>2</v>
      </c>
      <c r="I414" s="94" t="s">
        <v>1041</v>
      </c>
      <c r="J414" s="136">
        <v>0</v>
      </c>
      <c r="K414" s="136"/>
      <c r="L414" s="136"/>
      <c r="M414" s="136">
        <v>48</v>
      </c>
      <c r="N414" s="94" t="s">
        <v>542</v>
      </c>
      <c r="O414" s="94"/>
      <c r="P414" s="94"/>
      <c r="Q414" s="95"/>
      <c r="R414" s="95"/>
      <c r="S414" s="94"/>
      <c r="T414" s="136"/>
      <c r="U414" s="215"/>
      <c r="V414" s="212"/>
      <c r="W414" s="212"/>
      <c r="X414" s="212"/>
      <c r="Y414" s="212"/>
      <c r="Z414" s="94" t="s">
        <v>1038</v>
      </c>
      <c r="AA414" s="98"/>
    </row>
    <row r="415" spans="1:27" ht="36">
      <c r="A415" s="475"/>
      <c r="B415" s="650">
        <v>6</v>
      </c>
      <c r="C415" s="653" t="s">
        <v>1042</v>
      </c>
      <c r="D415" s="641">
        <v>26257.6957</v>
      </c>
      <c r="E415" s="656" t="s">
        <v>2183</v>
      </c>
      <c r="F415" s="647" t="s">
        <v>1043</v>
      </c>
      <c r="G415" s="626">
        <v>87.185199999999995</v>
      </c>
      <c r="H415" s="626">
        <v>0</v>
      </c>
      <c r="I415" s="647" t="s">
        <v>31</v>
      </c>
      <c r="J415" s="626">
        <v>24.066400000000002</v>
      </c>
      <c r="K415" s="626"/>
      <c r="L415" s="626"/>
      <c r="M415" s="626">
        <f>SUM(G415,H415,J415,L415)</f>
        <v>111.2516</v>
      </c>
      <c r="N415" s="217" t="s">
        <v>84</v>
      </c>
      <c r="O415" s="94" t="s">
        <v>1943</v>
      </c>
      <c r="P415" s="76" t="s">
        <v>27</v>
      </c>
      <c r="Q415" s="95">
        <v>1.0750999999999999</v>
      </c>
      <c r="R415" s="95">
        <v>1.0750999999999999</v>
      </c>
      <c r="S415" s="94" t="s">
        <v>1044</v>
      </c>
      <c r="T415" s="136">
        <v>0.92449999999999999</v>
      </c>
      <c r="U415" s="215">
        <f t="shared" ref="U415:U422" si="42">T415/Q415</f>
        <v>0.85992000744116825</v>
      </c>
      <c r="V415" s="629">
        <f>SUM(Q415:Q419)</f>
        <v>9.7900999999999989</v>
      </c>
      <c r="W415" s="629">
        <f>SUM(T415:T419)</f>
        <v>8.3355999999999995</v>
      </c>
      <c r="X415" s="632">
        <f>W415/V415</f>
        <v>0.85143154819664768</v>
      </c>
      <c r="Y415" s="632">
        <f>W415/M415</f>
        <v>7.4925663990450475E-2</v>
      </c>
      <c r="Z415" s="94" t="s">
        <v>1045</v>
      </c>
      <c r="AA415" s="98"/>
    </row>
    <row r="416" spans="1:27" ht="36">
      <c r="A416" s="475"/>
      <c r="B416" s="651"/>
      <c r="C416" s="654"/>
      <c r="D416" s="642"/>
      <c r="E416" s="657"/>
      <c r="F416" s="648"/>
      <c r="G416" s="627"/>
      <c r="H416" s="627"/>
      <c r="I416" s="648"/>
      <c r="J416" s="627"/>
      <c r="K416" s="627"/>
      <c r="L416" s="627"/>
      <c r="M416" s="627"/>
      <c r="N416" s="94" t="s">
        <v>1046</v>
      </c>
      <c r="O416" s="94" t="s">
        <v>1944</v>
      </c>
      <c r="P416" s="76" t="s">
        <v>27</v>
      </c>
      <c r="Q416" s="95">
        <v>1.7176</v>
      </c>
      <c r="R416" s="95">
        <v>1.7176</v>
      </c>
      <c r="S416" s="94" t="s">
        <v>63</v>
      </c>
      <c r="T416" s="136">
        <v>1.6512</v>
      </c>
      <c r="U416" s="215">
        <f t="shared" si="42"/>
        <v>0.96134140661387979</v>
      </c>
      <c r="V416" s="630"/>
      <c r="W416" s="630"/>
      <c r="X416" s="633"/>
      <c r="Y416" s="633"/>
      <c r="Z416" s="94" t="s">
        <v>1045</v>
      </c>
      <c r="AA416" s="98"/>
    </row>
    <row r="417" spans="1:27" ht="48">
      <c r="A417" s="475"/>
      <c r="B417" s="651"/>
      <c r="C417" s="654"/>
      <c r="D417" s="642"/>
      <c r="E417" s="657"/>
      <c r="F417" s="648"/>
      <c r="G417" s="627"/>
      <c r="H417" s="627"/>
      <c r="I417" s="648"/>
      <c r="J417" s="627"/>
      <c r="K417" s="627"/>
      <c r="L417" s="627"/>
      <c r="M417" s="627"/>
      <c r="N417" s="94" t="s">
        <v>1000</v>
      </c>
      <c r="O417" s="94" t="s">
        <v>1945</v>
      </c>
      <c r="P417" s="76" t="s">
        <v>27</v>
      </c>
      <c r="Q417" s="95">
        <v>3.1970999999999998</v>
      </c>
      <c r="R417" s="95">
        <v>3.1970999999999998</v>
      </c>
      <c r="S417" s="94" t="s">
        <v>137</v>
      </c>
      <c r="T417" s="136">
        <v>2.8912</v>
      </c>
      <c r="U417" s="215">
        <f t="shared" si="42"/>
        <v>0.90431953958274691</v>
      </c>
      <c r="V417" s="630"/>
      <c r="W417" s="630"/>
      <c r="X417" s="633"/>
      <c r="Y417" s="633"/>
      <c r="Z417" s="94" t="s">
        <v>1045</v>
      </c>
      <c r="AA417" s="98"/>
    </row>
    <row r="418" spans="1:27" ht="48">
      <c r="A418" s="475"/>
      <c r="B418" s="651"/>
      <c r="C418" s="654"/>
      <c r="D418" s="642"/>
      <c r="E418" s="657"/>
      <c r="F418" s="648"/>
      <c r="G418" s="627"/>
      <c r="H418" s="627"/>
      <c r="I418" s="648"/>
      <c r="J418" s="627"/>
      <c r="K418" s="627"/>
      <c r="L418" s="627"/>
      <c r="M418" s="627"/>
      <c r="N418" s="94" t="s">
        <v>1047</v>
      </c>
      <c r="O418" s="94" t="s">
        <v>1946</v>
      </c>
      <c r="P418" s="76" t="s">
        <v>27</v>
      </c>
      <c r="Q418" s="95">
        <v>0.68799999999999994</v>
      </c>
      <c r="R418" s="95">
        <v>0.68799999999999994</v>
      </c>
      <c r="S418" s="94" t="s">
        <v>1048</v>
      </c>
      <c r="T418" s="136">
        <v>0.54730000000000001</v>
      </c>
      <c r="U418" s="215">
        <f>T418/Q418</f>
        <v>0.79549418604651168</v>
      </c>
      <c r="V418" s="630"/>
      <c r="W418" s="630"/>
      <c r="X418" s="633"/>
      <c r="Y418" s="633"/>
      <c r="Z418" s="94" t="s">
        <v>1045</v>
      </c>
      <c r="AA418" s="98"/>
    </row>
    <row r="419" spans="1:27" ht="36">
      <c r="A419" s="475"/>
      <c r="B419" s="652"/>
      <c r="C419" s="655"/>
      <c r="D419" s="643"/>
      <c r="E419" s="658"/>
      <c r="F419" s="649"/>
      <c r="G419" s="628"/>
      <c r="H419" s="628"/>
      <c r="I419" s="649"/>
      <c r="J419" s="628"/>
      <c r="K419" s="628"/>
      <c r="L419" s="628"/>
      <c r="M419" s="628"/>
      <c r="N419" s="158" t="s">
        <v>1049</v>
      </c>
      <c r="O419" s="76" t="s">
        <v>1050</v>
      </c>
      <c r="P419" s="76" t="s">
        <v>27</v>
      </c>
      <c r="Q419" s="218">
        <v>3.1122999999999998</v>
      </c>
      <c r="R419" s="218">
        <v>3.1122999999999998</v>
      </c>
      <c r="S419" s="158" t="s">
        <v>1051</v>
      </c>
      <c r="T419" s="296">
        <v>2.3214000000000001</v>
      </c>
      <c r="U419" s="219">
        <f>T419/Q419</f>
        <v>0.74587925328535176</v>
      </c>
      <c r="V419" s="631"/>
      <c r="W419" s="631"/>
      <c r="X419" s="634"/>
      <c r="Y419" s="634"/>
      <c r="Z419" s="76" t="s">
        <v>1052</v>
      </c>
      <c r="AA419" s="98"/>
    </row>
    <row r="420" spans="1:27" ht="24">
      <c r="A420" s="475"/>
      <c r="B420" s="635">
        <v>7</v>
      </c>
      <c r="C420" s="638" t="s">
        <v>1053</v>
      </c>
      <c r="D420" s="641">
        <v>34150</v>
      </c>
      <c r="E420" s="644" t="s">
        <v>2184</v>
      </c>
      <c r="F420" s="647" t="s">
        <v>1054</v>
      </c>
      <c r="G420" s="626">
        <v>108.6237</v>
      </c>
      <c r="H420" s="626">
        <v>10</v>
      </c>
      <c r="I420" s="647" t="s">
        <v>1055</v>
      </c>
      <c r="J420" s="626">
        <v>62.297910000000002</v>
      </c>
      <c r="K420" s="626" t="s">
        <v>542</v>
      </c>
      <c r="L420" s="626"/>
      <c r="M420" s="626">
        <f>SUM(G420,H420,J420,L420)</f>
        <v>180.92160999999999</v>
      </c>
      <c r="N420" s="94" t="s">
        <v>798</v>
      </c>
      <c r="O420" s="94" t="s">
        <v>1056</v>
      </c>
      <c r="P420" s="76" t="s">
        <v>27</v>
      </c>
      <c r="Q420" s="95">
        <v>2.38</v>
      </c>
      <c r="R420" s="95">
        <v>2.38</v>
      </c>
      <c r="S420" s="220">
        <v>41941</v>
      </c>
      <c r="T420" s="136">
        <v>1.5470999999999999</v>
      </c>
      <c r="U420" s="221">
        <f t="shared" si="42"/>
        <v>0.65004201680672269</v>
      </c>
      <c r="V420" s="668">
        <f>SUM(Q420:Q432)</f>
        <v>97.776200000000003</v>
      </c>
      <c r="W420" s="668">
        <f>SUM(T420:T432)</f>
        <v>137.972081</v>
      </c>
      <c r="X420" s="632">
        <f>W420/V420</f>
        <v>1.4111008711731485</v>
      </c>
      <c r="Y420" s="632">
        <f>W420/M420</f>
        <v>0.7626069710522696</v>
      </c>
      <c r="Z420" s="94" t="s">
        <v>548</v>
      </c>
      <c r="AA420" s="98"/>
    </row>
    <row r="421" spans="1:27" ht="36">
      <c r="A421" s="475"/>
      <c r="B421" s="636"/>
      <c r="C421" s="639"/>
      <c r="D421" s="642"/>
      <c r="E421" s="645"/>
      <c r="F421" s="648"/>
      <c r="G421" s="627"/>
      <c r="H421" s="627"/>
      <c r="I421" s="648"/>
      <c r="J421" s="627"/>
      <c r="K421" s="627"/>
      <c r="L421" s="627"/>
      <c r="M421" s="627"/>
      <c r="N421" s="94" t="s">
        <v>1057</v>
      </c>
      <c r="O421" s="94" t="s">
        <v>1058</v>
      </c>
      <c r="P421" s="76" t="s">
        <v>27</v>
      </c>
      <c r="Q421" s="95">
        <v>95.022900000000007</v>
      </c>
      <c r="R421" s="95">
        <v>44</v>
      </c>
      <c r="S421" s="220">
        <v>41942</v>
      </c>
      <c r="T421" s="136">
        <v>24</v>
      </c>
      <c r="U421" s="221">
        <f t="shared" si="42"/>
        <v>0.25257069611640981</v>
      </c>
      <c r="V421" s="669"/>
      <c r="W421" s="669"/>
      <c r="X421" s="633"/>
      <c r="Y421" s="633"/>
      <c r="Z421" s="94" t="s">
        <v>548</v>
      </c>
      <c r="AA421" s="98"/>
    </row>
    <row r="422" spans="1:27" ht="48">
      <c r="A422" s="475"/>
      <c r="B422" s="636"/>
      <c r="C422" s="639"/>
      <c r="D422" s="642"/>
      <c r="E422" s="645"/>
      <c r="F422" s="648"/>
      <c r="G422" s="627"/>
      <c r="H422" s="627"/>
      <c r="I422" s="648"/>
      <c r="J422" s="627"/>
      <c r="K422" s="627"/>
      <c r="L422" s="627"/>
      <c r="M422" s="627"/>
      <c r="N422" s="222" t="s">
        <v>1059</v>
      </c>
      <c r="O422" s="222" t="s">
        <v>1060</v>
      </c>
      <c r="P422" s="76" t="s">
        <v>27</v>
      </c>
      <c r="Q422" s="95">
        <v>0.37330000000000002</v>
      </c>
      <c r="R422" s="95">
        <v>0.37330000000000002</v>
      </c>
      <c r="S422" s="220">
        <v>41950</v>
      </c>
      <c r="T422" s="136">
        <v>0.27289999999999998</v>
      </c>
      <c r="U422" s="221">
        <f t="shared" si="42"/>
        <v>0.73104741494776304</v>
      </c>
      <c r="V422" s="669"/>
      <c r="W422" s="669"/>
      <c r="X422" s="633"/>
      <c r="Y422" s="633"/>
      <c r="Z422" s="94" t="s">
        <v>548</v>
      </c>
      <c r="AA422" s="98"/>
    </row>
    <row r="423" spans="1:27">
      <c r="A423" s="475"/>
      <c r="B423" s="636"/>
      <c r="C423" s="639"/>
      <c r="D423" s="642"/>
      <c r="E423" s="645"/>
      <c r="F423" s="648"/>
      <c r="G423" s="627"/>
      <c r="H423" s="627"/>
      <c r="I423" s="648"/>
      <c r="J423" s="627"/>
      <c r="K423" s="627"/>
      <c r="L423" s="627"/>
      <c r="M423" s="627"/>
      <c r="N423" s="222"/>
      <c r="O423" s="222"/>
      <c r="P423" s="76" t="s">
        <v>27</v>
      </c>
      <c r="Q423" s="95"/>
      <c r="R423" s="95"/>
      <c r="S423" s="223">
        <v>41600</v>
      </c>
      <c r="T423" s="136">
        <v>0.50986200000000004</v>
      </c>
      <c r="U423" s="221"/>
      <c r="V423" s="669"/>
      <c r="W423" s="669"/>
      <c r="X423" s="633"/>
      <c r="Y423" s="633"/>
      <c r="Z423" s="94" t="s">
        <v>548</v>
      </c>
      <c r="AA423" s="98"/>
    </row>
    <row r="424" spans="1:27">
      <c r="A424" s="475"/>
      <c r="B424" s="636"/>
      <c r="C424" s="639"/>
      <c r="D424" s="642"/>
      <c r="E424" s="645"/>
      <c r="F424" s="648"/>
      <c r="G424" s="627"/>
      <c r="H424" s="627"/>
      <c r="I424" s="648"/>
      <c r="J424" s="627"/>
      <c r="K424" s="627"/>
      <c r="L424" s="627"/>
      <c r="M424" s="627"/>
      <c r="N424" s="222"/>
      <c r="O424" s="222"/>
      <c r="P424" s="76" t="s">
        <v>27</v>
      </c>
      <c r="Q424" s="95"/>
      <c r="R424" s="95"/>
      <c r="S424" s="223">
        <v>41603</v>
      </c>
      <c r="T424" s="136">
        <v>0.47223799999999999</v>
      </c>
      <c r="U424" s="221"/>
      <c r="V424" s="669"/>
      <c r="W424" s="669"/>
      <c r="X424" s="633"/>
      <c r="Y424" s="633"/>
      <c r="Z424" s="94" t="s">
        <v>548</v>
      </c>
      <c r="AA424" s="98"/>
    </row>
    <row r="425" spans="1:27">
      <c r="A425" s="475"/>
      <c r="B425" s="636"/>
      <c r="C425" s="639"/>
      <c r="D425" s="642"/>
      <c r="E425" s="645"/>
      <c r="F425" s="648"/>
      <c r="G425" s="627"/>
      <c r="H425" s="627"/>
      <c r="I425" s="648"/>
      <c r="J425" s="627"/>
      <c r="K425" s="627"/>
      <c r="L425" s="627"/>
      <c r="M425" s="627"/>
      <c r="N425" s="222"/>
      <c r="O425" s="222"/>
      <c r="P425" s="76" t="s">
        <v>27</v>
      </c>
      <c r="Q425" s="95"/>
      <c r="R425" s="95"/>
      <c r="S425" s="223">
        <v>41620</v>
      </c>
      <c r="T425" s="136">
        <v>40</v>
      </c>
      <c r="U425" s="221"/>
      <c r="V425" s="669"/>
      <c r="W425" s="669"/>
      <c r="X425" s="633"/>
      <c r="Y425" s="633"/>
      <c r="Z425" s="94" t="s">
        <v>548</v>
      </c>
      <c r="AA425" s="98"/>
    </row>
    <row r="426" spans="1:27">
      <c r="A426" s="475"/>
      <c r="B426" s="636"/>
      <c r="C426" s="639"/>
      <c r="D426" s="642"/>
      <c r="E426" s="645"/>
      <c r="F426" s="648"/>
      <c r="G426" s="627"/>
      <c r="H426" s="627"/>
      <c r="I426" s="648"/>
      <c r="J426" s="627"/>
      <c r="K426" s="627"/>
      <c r="L426" s="627"/>
      <c r="M426" s="627"/>
      <c r="N426" s="222"/>
      <c r="O426" s="222"/>
      <c r="P426" s="76" t="s">
        <v>27</v>
      </c>
      <c r="Q426" s="95"/>
      <c r="R426" s="95"/>
      <c r="S426" s="223">
        <v>41631</v>
      </c>
      <c r="T426" s="136">
        <v>0.59896199999999999</v>
      </c>
      <c r="U426" s="221"/>
      <c r="V426" s="669"/>
      <c r="W426" s="669"/>
      <c r="X426" s="633"/>
      <c r="Y426" s="633"/>
      <c r="Z426" s="94" t="s">
        <v>548</v>
      </c>
      <c r="AA426" s="98"/>
    </row>
    <row r="427" spans="1:27">
      <c r="A427" s="475"/>
      <c r="B427" s="636"/>
      <c r="C427" s="639"/>
      <c r="D427" s="642"/>
      <c r="E427" s="645"/>
      <c r="F427" s="648"/>
      <c r="G427" s="627"/>
      <c r="H427" s="627"/>
      <c r="I427" s="648"/>
      <c r="J427" s="627"/>
      <c r="K427" s="627"/>
      <c r="L427" s="627"/>
      <c r="M427" s="627"/>
      <c r="N427" s="222"/>
      <c r="O427" s="222"/>
      <c r="P427" s="76" t="s">
        <v>27</v>
      </c>
      <c r="Q427" s="95"/>
      <c r="R427" s="95"/>
      <c r="S427" s="223">
        <v>41667</v>
      </c>
      <c r="T427" s="136">
        <v>0.05</v>
      </c>
      <c r="U427" s="221"/>
      <c r="V427" s="669"/>
      <c r="W427" s="669"/>
      <c r="X427" s="633"/>
      <c r="Y427" s="633"/>
      <c r="Z427" s="94" t="s">
        <v>548</v>
      </c>
      <c r="AA427" s="98"/>
    </row>
    <row r="428" spans="1:27">
      <c r="A428" s="475"/>
      <c r="B428" s="636"/>
      <c r="C428" s="639"/>
      <c r="D428" s="642"/>
      <c r="E428" s="645"/>
      <c r="F428" s="648"/>
      <c r="G428" s="627"/>
      <c r="H428" s="627"/>
      <c r="I428" s="648"/>
      <c r="J428" s="627"/>
      <c r="K428" s="627"/>
      <c r="L428" s="627"/>
      <c r="M428" s="627"/>
      <c r="N428" s="222"/>
      <c r="O428" s="222"/>
      <c r="P428" s="76" t="s">
        <v>27</v>
      </c>
      <c r="Q428" s="95"/>
      <c r="R428" s="95"/>
      <c r="S428" s="223">
        <v>41709</v>
      </c>
      <c r="T428" s="136">
        <v>0.675624</v>
      </c>
      <c r="U428" s="221"/>
      <c r="V428" s="669"/>
      <c r="W428" s="669"/>
      <c r="X428" s="633"/>
      <c r="Y428" s="633"/>
      <c r="Z428" s="94" t="s">
        <v>548</v>
      </c>
      <c r="AA428" s="98"/>
    </row>
    <row r="429" spans="1:27" hidden="1">
      <c r="A429" s="475"/>
      <c r="B429" s="636"/>
      <c r="C429" s="639"/>
      <c r="D429" s="642"/>
      <c r="E429" s="645"/>
      <c r="F429" s="648"/>
      <c r="G429" s="627"/>
      <c r="H429" s="627"/>
      <c r="I429" s="648"/>
      <c r="J429" s="627"/>
      <c r="K429" s="627"/>
      <c r="L429" s="627"/>
      <c r="M429" s="627"/>
      <c r="N429" s="222"/>
      <c r="O429" s="222"/>
      <c r="P429" s="76" t="s">
        <v>36</v>
      </c>
      <c r="Q429" s="95"/>
      <c r="R429" s="95"/>
      <c r="S429" s="223">
        <v>41750</v>
      </c>
      <c r="T429" s="136">
        <v>28.267499999999998</v>
      </c>
      <c r="U429" s="221"/>
      <c r="V429" s="669"/>
      <c r="W429" s="669"/>
      <c r="X429" s="633"/>
      <c r="Y429" s="633"/>
      <c r="Z429" s="94" t="s">
        <v>548</v>
      </c>
      <c r="AA429" s="98"/>
    </row>
    <row r="430" spans="1:27">
      <c r="A430" s="475"/>
      <c r="B430" s="636"/>
      <c r="C430" s="639"/>
      <c r="D430" s="642"/>
      <c r="E430" s="645"/>
      <c r="F430" s="648"/>
      <c r="G430" s="627"/>
      <c r="H430" s="627"/>
      <c r="I430" s="648"/>
      <c r="J430" s="627"/>
      <c r="K430" s="627"/>
      <c r="L430" s="627"/>
      <c r="M430" s="627"/>
      <c r="N430" s="222"/>
      <c r="O430" s="222"/>
      <c r="P430" s="76" t="s">
        <v>27</v>
      </c>
      <c r="Q430" s="95"/>
      <c r="R430" s="95"/>
      <c r="S430" s="223">
        <v>41886</v>
      </c>
      <c r="T430" s="136">
        <v>0.46998599999999996</v>
      </c>
      <c r="U430" s="221"/>
      <c r="V430" s="669"/>
      <c r="W430" s="669"/>
      <c r="X430" s="633"/>
      <c r="Y430" s="633"/>
      <c r="Z430" s="94" t="s">
        <v>548</v>
      </c>
      <c r="AA430" s="98"/>
    </row>
    <row r="431" spans="1:27">
      <c r="A431" s="475"/>
      <c r="B431" s="636"/>
      <c r="C431" s="639"/>
      <c r="D431" s="642"/>
      <c r="E431" s="645"/>
      <c r="F431" s="648"/>
      <c r="G431" s="627"/>
      <c r="H431" s="627"/>
      <c r="I431" s="648"/>
      <c r="J431" s="627"/>
      <c r="K431" s="627"/>
      <c r="L431" s="627"/>
      <c r="M431" s="627"/>
      <c r="N431" s="222"/>
      <c r="O431" s="222"/>
      <c r="P431" s="76" t="s">
        <v>27</v>
      </c>
      <c r="Q431" s="95"/>
      <c r="R431" s="95"/>
      <c r="S431" s="223">
        <v>41898</v>
      </c>
      <c r="T431" s="136">
        <v>4</v>
      </c>
      <c r="U431" s="221"/>
      <c r="V431" s="669"/>
      <c r="W431" s="669"/>
      <c r="X431" s="633"/>
      <c r="Y431" s="633"/>
      <c r="Z431" s="94" t="s">
        <v>548</v>
      </c>
      <c r="AA431" s="98"/>
    </row>
    <row r="432" spans="1:27" hidden="1">
      <c r="A432" s="475"/>
      <c r="B432" s="637"/>
      <c r="C432" s="640"/>
      <c r="D432" s="643"/>
      <c r="E432" s="646"/>
      <c r="F432" s="649"/>
      <c r="G432" s="628"/>
      <c r="H432" s="628"/>
      <c r="I432" s="649"/>
      <c r="J432" s="628"/>
      <c r="K432" s="628"/>
      <c r="L432" s="628"/>
      <c r="M432" s="628"/>
      <c r="N432" s="222"/>
      <c r="O432" s="222"/>
      <c r="P432" s="76" t="s">
        <v>36</v>
      </c>
      <c r="Q432" s="95"/>
      <c r="R432" s="95"/>
      <c r="S432" s="223">
        <v>41643</v>
      </c>
      <c r="T432" s="136">
        <v>37.107908999999999</v>
      </c>
      <c r="U432" s="221"/>
      <c r="V432" s="670"/>
      <c r="W432" s="670"/>
      <c r="X432" s="634"/>
      <c r="Y432" s="634"/>
      <c r="Z432" s="94" t="s">
        <v>548</v>
      </c>
      <c r="AA432" s="98"/>
    </row>
    <row r="433" spans="1:27" ht="24">
      <c r="A433" s="475"/>
      <c r="B433" s="650">
        <v>8</v>
      </c>
      <c r="C433" s="647" t="s">
        <v>1947</v>
      </c>
      <c r="D433" s="671">
        <v>40341.824690000001</v>
      </c>
      <c r="E433" s="674" t="s">
        <v>2185</v>
      </c>
      <c r="F433" s="629" t="s">
        <v>1035</v>
      </c>
      <c r="G433" s="665">
        <v>166.698579</v>
      </c>
      <c r="H433" s="626"/>
      <c r="I433" s="647" t="s">
        <v>1036</v>
      </c>
      <c r="J433" s="626">
        <v>30.717700000000001</v>
      </c>
      <c r="K433" s="136"/>
      <c r="L433" s="136"/>
      <c r="M433" s="626">
        <f>J433+G433</f>
        <v>197.416279</v>
      </c>
      <c r="N433" s="94">
        <v>20130809</v>
      </c>
      <c r="O433" s="94" t="s">
        <v>1061</v>
      </c>
      <c r="P433" s="76" t="s">
        <v>27</v>
      </c>
      <c r="Q433" s="95">
        <v>3.12</v>
      </c>
      <c r="R433" s="95">
        <v>2.5</v>
      </c>
      <c r="S433" s="94" t="s">
        <v>692</v>
      </c>
      <c r="T433" s="136">
        <v>1.7289000000000001</v>
      </c>
      <c r="U433" s="224">
        <f t="shared" ref="U433:U442" si="43">T433/Q433</f>
        <v>0.55413461538461539</v>
      </c>
      <c r="V433" s="629">
        <f>SUM(Q433:Q444)</f>
        <v>226.61</v>
      </c>
      <c r="W433" s="629">
        <f>SUM(T433:T444)</f>
        <v>118.19591400000002</v>
      </c>
      <c r="X433" s="632">
        <f>W433/V433</f>
        <v>0.5215829575040819</v>
      </c>
      <c r="Y433" s="632">
        <f>W433/M433</f>
        <v>0.59871412124022461</v>
      </c>
      <c r="Z433" s="94" t="s">
        <v>1038</v>
      </c>
      <c r="AA433" s="98"/>
    </row>
    <row r="434" spans="1:27" ht="24">
      <c r="A434" s="475"/>
      <c r="B434" s="651"/>
      <c r="C434" s="648"/>
      <c r="D434" s="672"/>
      <c r="E434" s="675"/>
      <c r="F434" s="677"/>
      <c r="G434" s="666"/>
      <c r="H434" s="627"/>
      <c r="I434" s="648"/>
      <c r="J434" s="627"/>
      <c r="K434" s="136"/>
      <c r="L434" s="136"/>
      <c r="M434" s="627"/>
      <c r="N434" s="94">
        <v>20131026</v>
      </c>
      <c r="O434" s="94" t="s">
        <v>1062</v>
      </c>
      <c r="P434" s="76" t="s">
        <v>27</v>
      </c>
      <c r="Q434" s="95">
        <v>0.24</v>
      </c>
      <c r="R434" s="95">
        <v>0.24</v>
      </c>
      <c r="S434" s="94" t="s">
        <v>692</v>
      </c>
      <c r="T434" s="136">
        <v>0.18</v>
      </c>
      <c r="U434" s="224">
        <f t="shared" si="43"/>
        <v>0.75</v>
      </c>
      <c r="V434" s="630"/>
      <c r="W434" s="630"/>
      <c r="X434" s="633"/>
      <c r="Y434" s="633"/>
      <c r="Z434" s="94" t="s">
        <v>1038</v>
      </c>
      <c r="AA434" s="98"/>
    </row>
    <row r="435" spans="1:27" ht="24">
      <c r="A435" s="475"/>
      <c r="B435" s="651"/>
      <c r="C435" s="648"/>
      <c r="D435" s="672"/>
      <c r="E435" s="675"/>
      <c r="F435" s="677"/>
      <c r="G435" s="666"/>
      <c r="H435" s="627"/>
      <c r="I435" s="648"/>
      <c r="J435" s="627"/>
      <c r="K435" s="136"/>
      <c r="L435" s="136"/>
      <c r="M435" s="627"/>
      <c r="N435" s="94">
        <v>20131202</v>
      </c>
      <c r="O435" s="94" t="s">
        <v>1063</v>
      </c>
      <c r="P435" s="76" t="s">
        <v>27</v>
      </c>
      <c r="Q435" s="95">
        <v>1.23</v>
      </c>
      <c r="R435" s="95">
        <v>1</v>
      </c>
      <c r="S435" s="94" t="s">
        <v>692</v>
      </c>
      <c r="T435" s="136">
        <v>0.88</v>
      </c>
      <c r="U435" s="224">
        <f t="shared" si="43"/>
        <v>0.71544715447154472</v>
      </c>
      <c r="V435" s="630"/>
      <c r="W435" s="630"/>
      <c r="X435" s="633"/>
      <c r="Y435" s="633"/>
      <c r="Z435" s="94" t="s">
        <v>1038</v>
      </c>
      <c r="AA435" s="98"/>
    </row>
    <row r="436" spans="1:27">
      <c r="A436" s="475"/>
      <c r="B436" s="651"/>
      <c r="C436" s="648"/>
      <c r="D436" s="672"/>
      <c r="E436" s="675"/>
      <c r="F436" s="677"/>
      <c r="G436" s="666"/>
      <c r="H436" s="627"/>
      <c r="I436" s="648"/>
      <c r="J436" s="627"/>
      <c r="K436" s="136"/>
      <c r="L436" s="136"/>
      <c r="M436" s="627"/>
      <c r="N436" s="94">
        <v>20131210</v>
      </c>
      <c r="O436" s="94" t="s">
        <v>1948</v>
      </c>
      <c r="P436" s="76" t="s">
        <v>27</v>
      </c>
      <c r="Q436" s="95">
        <v>108</v>
      </c>
      <c r="R436" s="95">
        <v>46</v>
      </c>
      <c r="S436" s="94" t="s">
        <v>692</v>
      </c>
      <c r="T436" s="136">
        <v>46</v>
      </c>
      <c r="U436" s="224">
        <f t="shared" si="43"/>
        <v>0.42592592592592593</v>
      </c>
      <c r="V436" s="630"/>
      <c r="W436" s="630"/>
      <c r="X436" s="633"/>
      <c r="Y436" s="633"/>
      <c r="Z436" s="94" t="s">
        <v>1038</v>
      </c>
      <c r="AA436" s="98"/>
    </row>
    <row r="437" spans="1:27" ht="24">
      <c r="A437" s="475"/>
      <c r="B437" s="651"/>
      <c r="C437" s="648"/>
      <c r="D437" s="672"/>
      <c r="E437" s="675"/>
      <c r="F437" s="677"/>
      <c r="G437" s="666"/>
      <c r="H437" s="627"/>
      <c r="I437" s="648"/>
      <c r="J437" s="627"/>
      <c r="K437" s="136"/>
      <c r="L437" s="136"/>
      <c r="M437" s="627"/>
      <c r="N437" s="94">
        <v>20131213</v>
      </c>
      <c r="O437" s="94" t="s">
        <v>1064</v>
      </c>
      <c r="P437" s="76" t="s">
        <v>27</v>
      </c>
      <c r="Q437" s="95">
        <v>0.98</v>
      </c>
      <c r="R437" s="95">
        <v>0.98</v>
      </c>
      <c r="S437" s="94" t="s">
        <v>692</v>
      </c>
      <c r="T437" s="136">
        <v>0.84</v>
      </c>
      <c r="U437" s="224">
        <f t="shared" si="43"/>
        <v>0.8571428571428571</v>
      </c>
      <c r="V437" s="630"/>
      <c r="W437" s="630"/>
      <c r="X437" s="633"/>
      <c r="Y437" s="633"/>
      <c r="Z437" s="94" t="s">
        <v>1038</v>
      </c>
      <c r="AA437" s="98"/>
    </row>
    <row r="438" spans="1:27" ht="24">
      <c r="A438" s="475"/>
      <c r="B438" s="651"/>
      <c r="C438" s="648"/>
      <c r="D438" s="672"/>
      <c r="E438" s="675"/>
      <c r="F438" s="677"/>
      <c r="G438" s="666"/>
      <c r="H438" s="627"/>
      <c r="I438" s="648"/>
      <c r="J438" s="627"/>
      <c r="K438" s="136"/>
      <c r="L438" s="136"/>
      <c r="M438" s="627"/>
      <c r="N438" s="94">
        <v>20140117</v>
      </c>
      <c r="O438" s="94" t="s">
        <v>1949</v>
      </c>
      <c r="P438" s="76" t="s">
        <v>27</v>
      </c>
      <c r="Q438" s="95">
        <v>3.37</v>
      </c>
      <c r="R438" s="95">
        <v>3.37</v>
      </c>
      <c r="S438" s="94" t="s">
        <v>1065</v>
      </c>
      <c r="T438" s="136">
        <v>2.89</v>
      </c>
      <c r="U438" s="224">
        <f t="shared" si="43"/>
        <v>0.85756676557863498</v>
      </c>
      <c r="V438" s="630"/>
      <c r="W438" s="630"/>
      <c r="X438" s="633"/>
      <c r="Y438" s="633"/>
      <c r="Z438" s="94" t="s">
        <v>1038</v>
      </c>
      <c r="AA438" s="98"/>
    </row>
    <row r="439" spans="1:27">
      <c r="A439" s="475"/>
      <c r="B439" s="651"/>
      <c r="C439" s="648"/>
      <c r="D439" s="672"/>
      <c r="E439" s="675"/>
      <c r="F439" s="677"/>
      <c r="G439" s="666"/>
      <c r="H439" s="627"/>
      <c r="I439" s="648"/>
      <c r="J439" s="627"/>
      <c r="K439" s="136"/>
      <c r="L439" s="136"/>
      <c r="M439" s="627"/>
      <c r="N439" s="94">
        <v>20140311</v>
      </c>
      <c r="O439" s="94" t="s">
        <v>1066</v>
      </c>
      <c r="P439" s="76" t="s">
        <v>27</v>
      </c>
      <c r="Q439" s="95">
        <v>2.4700000000000002</v>
      </c>
      <c r="R439" s="95">
        <v>2</v>
      </c>
      <c r="S439" s="94" t="s">
        <v>1067</v>
      </c>
      <c r="T439" s="136">
        <v>1.2941</v>
      </c>
      <c r="U439" s="224">
        <f t="shared" si="43"/>
        <v>0.5239271255060729</v>
      </c>
      <c r="V439" s="630"/>
      <c r="W439" s="630"/>
      <c r="X439" s="633"/>
      <c r="Y439" s="633"/>
      <c r="Z439" s="94" t="s">
        <v>1038</v>
      </c>
      <c r="AA439" s="98"/>
    </row>
    <row r="440" spans="1:27" ht="24">
      <c r="A440" s="475"/>
      <c r="B440" s="651"/>
      <c r="C440" s="648"/>
      <c r="D440" s="672"/>
      <c r="E440" s="675"/>
      <c r="F440" s="677"/>
      <c r="G440" s="666"/>
      <c r="H440" s="627"/>
      <c r="I440" s="648"/>
      <c r="J440" s="627"/>
      <c r="K440" s="136"/>
      <c r="L440" s="136"/>
      <c r="M440" s="627"/>
      <c r="N440" s="94">
        <v>20140401</v>
      </c>
      <c r="O440" s="94" t="s">
        <v>1068</v>
      </c>
      <c r="P440" s="76" t="s">
        <v>27</v>
      </c>
      <c r="Q440" s="95">
        <v>1.72</v>
      </c>
      <c r="R440" s="95">
        <v>1</v>
      </c>
      <c r="S440" s="94" t="s">
        <v>1067</v>
      </c>
      <c r="T440" s="136">
        <v>0.96</v>
      </c>
      <c r="U440" s="224">
        <f t="shared" si="43"/>
        <v>0.55813953488372092</v>
      </c>
      <c r="V440" s="630"/>
      <c r="W440" s="630"/>
      <c r="X440" s="633"/>
      <c r="Y440" s="633"/>
      <c r="Z440" s="94" t="s">
        <v>1038</v>
      </c>
      <c r="AA440" s="98"/>
    </row>
    <row r="441" spans="1:27" ht="24">
      <c r="A441" s="475"/>
      <c r="B441" s="651"/>
      <c r="C441" s="648"/>
      <c r="D441" s="672"/>
      <c r="E441" s="675"/>
      <c r="F441" s="677"/>
      <c r="G441" s="666"/>
      <c r="H441" s="627"/>
      <c r="I441" s="648"/>
      <c r="J441" s="627"/>
      <c r="K441" s="136"/>
      <c r="L441" s="136"/>
      <c r="M441" s="627"/>
      <c r="N441" s="94">
        <v>20140505</v>
      </c>
      <c r="O441" s="94" t="s">
        <v>1069</v>
      </c>
      <c r="P441" s="76" t="s">
        <v>27</v>
      </c>
      <c r="Q441" s="95">
        <v>1.48</v>
      </c>
      <c r="R441" s="95">
        <v>1</v>
      </c>
      <c r="S441" s="94" t="s">
        <v>1070</v>
      </c>
      <c r="T441" s="136">
        <v>0.88</v>
      </c>
      <c r="U441" s="224">
        <f t="shared" si="43"/>
        <v>0.59459459459459463</v>
      </c>
      <c r="V441" s="630"/>
      <c r="W441" s="630"/>
      <c r="X441" s="633"/>
      <c r="Y441" s="633"/>
      <c r="Z441" s="94" t="s">
        <v>1038</v>
      </c>
      <c r="AA441" s="98"/>
    </row>
    <row r="442" spans="1:27" ht="24">
      <c r="A442" s="475"/>
      <c r="B442" s="651"/>
      <c r="C442" s="648"/>
      <c r="D442" s="672"/>
      <c r="E442" s="675"/>
      <c r="F442" s="677"/>
      <c r="G442" s="666"/>
      <c r="H442" s="627"/>
      <c r="I442" s="648"/>
      <c r="J442" s="627"/>
      <c r="K442" s="136"/>
      <c r="L442" s="136"/>
      <c r="M442" s="627"/>
      <c r="N442" s="94">
        <v>20140820</v>
      </c>
      <c r="O442" s="94" t="s">
        <v>1071</v>
      </c>
      <c r="P442" s="76" t="s">
        <v>27</v>
      </c>
      <c r="Q442" s="95">
        <v>52</v>
      </c>
      <c r="R442" s="95">
        <v>24</v>
      </c>
      <c r="S442" s="94" t="s">
        <v>1070</v>
      </c>
      <c r="T442" s="136">
        <v>24</v>
      </c>
      <c r="U442" s="224">
        <f t="shared" si="43"/>
        <v>0.46153846153846156</v>
      </c>
      <c r="V442" s="630"/>
      <c r="W442" s="630"/>
      <c r="X442" s="633"/>
      <c r="Y442" s="633"/>
      <c r="Z442" s="94" t="s">
        <v>1038</v>
      </c>
      <c r="AA442" s="98"/>
    </row>
    <row r="443" spans="1:27">
      <c r="A443" s="475"/>
      <c r="B443" s="651"/>
      <c r="C443" s="648"/>
      <c r="D443" s="672"/>
      <c r="E443" s="675"/>
      <c r="F443" s="677"/>
      <c r="G443" s="666"/>
      <c r="H443" s="627"/>
      <c r="I443" s="648"/>
      <c r="J443" s="627"/>
      <c r="K443" s="136"/>
      <c r="L443" s="136"/>
      <c r="M443" s="627"/>
      <c r="N443" s="94">
        <v>20150102</v>
      </c>
      <c r="O443" s="94" t="s">
        <v>1072</v>
      </c>
      <c r="P443" s="76" t="s">
        <v>27</v>
      </c>
      <c r="Q443" s="95"/>
      <c r="R443" s="95"/>
      <c r="S443" s="94" t="s">
        <v>1073</v>
      </c>
      <c r="T443" s="136"/>
      <c r="U443" s="224"/>
      <c r="V443" s="630"/>
      <c r="W443" s="630"/>
      <c r="X443" s="633"/>
      <c r="Y443" s="633"/>
      <c r="Z443" s="94" t="s">
        <v>1038</v>
      </c>
      <c r="AA443" s="98"/>
    </row>
    <row r="444" spans="1:27" ht="48" hidden="1">
      <c r="A444" s="475"/>
      <c r="B444" s="652"/>
      <c r="C444" s="649"/>
      <c r="D444" s="673"/>
      <c r="E444" s="676"/>
      <c r="F444" s="678"/>
      <c r="G444" s="667"/>
      <c r="H444" s="628"/>
      <c r="I444" s="649"/>
      <c r="J444" s="628"/>
      <c r="K444" s="136"/>
      <c r="L444" s="136"/>
      <c r="M444" s="628"/>
      <c r="N444" s="94">
        <v>20140522</v>
      </c>
      <c r="O444" s="94" t="s">
        <v>1950</v>
      </c>
      <c r="P444" s="76" t="s">
        <v>36</v>
      </c>
      <c r="Q444" s="95">
        <v>52</v>
      </c>
      <c r="R444" s="95">
        <v>52</v>
      </c>
      <c r="S444" s="94"/>
      <c r="T444" s="136">
        <v>38.542914000000003</v>
      </c>
      <c r="U444" s="224">
        <f t="shared" ref="U444:U468" si="44">T444/Q444</f>
        <v>0.74120988461538473</v>
      </c>
      <c r="V444" s="631"/>
      <c r="W444" s="631"/>
      <c r="X444" s="634"/>
      <c r="Y444" s="634"/>
      <c r="Z444" s="94" t="s">
        <v>1038</v>
      </c>
      <c r="AA444" s="98"/>
    </row>
    <row r="445" spans="1:27" ht="24" hidden="1">
      <c r="A445" s="475"/>
      <c r="B445" s="213">
        <v>9</v>
      </c>
      <c r="C445" s="214" t="s">
        <v>1951</v>
      </c>
      <c r="D445" s="392">
        <v>13638.76</v>
      </c>
      <c r="E445" s="384" t="s">
        <v>2186</v>
      </c>
      <c r="F445" s="94"/>
      <c r="G445" s="136"/>
      <c r="H445" s="136"/>
      <c r="I445" s="94" t="s">
        <v>244</v>
      </c>
      <c r="J445" s="136">
        <v>9.1270299999999995</v>
      </c>
      <c r="K445" s="136"/>
      <c r="L445" s="136"/>
      <c r="M445" s="136">
        <f>SUM(G445,H445,J445,L445)</f>
        <v>9.1270299999999995</v>
      </c>
      <c r="N445" s="94"/>
      <c r="O445" s="94"/>
      <c r="P445" s="94"/>
      <c r="Q445" s="95"/>
      <c r="R445" s="95"/>
      <c r="S445" s="94"/>
      <c r="T445" s="136"/>
      <c r="U445" s="215"/>
      <c r="V445" s="212"/>
      <c r="W445" s="212"/>
      <c r="X445" s="212"/>
      <c r="Y445" s="212"/>
      <c r="Z445" s="94" t="s">
        <v>1038</v>
      </c>
      <c r="AA445" s="98"/>
    </row>
    <row r="446" spans="1:27" ht="72">
      <c r="A446" s="475"/>
      <c r="B446" s="659">
        <v>10</v>
      </c>
      <c r="C446" s="638" t="s">
        <v>1952</v>
      </c>
      <c r="D446" s="662">
        <v>47470.22</v>
      </c>
      <c r="E446" s="662" t="s">
        <v>2187</v>
      </c>
      <c r="F446" s="647" t="s">
        <v>39</v>
      </c>
      <c r="G446" s="626">
        <f>ROUND(1871462.54/10000,0)</f>
        <v>187</v>
      </c>
      <c r="H446" s="626">
        <f>ROUND(40000/10000,0)</f>
        <v>4</v>
      </c>
      <c r="I446" s="94" t="s">
        <v>250</v>
      </c>
      <c r="J446" s="136">
        <f>ROUND(198812/10000,0)</f>
        <v>20</v>
      </c>
      <c r="K446" s="136"/>
      <c r="L446" s="136"/>
      <c r="M446" s="626">
        <f>G446+H446+J446+J447</f>
        <v>247</v>
      </c>
      <c r="N446" s="225" t="s">
        <v>1074</v>
      </c>
      <c r="O446" s="93" t="s">
        <v>1953</v>
      </c>
      <c r="P446" s="76" t="s">
        <v>27</v>
      </c>
      <c r="Q446" s="95">
        <v>4.9000000000000004</v>
      </c>
      <c r="R446" s="95">
        <f>ROUND(2.8+2.8/3,2)</f>
        <v>3.73</v>
      </c>
      <c r="S446" s="226" t="s">
        <v>1075</v>
      </c>
      <c r="T446" s="136">
        <f>ROUND(2.8+2.8/3,2)</f>
        <v>3.73</v>
      </c>
      <c r="U446" s="227">
        <f t="shared" si="44"/>
        <v>0.76122448979591828</v>
      </c>
      <c r="V446" s="629">
        <f>SUM(Q446:Q466)</f>
        <v>108.07000000000001</v>
      </c>
      <c r="W446" s="629">
        <f>SUM(T446:T466)</f>
        <v>83</v>
      </c>
      <c r="X446" s="632">
        <f>W446/V446</f>
        <v>0.76802072730637549</v>
      </c>
      <c r="Y446" s="632">
        <f>W446/M446</f>
        <v>0.33603238866396762</v>
      </c>
      <c r="Z446" s="94" t="s">
        <v>1038</v>
      </c>
      <c r="AA446" s="98"/>
    </row>
    <row r="447" spans="1:27" ht="60">
      <c r="A447" s="475"/>
      <c r="B447" s="660"/>
      <c r="C447" s="639"/>
      <c r="D447" s="663"/>
      <c r="E447" s="663"/>
      <c r="F447" s="648"/>
      <c r="G447" s="627"/>
      <c r="H447" s="627"/>
      <c r="I447" s="94" t="s">
        <v>550</v>
      </c>
      <c r="J447" s="136">
        <f>ROUND(39762.4015*9/10000,0)</f>
        <v>36</v>
      </c>
      <c r="K447" s="136"/>
      <c r="L447" s="136"/>
      <c r="M447" s="628"/>
      <c r="N447" s="225" t="s">
        <v>1074</v>
      </c>
      <c r="O447" s="93" t="s">
        <v>1954</v>
      </c>
      <c r="P447" s="76" t="s">
        <v>27</v>
      </c>
      <c r="Q447" s="95">
        <v>1.2</v>
      </c>
      <c r="R447" s="95">
        <f>ROUND(0.58+0.58/3,2)</f>
        <v>0.77</v>
      </c>
      <c r="S447" s="226" t="s">
        <v>1075</v>
      </c>
      <c r="T447" s="136">
        <f>ROUND(0.58+0.58/3,2)</f>
        <v>0.77</v>
      </c>
      <c r="U447" s="227">
        <f t="shared" si="44"/>
        <v>0.64166666666666672</v>
      </c>
      <c r="V447" s="630"/>
      <c r="W447" s="630"/>
      <c r="X447" s="633"/>
      <c r="Y447" s="633"/>
      <c r="Z447" s="94" t="s">
        <v>1038</v>
      </c>
      <c r="AA447" s="98"/>
    </row>
    <row r="448" spans="1:27" ht="72">
      <c r="A448" s="475"/>
      <c r="B448" s="660"/>
      <c r="C448" s="639"/>
      <c r="D448" s="663"/>
      <c r="E448" s="663"/>
      <c r="F448" s="648"/>
      <c r="G448" s="627"/>
      <c r="H448" s="627"/>
      <c r="I448" s="94"/>
      <c r="J448" s="136"/>
      <c r="K448" s="136"/>
      <c r="L448" s="136"/>
      <c r="M448" s="136"/>
      <c r="N448" s="93" t="s">
        <v>1076</v>
      </c>
      <c r="O448" s="93" t="s">
        <v>1955</v>
      </c>
      <c r="P448" s="76" t="s">
        <v>27</v>
      </c>
      <c r="Q448" s="95">
        <v>0.59</v>
      </c>
      <c r="R448" s="95">
        <f>ROUND(0.35+0.35/3,2)</f>
        <v>0.47</v>
      </c>
      <c r="S448" s="226" t="s">
        <v>1077</v>
      </c>
      <c r="T448" s="136">
        <f>ROUND(0.35+0.35/3,2)</f>
        <v>0.47</v>
      </c>
      <c r="U448" s="227">
        <f t="shared" si="44"/>
        <v>0.79661016949152541</v>
      </c>
      <c r="V448" s="630"/>
      <c r="W448" s="630"/>
      <c r="X448" s="633"/>
      <c r="Y448" s="633"/>
      <c r="Z448" s="94" t="s">
        <v>1038</v>
      </c>
      <c r="AA448" s="98"/>
    </row>
    <row r="449" spans="1:27" ht="48">
      <c r="A449" s="475"/>
      <c r="B449" s="660"/>
      <c r="C449" s="639"/>
      <c r="D449" s="663"/>
      <c r="E449" s="663"/>
      <c r="F449" s="648"/>
      <c r="G449" s="627"/>
      <c r="H449" s="627"/>
      <c r="I449" s="94"/>
      <c r="J449" s="136"/>
      <c r="K449" s="136"/>
      <c r="L449" s="136"/>
      <c r="M449" s="136"/>
      <c r="N449" s="225" t="s">
        <v>670</v>
      </c>
      <c r="O449" s="93" t="s">
        <v>1956</v>
      </c>
      <c r="P449" s="76" t="s">
        <v>27</v>
      </c>
      <c r="Q449" s="95">
        <v>1.75</v>
      </c>
      <c r="R449" s="95">
        <f>ROUND(0.84+0.84/3,2)</f>
        <v>1.1200000000000001</v>
      </c>
      <c r="S449" s="226" t="s">
        <v>1075</v>
      </c>
      <c r="T449" s="136">
        <f>ROUND(0.84+0.84/3,2)</f>
        <v>1.1200000000000001</v>
      </c>
      <c r="U449" s="227">
        <f t="shared" si="44"/>
        <v>0.64</v>
      </c>
      <c r="V449" s="630"/>
      <c r="W449" s="630"/>
      <c r="X449" s="633"/>
      <c r="Y449" s="633"/>
      <c r="Z449" s="94" t="s">
        <v>1038</v>
      </c>
      <c r="AA449" s="98"/>
    </row>
    <row r="450" spans="1:27" ht="84" hidden="1">
      <c r="A450" s="475"/>
      <c r="B450" s="660"/>
      <c r="C450" s="639"/>
      <c r="D450" s="663"/>
      <c r="E450" s="663"/>
      <c r="F450" s="648"/>
      <c r="G450" s="627"/>
      <c r="H450" s="627"/>
      <c r="I450" s="94"/>
      <c r="J450" s="136"/>
      <c r="K450" s="136"/>
      <c r="L450" s="136"/>
      <c r="M450" s="136"/>
      <c r="N450" s="93" t="s">
        <v>1078</v>
      </c>
      <c r="O450" s="93" t="s">
        <v>1957</v>
      </c>
      <c r="P450" s="76" t="s">
        <v>36</v>
      </c>
      <c r="Q450" s="95">
        <v>6.1</v>
      </c>
      <c r="R450" s="95">
        <v>130</v>
      </c>
      <c r="S450" s="228" t="s">
        <v>1075</v>
      </c>
      <c r="T450" s="136">
        <v>9.1999999999999993</v>
      </c>
      <c r="U450" s="229">
        <f t="shared" si="44"/>
        <v>1.5081967213114753</v>
      </c>
      <c r="V450" s="630"/>
      <c r="W450" s="630"/>
      <c r="X450" s="633"/>
      <c r="Y450" s="633"/>
      <c r="Z450" s="94" t="s">
        <v>1038</v>
      </c>
      <c r="AA450" s="98"/>
    </row>
    <row r="451" spans="1:27" ht="60">
      <c r="A451" s="475"/>
      <c r="B451" s="660"/>
      <c r="C451" s="639"/>
      <c r="D451" s="663"/>
      <c r="E451" s="663"/>
      <c r="F451" s="648"/>
      <c r="G451" s="627"/>
      <c r="H451" s="627"/>
      <c r="I451" s="94"/>
      <c r="J451" s="136"/>
      <c r="K451" s="136"/>
      <c r="L451" s="136"/>
      <c r="M451" s="136"/>
      <c r="N451" s="225" t="s">
        <v>1079</v>
      </c>
      <c r="O451" s="93" t="s">
        <v>1958</v>
      </c>
      <c r="P451" s="76" t="s">
        <v>27</v>
      </c>
      <c r="Q451" s="95">
        <v>12.86</v>
      </c>
      <c r="R451" s="95">
        <v>4</v>
      </c>
      <c r="S451" s="226" t="s">
        <v>385</v>
      </c>
      <c r="T451" s="136">
        <v>4</v>
      </c>
      <c r="U451" s="227">
        <f t="shared" si="44"/>
        <v>0.31104199066874028</v>
      </c>
      <c r="V451" s="630"/>
      <c r="W451" s="630"/>
      <c r="X451" s="633"/>
      <c r="Y451" s="633"/>
      <c r="Z451" s="94" t="s">
        <v>1038</v>
      </c>
      <c r="AA451" s="98"/>
    </row>
    <row r="452" spans="1:27" ht="48">
      <c r="A452" s="475"/>
      <c r="B452" s="660"/>
      <c r="C452" s="639"/>
      <c r="D452" s="663"/>
      <c r="E452" s="663"/>
      <c r="F452" s="648"/>
      <c r="G452" s="627"/>
      <c r="H452" s="627"/>
      <c r="I452" s="94"/>
      <c r="J452" s="136"/>
      <c r="K452" s="136"/>
      <c r="L452" s="136"/>
      <c r="M452" s="136"/>
      <c r="N452" s="225" t="s">
        <v>1080</v>
      </c>
      <c r="O452" s="93" t="s">
        <v>1959</v>
      </c>
      <c r="P452" s="76" t="s">
        <v>27</v>
      </c>
      <c r="Q452" s="95">
        <v>1.6</v>
      </c>
      <c r="R452" s="95">
        <v>1.2</v>
      </c>
      <c r="S452" s="226" t="s">
        <v>385</v>
      </c>
      <c r="T452" s="136">
        <v>1.2</v>
      </c>
      <c r="U452" s="227">
        <f t="shared" si="44"/>
        <v>0.74999999999999989</v>
      </c>
      <c r="V452" s="630"/>
      <c r="W452" s="630"/>
      <c r="X452" s="633"/>
      <c r="Y452" s="633"/>
      <c r="Z452" s="94" t="s">
        <v>1038</v>
      </c>
      <c r="AA452" s="98"/>
    </row>
    <row r="453" spans="1:27" ht="60">
      <c r="A453" s="475"/>
      <c r="B453" s="660"/>
      <c r="C453" s="639"/>
      <c r="D453" s="663"/>
      <c r="E453" s="663"/>
      <c r="F453" s="648"/>
      <c r="G453" s="627"/>
      <c r="H453" s="627"/>
      <c r="I453" s="94"/>
      <c r="J453" s="136"/>
      <c r="K453" s="136"/>
      <c r="L453" s="136"/>
      <c r="M453" s="136"/>
      <c r="N453" s="93" t="s">
        <v>1081</v>
      </c>
      <c r="O453" s="93" t="s">
        <v>1082</v>
      </c>
      <c r="P453" s="76" t="s">
        <v>27</v>
      </c>
      <c r="Q453" s="95">
        <v>2.97</v>
      </c>
      <c r="R453" s="95">
        <f>ROUND(1.4+1.4/3,2)</f>
        <v>1.87</v>
      </c>
      <c r="S453" s="226" t="s">
        <v>682</v>
      </c>
      <c r="T453" s="136">
        <f>ROUND(1.4+1.4/3,2)</f>
        <v>1.87</v>
      </c>
      <c r="U453" s="227">
        <f t="shared" si="44"/>
        <v>0.62962962962962965</v>
      </c>
      <c r="V453" s="630"/>
      <c r="W453" s="630"/>
      <c r="X453" s="633"/>
      <c r="Y453" s="633"/>
      <c r="Z453" s="94" t="s">
        <v>1038</v>
      </c>
      <c r="AA453" s="98"/>
    </row>
    <row r="454" spans="1:27" ht="60">
      <c r="A454" s="475"/>
      <c r="B454" s="660"/>
      <c r="C454" s="639"/>
      <c r="D454" s="663"/>
      <c r="E454" s="663"/>
      <c r="F454" s="648"/>
      <c r="G454" s="627"/>
      <c r="H454" s="627"/>
      <c r="I454" s="94"/>
      <c r="J454" s="136"/>
      <c r="K454" s="136"/>
      <c r="L454" s="136"/>
      <c r="M454" s="136"/>
      <c r="N454" s="225" t="s">
        <v>1083</v>
      </c>
      <c r="O454" s="93" t="s">
        <v>1960</v>
      </c>
      <c r="P454" s="76" t="s">
        <v>27</v>
      </c>
      <c r="Q454" s="95">
        <v>1.2</v>
      </c>
      <c r="R454" s="95">
        <v>0.95</v>
      </c>
      <c r="S454" s="226" t="s">
        <v>682</v>
      </c>
      <c r="T454" s="136">
        <v>0.95</v>
      </c>
      <c r="U454" s="227">
        <f t="shared" si="44"/>
        <v>0.79166666666666663</v>
      </c>
      <c r="V454" s="630"/>
      <c r="W454" s="630"/>
      <c r="X454" s="633"/>
      <c r="Y454" s="633"/>
      <c r="Z454" s="94" t="s">
        <v>1038</v>
      </c>
      <c r="AA454" s="98"/>
    </row>
    <row r="455" spans="1:27" ht="48">
      <c r="A455" s="475"/>
      <c r="B455" s="660"/>
      <c r="C455" s="639"/>
      <c r="D455" s="663"/>
      <c r="E455" s="663"/>
      <c r="F455" s="648"/>
      <c r="G455" s="627"/>
      <c r="H455" s="627"/>
      <c r="I455" s="94"/>
      <c r="J455" s="136"/>
      <c r="K455" s="136"/>
      <c r="L455" s="136"/>
      <c r="M455" s="136"/>
      <c r="N455" s="225" t="s">
        <v>1084</v>
      </c>
      <c r="O455" s="93" t="s">
        <v>1961</v>
      </c>
      <c r="P455" s="76" t="s">
        <v>27</v>
      </c>
      <c r="Q455" s="95">
        <v>0.6</v>
      </c>
      <c r="R455" s="95">
        <v>0.47</v>
      </c>
      <c r="S455" s="226" t="s">
        <v>682</v>
      </c>
      <c r="T455" s="136">
        <v>0.47</v>
      </c>
      <c r="U455" s="227">
        <f t="shared" si="44"/>
        <v>0.78333333333333333</v>
      </c>
      <c r="V455" s="630"/>
      <c r="W455" s="630"/>
      <c r="X455" s="633"/>
      <c r="Y455" s="633"/>
      <c r="Z455" s="94" t="s">
        <v>1038</v>
      </c>
      <c r="AA455" s="98"/>
    </row>
    <row r="456" spans="1:27" ht="84">
      <c r="A456" s="475"/>
      <c r="B456" s="660"/>
      <c r="C456" s="639"/>
      <c r="D456" s="663"/>
      <c r="E456" s="663"/>
      <c r="F456" s="648"/>
      <c r="G456" s="627"/>
      <c r="H456" s="627"/>
      <c r="I456" s="94"/>
      <c r="J456" s="136"/>
      <c r="K456" s="136"/>
      <c r="L456" s="136"/>
      <c r="M456" s="136"/>
      <c r="N456" s="225" t="s">
        <v>97</v>
      </c>
      <c r="O456" s="93" t="s">
        <v>1085</v>
      </c>
      <c r="P456" s="76" t="s">
        <v>27</v>
      </c>
      <c r="Q456" s="95">
        <v>1.2</v>
      </c>
      <c r="R456" s="95">
        <v>0.97</v>
      </c>
      <c r="S456" s="226" t="s">
        <v>682</v>
      </c>
      <c r="T456" s="136">
        <v>0.97</v>
      </c>
      <c r="U456" s="227">
        <f t="shared" si="44"/>
        <v>0.80833333333333335</v>
      </c>
      <c r="V456" s="630"/>
      <c r="W456" s="630"/>
      <c r="X456" s="633"/>
      <c r="Y456" s="633"/>
      <c r="Z456" s="94" t="s">
        <v>1038</v>
      </c>
      <c r="AA456" s="98"/>
    </row>
    <row r="457" spans="1:27" ht="60">
      <c r="A457" s="475"/>
      <c r="B457" s="660"/>
      <c r="C457" s="639"/>
      <c r="D457" s="663"/>
      <c r="E457" s="663"/>
      <c r="F457" s="648"/>
      <c r="G457" s="627"/>
      <c r="H457" s="627"/>
      <c r="I457" s="94"/>
      <c r="J457" s="136"/>
      <c r="K457" s="136"/>
      <c r="L457" s="136"/>
      <c r="M457" s="136"/>
      <c r="N457" s="225" t="s">
        <v>1086</v>
      </c>
      <c r="O457" s="93" t="s">
        <v>1962</v>
      </c>
      <c r="P457" s="76" t="s">
        <v>27</v>
      </c>
      <c r="Q457" s="95">
        <v>2.2999999999999998</v>
      </c>
      <c r="R457" s="95">
        <v>1.5</v>
      </c>
      <c r="S457" s="226" t="s">
        <v>63</v>
      </c>
      <c r="T457" s="136">
        <v>1.5</v>
      </c>
      <c r="U457" s="227">
        <f t="shared" si="44"/>
        <v>0.65217391304347827</v>
      </c>
      <c r="V457" s="630"/>
      <c r="W457" s="630"/>
      <c r="X457" s="633"/>
      <c r="Y457" s="633"/>
      <c r="Z457" s="94" t="s">
        <v>1038</v>
      </c>
      <c r="AA457" s="98"/>
    </row>
    <row r="458" spans="1:27" ht="72">
      <c r="A458" s="475"/>
      <c r="B458" s="660"/>
      <c r="C458" s="639"/>
      <c r="D458" s="663"/>
      <c r="E458" s="663"/>
      <c r="F458" s="648"/>
      <c r="G458" s="627"/>
      <c r="H458" s="627"/>
      <c r="I458" s="94"/>
      <c r="J458" s="136"/>
      <c r="K458" s="136"/>
      <c r="L458" s="136"/>
      <c r="M458" s="136"/>
      <c r="N458" s="225" t="s">
        <v>1087</v>
      </c>
      <c r="O458" s="93" t="s">
        <v>1963</v>
      </c>
      <c r="P458" s="76" t="s">
        <v>27</v>
      </c>
      <c r="Q458" s="95">
        <v>1.2</v>
      </c>
      <c r="R458" s="95">
        <v>0.71</v>
      </c>
      <c r="S458" s="226" t="s">
        <v>682</v>
      </c>
      <c r="T458" s="136">
        <v>0.71</v>
      </c>
      <c r="U458" s="227">
        <f t="shared" si="44"/>
        <v>0.59166666666666667</v>
      </c>
      <c r="V458" s="630"/>
      <c r="W458" s="630"/>
      <c r="X458" s="633"/>
      <c r="Y458" s="633"/>
      <c r="Z458" s="94" t="s">
        <v>1038</v>
      </c>
      <c r="AA458" s="98"/>
    </row>
    <row r="459" spans="1:27" ht="60">
      <c r="A459" s="475"/>
      <c r="B459" s="660"/>
      <c r="C459" s="639"/>
      <c r="D459" s="663"/>
      <c r="E459" s="663"/>
      <c r="F459" s="648"/>
      <c r="G459" s="627"/>
      <c r="H459" s="627"/>
      <c r="I459" s="94"/>
      <c r="J459" s="136"/>
      <c r="K459" s="136"/>
      <c r="L459" s="136"/>
      <c r="M459" s="136"/>
      <c r="N459" s="225" t="s">
        <v>1088</v>
      </c>
      <c r="O459" s="93" t="s">
        <v>1089</v>
      </c>
      <c r="P459" s="76" t="s">
        <v>27</v>
      </c>
      <c r="Q459" s="95">
        <v>2.1</v>
      </c>
      <c r="R459" s="95">
        <v>0.93</v>
      </c>
      <c r="S459" s="226" t="s">
        <v>63</v>
      </c>
      <c r="T459" s="136">
        <v>0.93</v>
      </c>
      <c r="U459" s="227">
        <f t="shared" si="44"/>
        <v>0.44285714285714284</v>
      </c>
      <c r="V459" s="630"/>
      <c r="W459" s="630"/>
      <c r="X459" s="633"/>
      <c r="Y459" s="633"/>
      <c r="Z459" s="94" t="s">
        <v>1038</v>
      </c>
      <c r="AA459" s="98"/>
    </row>
    <row r="460" spans="1:27" ht="108" hidden="1">
      <c r="A460" s="475"/>
      <c r="B460" s="660"/>
      <c r="C460" s="639"/>
      <c r="D460" s="663"/>
      <c r="E460" s="663"/>
      <c r="F460" s="648"/>
      <c r="G460" s="627"/>
      <c r="H460" s="627"/>
      <c r="I460" s="94"/>
      <c r="J460" s="136"/>
      <c r="K460" s="136"/>
      <c r="L460" s="136"/>
      <c r="M460" s="136"/>
      <c r="N460" s="225" t="s">
        <v>1090</v>
      </c>
      <c r="O460" s="93" t="s">
        <v>1964</v>
      </c>
      <c r="P460" s="76" t="s">
        <v>36</v>
      </c>
      <c r="Q460" s="95">
        <v>11</v>
      </c>
      <c r="R460" s="95">
        <v>11</v>
      </c>
      <c r="S460" s="226" t="s">
        <v>542</v>
      </c>
      <c r="T460" s="136">
        <v>0</v>
      </c>
      <c r="U460" s="227">
        <f t="shared" si="44"/>
        <v>0</v>
      </c>
      <c r="V460" s="630"/>
      <c r="W460" s="630"/>
      <c r="X460" s="633"/>
      <c r="Y460" s="633"/>
      <c r="Z460" s="94" t="s">
        <v>1038</v>
      </c>
      <c r="AA460" s="98"/>
    </row>
    <row r="461" spans="1:27" ht="60">
      <c r="A461" s="475"/>
      <c r="B461" s="660"/>
      <c r="C461" s="639"/>
      <c r="D461" s="663"/>
      <c r="E461" s="663"/>
      <c r="F461" s="648"/>
      <c r="G461" s="627"/>
      <c r="H461" s="627"/>
      <c r="I461" s="94"/>
      <c r="J461" s="136"/>
      <c r="K461" s="136"/>
      <c r="L461" s="136"/>
      <c r="M461" s="136"/>
      <c r="N461" s="225" t="s">
        <v>112</v>
      </c>
      <c r="O461" s="93" t="s">
        <v>1091</v>
      </c>
      <c r="P461" s="76" t="s">
        <v>27</v>
      </c>
      <c r="Q461" s="95">
        <v>1.2</v>
      </c>
      <c r="R461" s="95">
        <v>0.6</v>
      </c>
      <c r="S461" s="226" t="s">
        <v>63</v>
      </c>
      <c r="T461" s="136">
        <v>0.6</v>
      </c>
      <c r="U461" s="227">
        <f t="shared" si="44"/>
        <v>0.5</v>
      </c>
      <c r="V461" s="630"/>
      <c r="W461" s="630"/>
      <c r="X461" s="633"/>
      <c r="Y461" s="633"/>
      <c r="Z461" s="94" t="s">
        <v>1038</v>
      </c>
      <c r="AA461" s="98"/>
    </row>
    <row r="462" spans="1:27" ht="108" hidden="1">
      <c r="A462" s="475"/>
      <c r="B462" s="660"/>
      <c r="C462" s="639"/>
      <c r="D462" s="663"/>
      <c r="E462" s="663"/>
      <c r="F462" s="648"/>
      <c r="G462" s="627"/>
      <c r="H462" s="627"/>
      <c r="I462" s="94"/>
      <c r="J462" s="136"/>
      <c r="K462" s="136"/>
      <c r="L462" s="136"/>
      <c r="M462" s="136"/>
      <c r="N462" s="93" t="s">
        <v>1092</v>
      </c>
      <c r="O462" s="93" t="s">
        <v>1965</v>
      </c>
      <c r="P462" s="76" t="s">
        <v>36</v>
      </c>
      <c r="Q462" s="95">
        <v>40</v>
      </c>
      <c r="R462" s="95">
        <v>431</v>
      </c>
      <c r="S462" s="228" t="s">
        <v>1093</v>
      </c>
      <c r="T462" s="297">
        <v>35</v>
      </c>
      <c r="U462" s="229">
        <f t="shared" si="44"/>
        <v>0.875</v>
      </c>
      <c r="V462" s="630"/>
      <c r="W462" s="630"/>
      <c r="X462" s="633"/>
      <c r="Y462" s="633"/>
      <c r="Z462" s="94" t="s">
        <v>1038</v>
      </c>
      <c r="AA462" s="98"/>
    </row>
    <row r="463" spans="1:27" ht="60">
      <c r="A463" s="475"/>
      <c r="B463" s="660"/>
      <c r="C463" s="639"/>
      <c r="D463" s="663"/>
      <c r="E463" s="663"/>
      <c r="F463" s="648"/>
      <c r="G463" s="627"/>
      <c r="H463" s="627"/>
      <c r="I463" s="94"/>
      <c r="J463" s="136"/>
      <c r="K463" s="136"/>
      <c r="L463" s="136"/>
      <c r="M463" s="136"/>
      <c r="N463" s="225" t="s">
        <v>1094</v>
      </c>
      <c r="O463" s="93" t="s">
        <v>1966</v>
      </c>
      <c r="P463" s="76" t="s">
        <v>27</v>
      </c>
      <c r="Q463" s="95">
        <v>3.3</v>
      </c>
      <c r="R463" s="95">
        <v>2</v>
      </c>
      <c r="S463" s="226" t="s">
        <v>1095</v>
      </c>
      <c r="T463" s="136">
        <v>2</v>
      </c>
      <c r="U463" s="227">
        <f t="shared" si="44"/>
        <v>0.60606060606060608</v>
      </c>
      <c r="V463" s="630"/>
      <c r="W463" s="630"/>
      <c r="X463" s="633"/>
      <c r="Y463" s="633"/>
      <c r="Z463" s="94" t="s">
        <v>1038</v>
      </c>
      <c r="AA463" s="98"/>
    </row>
    <row r="464" spans="1:27" ht="60">
      <c r="A464" s="475"/>
      <c r="B464" s="660"/>
      <c r="C464" s="639"/>
      <c r="D464" s="663"/>
      <c r="E464" s="663"/>
      <c r="F464" s="648"/>
      <c r="G464" s="627"/>
      <c r="H464" s="627"/>
      <c r="I464" s="94"/>
      <c r="J464" s="136"/>
      <c r="K464" s="136"/>
      <c r="L464" s="136"/>
      <c r="M464" s="136"/>
      <c r="N464" s="225" t="s">
        <v>1096</v>
      </c>
      <c r="O464" s="93" t="s">
        <v>1967</v>
      </c>
      <c r="P464" s="76" t="s">
        <v>27</v>
      </c>
      <c r="Q464" s="95">
        <v>0.8</v>
      </c>
      <c r="R464" s="95">
        <v>0.54</v>
      </c>
      <c r="S464" s="226" t="s">
        <v>1097</v>
      </c>
      <c r="T464" s="136">
        <v>0.54</v>
      </c>
      <c r="U464" s="227">
        <f t="shared" si="44"/>
        <v>0.67500000000000004</v>
      </c>
      <c r="V464" s="630"/>
      <c r="W464" s="630"/>
      <c r="X464" s="633"/>
      <c r="Y464" s="633"/>
      <c r="Z464" s="94" t="s">
        <v>1038</v>
      </c>
      <c r="AA464" s="98"/>
    </row>
    <row r="465" spans="1:27" ht="108" hidden="1">
      <c r="A465" s="475"/>
      <c r="B465" s="660"/>
      <c r="C465" s="639"/>
      <c r="D465" s="663"/>
      <c r="E465" s="663"/>
      <c r="F465" s="648"/>
      <c r="G465" s="627"/>
      <c r="H465" s="627"/>
      <c r="I465" s="94"/>
      <c r="J465" s="136"/>
      <c r="K465" s="136"/>
      <c r="L465" s="136"/>
      <c r="M465" s="136"/>
      <c r="N465" s="93" t="s">
        <v>1000</v>
      </c>
      <c r="O465" s="93" t="s">
        <v>1968</v>
      </c>
      <c r="P465" s="76" t="s">
        <v>36</v>
      </c>
      <c r="Q465" s="95">
        <v>10</v>
      </c>
      <c r="R465" s="95">
        <v>202</v>
      </c>
      <c r="S465" s="228" t="s">
        <v>1098</v>
      </c>
      <c r="T465" s="136">
        <v>16</v>
      </c>
      <c r="U465" s="229">
        <f t="shared" si="44"/>
        <v>1.6</v>
      </c>
      <c r="V465" s="630"/>
      <c r="W465" s="630"/>
      <c r="X465" s="633"/>
      <c r="Y465" s="633"/>
      <c r="Z465" s="94" t="s">
        <v>1038</v>
      </c>
      <c r="AA465" s="98"/>
    </row>
    <row r="466" spans="1:27" ht="96">
      <c r="A466" s="475"/>
      <c r="B466" s="661"/>
      <c r="C466" s="640"/>
      <c r="D466" s="664"/>
      <c r="E466" s="664"/>
      <c r="F466" s="649"/>
      <c r="G466" s="628"/>
      <c r="H466" s="628"/>
      <c r="I466" s="94"/>
      <c r="J466" s="136"/>
      <c r="K466" s="136"/>
      <c r="L466" s="136"/>
      <c r="M466" s="136"/>
      <c r="N466" s="225" t="s">
        <v>1099</v>
      </c>
      <c r="O466" s="93" t="s">
        <v>1100</v>
      </c>
      <c r="P466" s="76" t="s">
        <v>27</v>
      </c>
      <c r="Q466" s="95">
        <v>1.2</v>
      </c>
      <c r="R466" s="95">
        <v>0.97</v>
      </c>
      <c r="S466" s="226" t="s">
        <v>1101</v>
      </c>
      <c r="T466" s="136">
        <v>0.97</v>
      </c>
      <c r="U466" s="227">
        <f t="shared" si="44"/>
        <v>0.80833333333333335</v>
      </c>
      <c r="V466" s="631"/>
      <c r="W466" s="631"/>
      <c r="X466" s="634"/>
      <c r="Y466" s="634"/>
      <c r="Z466" s="94" t="s">
        <v>1038</v>
      </c>
      <c r="AA466" s="98"/>
    </row>
    <row r="467" spans="1:27" hidden="1">
      <c r="A467" s="475"/>
      <c r="B467" s="650">
        <v>11</v>
      </c>
      <c r="C467" s="685" t="s">
        <v>1969</v>
      </c>
      <c r="D467" s="662">
        <v>45755.521800000002</v>
      </c>
      <c r="E467" s="674" t="s">
        <v>2188</v>
      </c>
      <c r="F467" s="647" t="s">
        <v>1102</v>
      </c>
      <c r="G467" s="626">
        <v>180.38377399999999</v>
      </c>
      <c r="H467" s="626">
        <v>4</v>
      </c>
      <c r="I467" s="647" t="s">
        <v>1103</v>
      </c>
      <c r="J467" s="626">
        <v>51.392499999999998</v>
      </c>
      <c r="K467" s="136"/>
      <c r="L467" s="136"/>
      <c r="M467" s="626">
        <f t="shared" ref="M467:M482" si="45">SUM(G467,H467,J467,L467)</f>
        <v>235.776274</v>
      </c>
      <c r="N467" s="94" t="s">
        <v>1104</v>
      </c>
      <c r="O467" s="94" t="s">
        <v>1105</v>
      </c>
      <c r="P467" s="76" t="s">
        <v>36</v>
      </c>
      <c r="Q467" s="95">
        <v>8</v>
      </c>
      <c r="R467" s="95">
        <v>8</v>
      </c>
      <c r="S467" s="94" t="s">
        <v>1090</v>
      </c>
      <c r="T467" s="136">
        <v>5.8047120000000003</v>
      </c>
      <c r="U467" s="215">
        <f t="shared" si="44"/>
        <v>0.72558900000000004</v>
      </c>
      <c r="V467" s="629">
        <f>SUM(Q467:Q468)</f>
        <v>61</v>
      </c>
      <c r="W467" s="629">
        <f>SUM(T467:T468)</f>
        <v>55.804712000000002</v>
      </c>
      <c r="X467" s="632">
        <f>W467/V467</f>
        <v>0.91483134426229507</v>
      </c>
      <c r="Y467" s="632">
        <f>W467/M467</f>
        <v>0.23668501946043988</v>
      </c>
      <c r="Z467" s="94" t="s">
        <v>1038</v>
      </c>
      <c r="AA467" s="98"/>
    </row>
    <row r="468" spans="1:27" ht="72">
      <c r="A468" s="475"/>
      <c r="B468" s="652"/>
      <c r="C468" s="686"/>
      <c r="D468" s="664"/>
      <c r="E468" s="676"/>
      <c r="F468" s="649"/>
      <c r="G468" s="628"/>
      <c r="H468" s="628"/>
      <c r="I468" s="649"/>
      <c r="J468" s="628"/>
      <c r="K468" s="136"/>
      <c r="L468" s="136"/>
      <c r="M468" s="628"/>
      <c r="N468" s="94" t="s">
        <v>120</v>
      </c>
      <c r="O468" s="94" t="s">
        <v>1970</v>
      </c>
      <c r="P468" s="76" t="s">
        <v>27</v>
      </c>
      <c r="Q468" s="95">
        <v>53</v>
      </c>
      <c r="R468" s="95">
        <v>50</v>
      </c>
      <c r="S468" s="94" t="s">
        <v>1106</v>
      </c>
      <c r="T468" s="136">
        <v>50</v>
      </c>
      <c r="U468" s="215">
        <f t="shared" si="44"/>
        <v>0.94339622641509435</v>
      </c>
      <c r="V468" s="631"/>
      <c r="W468" s="631"/>
      <c r="X468" s="634"/>
      <c r="Y468" s="634"/>
      <c r="Z468" s="94" t="s">
        <v>1038</v>
      </c>
      <c r="AA468" s="98"/>
    </row>
    <row r="469" spans="1:27" ht="24" hidden="1">
      <c r="A469" s="475"/>
      <c r="B469" s="650">
        <v>12</v>
      </c>
      <c r="C469" s="653" t="s">
        <v>1107</v>
      </c>
      <c r="D469" s="679">
        <v>54882.94</v>
      </c>
      <c r="E469" s="682" t="s">
        <v>2189</v>
      </c>
      <c r="F469" s="647" t="s">
        <v>31</v>
      </c>
      <c r="G469" s="626">
        <v>35.287799999999997</v>
      </c>
      <c r="H469" s="626" t="s">
        <v>1108</v>
      </c>
      <c r="I469" s="647" t="s">
        <v>39</v>
      </c>
      <c r="J469" s="626">
        <v>43.9</v>
      </c>
      <c r="K469" s="626" t="s">
        <v>1108</v>
      </c>
      <c r="L469" s="626" t="s">
        <v>1108</v>
      </c>
      <c r="M469" s="136">
        <f t="shared" si="45"/>
        <v>79.187799999999996</v>
      </c>
      <c r="N469" s="94" t="s">
        <v>908</v>
      </c>
      <c r="O469" s="94" t="s">
        <v>1109</v>
      </c>
      <c r="P469" s="76" t="s">
        <v>36</v>
      </c>
      <c r="Q469" s="95"/>
      <c r="R469" s="95">
        <v>6.1601999999999997</v>
      </c>
      <c r="S469" s="94"/>
      <c r="T469" s="136"/>
      <c r="U469" s="215"/>
      <c r="V469" s="629">
        <f>SUM(Q469:Q481)</f>
        <v>515</v>
      </c>
      <c r="W469" s="629">
        <f>SUM(T469:T481)</f>
        <v>0</v>
      </c>
      <c r="X469" s="629"/>
      <c r="Y469" s="629"/>
      <c r="Z469" s="94" t="s">
        <v>814</v>
      </c>
      <c r="AA469" s="98"/>
    </row>
    <row r="470" spans="1:27" ht="24" hidden="1">
      <c r="A470" s="475"/>
      <c r="B470" s="651"/>
      <c r="C470" s="654"/>
      <c r="D470" s="680"/>
      <c r="E470" s="683"/>
      <c r="F470" s="648"/>
      <c r="G470" s="627"/>
      <c r="H470" s="627"/>
      <c r="I470" s="648"/>
      <c r="J470" s="627"/>
      <c r="K470" s="627"/>
      <c r="L470" s="627"/>
      <c r="M470" s="136">
        <f t="shared" si="45"/>
        <v>0</v>
      </c>
      <c r="N470" s="94" t="s">
        <v>1110</v>
      </c>
      <c r="O470" s="94" t="s">
        <v>1971</v>
      </c>
      <c r="P470" s="76" t="s">
        <v>36</v>
      </c>
      <c r="Q470" s="95"/>
      <c r="R470" s="95">
        <v>12.3612</v>
      </c>
      <c r="S470" s="94"/>
      <c r="T470" s="136"/>
      <c r="U470" s="94"/>
      <c r="V470" s="630"/>
      <c r="W470" s="630"/>
      <c r="X470" s="630"/>
      <c r="Y470" s="630"/>
      <c r="Z470" s="94" t="s">
        <v>814</v>
      </c>
      <c r="AA470" s="98"/>
    </row>
    <row r="471" spans="1:27" ht="48" hidden="1">
      <c r="A471" s="475"/>
      <c r="B471" s="651"/>
      <c r="C471" s="654"/>
      <c r="D471" s="680"/>
      <c r="E471" s="683"/>
      <c r="F471" s="648"/>
      <c r="G471" s="627"/>
      <c r="H471" s="627"/>
      <c r="I471" s="648"/>
      <c r="J471" s="627"/>
      <c r="K471" s="627"/>
      <c r="L471" s="627"/>
      <c r="M471" s="136">
        <f t="shared" si="45"/>
        <v>0</v>
      </c>
      <c r="N471" s="94" t="s">
        <v>1111</v>
      </c>
      <c r="O471" s="94" t="s">
        <v>1972</v>
      </c>
      <c r="P471" s="76" t="s">
        <v>36</v>
      </c>
      <c r="Q471" s="95"/>
      <c r="R471" s="95">
        <v>19.911000000000001</v>
      </c>
      <c r="S471" s="94"/>
      <c r="T471" s="136"/>
      <c r="U471" s="94"/>
      <c r="V471" s="630"/>
      <c r="W471" s="630"/>
      <c r="X471" s="630"/>
      <c r="Y471" s="630"/>
      <c r="Z471" s="94" t="s">
        <v>814</v>
      </c>
      <c r="AA471" s="98"/>
    </row>
    <row r="472" spans="1:27" ht="24" hidden="1">
      <c r="A472" s="475"/>
      <c r="B472" s="651"/>
      <c r="C472" s="654"/>
      <c r="D472" s="680"/>
      <c r="E472" s="683"/>
      <c r="F472" s="648"/>
      <c r="G472" s="627"/>
      <c r="H472" s="627"/>
      <c r="I472" s="648"/>
      <c r="J472" s="627"/>
      <c r="K472" s="627"/>
      <c r="L472" s="627"/>
      <c r="M472" s="136">
        <f t="shared" si="45"/>
        <v>0</v>
      </c>
      <c r="N472" s="94" t="s">
        <v>1112</v>
      </c>
      <c r="O472" s="94" t="s">
        <v>1113</v>
      </c>
      <c r="P472" s="76" t="s">
        <v>36</v>
      </c>
      <c r="Q472" s="95"/>
      <c r="R472" s="95"/>
      <c r="S472" s="94"/>
      <c r="T472" s="136"/>
      <c r="U472" s="94"/>
      <c r="V472" s="630"/>
      <c r="W472" s="630"/>
      <c r="X472" s="630"/>
      <c r="Y472" s="630"/>
      <c r="Z472" s="94" t="s">
        <v>814</v>
      </c>
      <c r="AA472" s="98"/>
    </row>
    <row r="473" spans="1:27" ht="36" hidden="1">
      <c r="A473" s="475"/>
      <c r="B473" s="651"/>
      <c r="C473" s="654"/>
      <c r="D473" s="680"/>
      <c r="E473" s="683"/>
      <c r="F473" s="648"/>
      <c r="G473" s="627"/>
      <c r="H473" s="627"/>
      <c r="I473" s="648"/>
      <c r="J473" s="627"/>
      <c r="K473" s="627"/>
      <c r="L473" s="627"/>
      <c r="M473" s="136">
        <f t="shared" si="45"/>
        <v>0</v>
      </c>
      <c r="N473" s="94" t="s">
        <v>1114</v>
      </c>
      <c r="O473" s="94" t="s">
        <v>1973</v>
      </c>
      <c r="P473" s="76" t="s">
        <v>36</v>
      </c>
      <c r="Q473" s="95"/>
      <c r="R473" s="95"/>
      <c r="S473" s="94"/>
      <c r="T473" s="136"/>
      <c r="U473" s="94"/>
      <c r="V473" s="630"/>
      <c r="W473" s="630"/>
      <c r="X473" s="630"/>
      <c r="Y473" s="630"/>
      <c r="Z473" s="94" t="s">
        <v>814</v>
      </c>
      <c r="AA473" s="98"/>
    </row>
    <row r="474" spans="1:27" ht="24" hidden="1">
      <c r="A474" s="475"/>
      <c r="B474" s="651"/>
      <c r="C474" s="654"/>
      <c r="D474" s="680"/>
      <c r="E474" s="683"/>
      <c r="F474" s="648"/>
      <c r="G474" s="627"/>
      <c r="H474" s="627"/>
      <c r="I474" s="648"/>
      <c r="J474" s="627"/>
      <c r="K474" s="627"/>
      <c r="L474" s="627"/>
      <c r="M474" s="136">
        <f t="shared" si="45"/>
        <v>0</v>
      </c>
      <c r="N474" s="94" t="s">
        <v>1115</v>
      </c>
      <c r="O474" s="94" t="s">
        <v>1116</v>
      </c>
      <c r="P474" s="76" t="s">
        <v>36</v>
      </c>
      <c r="Q474" s="95"/>
      <c r="R474" s="95">
        <v>400</v>
      </c>
      <c r="S474" s="94"/>
      <c r="T474" s="136"/>
      <c r="U474" s="94"/>
      <c r="V474" s="630"/>
      <c r="W474" s="630"/>
      <c r="X474" s="630"/>
      <c r="Y474" s="630"/>
      <c r="Z474" s="94" t="s">
        <v>814</v>
      </c>
      <c r="AA474" s="98"/>
    </row>
    <row r="475" spans="1:27" ht="24">
      <c r="A475" s="475"/>
      <c r="B475" s="651"/>
      <c r="C475" s="654"/>
      <c r="D475" s="680"/>
      <c r="E475" s="683"/>
      <c r="F475" s="648"/>
      <c r="G475" s="627"/>
      <c r="H475" s="627"/>
      <c r="I475" s="648"/>
      <c r="J475" s="627"/>
      <c r="K475" s="627"/>
      <c r="L475" s="627"/>
      <c r="M475" s="136">
        <f t="shared" si="45"/>
        <v>0</v>
      </c>
      <c r="N475" s="94" t="s">
        <v>677</v>
      </c>
      <c r="O475" s="94" t="s">
        <v>1117</v>
      </c>
      <c r="P475" s="76" t="s">
        <v>27</v>
      </c>
      <c r="Q475" s="95"/>
      <c r="R475" s="95"/>
      <c r="S475" s="94"/>
      <c r="T475" s="136"/>
      <c r="U475" s="94"/>
      <c r="V475" s="630"/>
      <c r="W475" s="630"/>
      <c r="X475" s="630"/>
      <c r="Y475" s="630"/>
      <c r="Z475" s="94" t="s">
        <v>814</v>
      </c>
      <c r="AA475" s="98"/>
    </row>
    <row r="476" spans="1:27" ht="24">
      <c r="A476" s="475"/>
      <c r="B476" s="651"/>
      <c r="C476" s="654"/>
      <c r="D476" s="680"/>
      <c r="E476" s="683"/>
      <c r="F476" s="648"/>
      <c r="G476" s="627"/>
      <c r="H476" s="627"/>
      <c r="I476" s="648"/>
      <c r="J476" s="627"/>
      <c r="K476" s="627"/>
      <c r="L476" s="627"/>
      <c r="M476" s="136">
        <f t="shared" si="45"/>
        <v>0</v>
      </c>
      <c r="N476" s="94" t="s">
        <v>1118</v>
      </c>
      <c r="O476" s="94" t="s">
        <v>1119</v>
      </c>
      <c r="P476" s="76" t="s">
        <v>27</v>
      </c>
      <c r="Q476" s="95">
        <v>200</v>
      </c>
      <c r="R476" s="95">
        <v>60</v>
      </c>
      <c r="S476" s="94"/>
      <c r="T476" s="136"/>
      <c r="U476" s="94"/>
      <c r="V476" s="630"/>
      <c r="W476" s="630"/>
      <c r="X476" s="630"/>
      <c r="Y476" s="630"/>
      <c r="Z476" s="94" t="s">
        <v>814</v>
      </c>
      <c r="AA476" s="98"/>
    </row>
    <row r="477" spans="1:27" ht="36">
      <c r="A477" s="475"/>
      <c r="B477" s="651"/>
      <c r="C477" s="654"/>
      <c r="D477" s="680"/>
      <c r="E477" s="683"/>
      <c r="F477" s="648"/>
      <c r="G477" s="627"/>
      <c r="H477" s="627"/>
      <c r="I477" s="648"/>
      <c r="J477" s="627"/>
      <c r="K477" s="627"/>
      <c r="L477" s="627"/>
      <c r="M477" s="136">
        <f t="shared" si="45"/>
        <v>0</v>
      </c>
      <c r="N477" s="94" t="s">
        <v>1120</v>
      </c>
      <c r="O477" s="94" t="s">
        <v>1121</v>
      </c>
      <c r="P477" s="76" t="s">
        <v>27</v>
      </c>
      <c r="Q477" s="95">
        <v>100</v>
      </c>
      <c r="R477" s="95">
        <v>30</v>
      </c>
      <c r="S477" s="94"/>
      <c r="T477" s="136"/>
      <c r="U477" s="94"/>
      <c r="V477" s="630"/>
      <c r="W477" s="630"/>
      <c r="X477" s="630"/>
      <c r="Y477" s="630"/>
      <c r="Z477" s="94" t="s">
        <v>814</v>
      </c>
      <c r="AA477" s="98"/>
    </row>
    <row r="478" spans="1:27" ht="36">
      <c r="A478" s="475"/>
      <c r="B478" s="651"/>
      <c r="C478" s="654"/>
      <c r="D478" s="680"/>
      <c r="E478" s="683"/>
      <c r="F478" s="648"/>
      <c r="G478" s="627"/>
      <c r="H478" s="627"/>
      <c r="I478" s="648"/>
      <c r="J478" s="627"/>
      <c r="K478" s="627"/>
      <c r="L478" s="627"/>
      <c r="M478" s="136">
        <f t="shared" si="45"/>
        <v>0</v>
      </c>
      <c r="N478" s="94" t="s">
        <v>1122</v>
      </c>
      <c r="O478" s="94" t="s">
        <v>1123</v>
      </c>
      <c r="P478" s="76" t="s">
        <v>27</v>
      </c>
      <c r="Q478" s="95">
        <v>100</v>
      </c>
      <c r="R478" s="95">
        <v>30</v>
      </c>
      <c r="S478" s="94"/>
      <c r="T478" s="136"/>
      <c r="U478" s="94"/>
      <c r="V478" s="630"/>
      <c r="W478" s="630"/>
      <c r="X478" s="630"/>
      <c r="Y478" s="630"/>
      <c r="Z478" s="94" t="s">
        <v>814</v>
      </c>
      <c r="AA478" s="98"/>
    </row>
    <row r="479" spans="1:27" ht="36">
      <c r="A479" s="475"/>
      <c r="B479" s="651"/>
      <c r="C479" s="654"/>
      <c r="D479" s="680"/>
      <c r="E479" s="683"/>
      <c r="F479" s="648"/>
      <c r="G479" s="627"/>
      <c r="H479" s="627"/>
      <c r="I479" s="648"/>
      <c r="J479" s="627"/>
      <c r="K479" s="627"/>
      <c r="L479" s="627"/>
      <c r="M479" s="136">
        <f t="shared" si="45"/>
        <v>0</v>
      </c>
      <c r="N479" s="94" t="s">
        <v>71</v>
      </c>
      <c r="O479" s="94" t="s">
        <v>1974</v>
      </c>
      <c r="P479" s="76" t="s">
        <v>27</v>
      </c>
      <c r="Q479" s="95"/>
      <c r="R479" s="95"/>
      <c r="S479" s="94"/>
      <c r="T479" s="136"/>
      <c r="U479" s="94"/>
      <c r="V479" s="630"/>
      <c r="W479" s="630"/>
      <c r="X479" s="630"/>
      <c r="Y479" s="630"/>
      <c r="Z479" s="94" t="s">
        <v>814</v>
      </c>
      <c r="AA479" s="98"/>
    </row>
    <row r="480" spans="1:27" ht="24">
      <c r="A480" s="475"/>
      <c r="B480" s="651"/>
      <c r="C480" s="654"/>
      <c r="D480" s="680"/>
      <c r="E480" s="683"/>
      <c r="F480" s="648"/>
      <c r="G480" s="627"/>
      <c r="H480" s="627"/>
      <c r="I480" s="648"/>
      <c r="J480" s="627"/>
      <c r="K480" s="627"/>
      <c r="L480" s="627"/>
      <c r="M480" s="136">
        <f t="shared" si="45"/>
        <v>0</v>
      </c>
      <c r="N480" s="94" t="s">
        <v>1124</v>
      </c>
      <c r="O480" s="94" t="s">
        <v>1125</v>
      </c>
      <c r="P480" s="76" t="s">
        <v>27</v>
      </c>
      <c r="Q480" s="95">
        <v>100</v>
      </c>
      <c r="R480" s="95">
        <v>30</v>
      </c>
      <c r="S480" s="94"/>
      <c r="T480" s="136"/>
      <c r="U480" s="94"/>
      <c r="V480" s="630"/>
      <c r="W480" s="630"/>
      <c r="X480" s="630"/>
      <c r="Y480" s="630"/>
      <c r="Z480" s="94" t="s">
        <v>814</v>
      </c>
      <c r="AA480" s="98"/>
    </row>
    <row r="481" spans="1:27" ht="24">
      <c r="A481" s="475"/>
      <c r="B481" s="652"/>
      <c r="C481" s="655"/>
      <c r="D481" s="681"/>
      <c r="E481" s="684"/>
      <c r="F481" s="649"/>
      <c r="G481" s="628"/>
      <c r="H481" s="628"/>
      <c r="I481" s="649"/>
      <c r="J481" s="628"/>
      <c r="K481" s="628"/>
      <c r="L481" s="628"/>
      <c r="M481" s="136">
        <f t="shared" si="45"/>
        <v>0</v>
      </c>
      <c r="N481" s="94" t="s">
        <v>1124</v>
      </c>
      <c r="O481" s="94" t="s">
        <v>1975</v>
      </c>
      <c r="P481" s="76" t="s">
        <v>27</v>
      </c>
      <c r="Q481" s="95">
        <v>15</v>
      </c>
      <c r="R481" s="95">
        <v>5</v>
      </c>
      <c r="S481" s="94"/>
      <c r="T481" s="136"/>
      <c r="U481" s="94"/>
      <c r="V481" s="631"/>
      <c r="W481" s="631"/>
      <c r="X481" s="631"/>
      <c r="Y481" s="631"/>
      <c r="Z481" s="94" t="s">
        <v>814</v>
      </c>
      <c r="AA481" s="98"/>
    </row>
    <row r="482" spans="1:27" ht="48" hidden="1">
      <c r="A482" s="475"/>
      <c r="B482" s="213">
        <v>13</v>
      </c>
      <c r="C482" s="214" t="s">
        <v>1976</v>
      </c>
      <c r="D482" s="393">
        <v>18874.948100000001</v>
      </c>
      <c r="E482" s="394" t="s">
        <v>2190</v>
      </c>
      <c r="F482" s="94" t="s">
        <v>1126</v>
      </c>
      <c r="G482" s="136">
        <v>44.379843999999999</v>
      </c>
      <c r="H482" s="136"/>
      <c r="I482" s="94"/>
      <c r="J482" s="136"/>
      <c r="K482" s="136"/>
      <c r="L482" s="136"/>
      <c r="M482" s="136">
        <f t="shared" si="45"/>
        <v>44.379843999999999</v>
      </c>
      <c r="N482" s="94"/>
      <c r="O482" s="94"/>
      <c r="P482" s="94"/>
      <c r="Q482" s="95"/>
      <c r="R482" s="95"/>
      <c r="S482" s="94"/>
      <c r="T482" s="136"/>
      <c r="U482" s="215"/>
      <c r="V482" s="212"/>
      <c r="W482" s="212"/>
      <c r="X482" s="212"/>
      <c r="Y482" s="212"/>
      <c r="Z482" s="94" t="s">
        <v>1045</v>
      </c>
      <c r="AA482" s="98"/>
    </row>
    <row r="483" spans="1:27" ht="24">
      <c r="A483" s="475"/>
      <c r="B483" s="650">
        <v>14</v>
      </c>
      <c r="C483" s="653" t="s">
        <v>1127</v>
      </c>
      <c r="D483" s="671">
        <v>62800</v>
      </c>
      <c r="E483" s="674" t="s">
        <v>2191</v>
      </c>
      <c r="F483" s="647" t="s">
        <v>39</v>
      </c>
      <c r="G483" s="626">
        <v>239.01</v>
      </c>
      <c r="H483" s="626">
        <v>5</v>
      </c>
      <c r="I483" s="647" t="s">
        <v>1128</v>
      </c>
      <c r="J483" s="626">
        <v>56</v>
      </c>
      <c r="K483" s="136"/>
      <c r="L483" s="136"/>
      <c r="M483" s="626">
        <f>SUM(J483,G483:H487)</f>
        <v>300.01</v>
      </c>
      <c r="N483" s="94" t="s">
        <v>789</v>
      </c>
      <c r="O483" s="94" t="s">
        <v>1129</v>
      </c>
      <c r="P483" s="76" t="s">
        <v>27</v>
      </c>
      <c r="Q483" s="95">
        <v>0.62</v>
      </c>
      <c r="R483" s="95">
        <v>0.45</v>
      </c>
      <c r="S483" s="94" t="s">
        <v>1130</v>
      </c>
      <c r="T483" s="136">
        <v>0.34</v>
      </c>
      <c r="U483" s="215">
        <f t="shared" ref="U483:U488" si="46">T483/Q483</f>
        <v>0.54838709677419362</v>
      </c>
      <c r="V483" s="629">
        <f>SUM(Q483:Q487)</f>
        <v>27.01</v>
      </c>
      <c r="W483" s="629">
        <f>SUM(T483:T487)</f>
        <v>7.96</v>
      </c>
      <c r="X483" s="632">
        <f>W483/V483</f>
        <v>0.29470566456867825</v>
      </c>
      <c r="Y483" s="632">
        <f>W483/M483</f>
        <v>2.6532448918369388E-2</v>
      </c>
      <c r="Z483" s="94" t="s">
        <v>1038</v>
      </c>
      <c r="AA483" s="98"/>
    </row>
    <row r="484" spans="1:27">
      <c r="A484" s="475"/>
      <c r="B484" s="651"/>
      <c r="C484" s="654"/>
      <c r="D484" s="672"/>
      <c r="E484" s="675"/>
      <c r="F484" s="648"/>
      <c r="G484" s="627"/>
      <c r="H484" s="627"/>
      <c r="I484" s="648"/>
      <c r="J484" s="627"/>
      <c r="K484" s="136"/>
      <c r="L484" s="136"/>
      <c r="M484" s="627"/>
      <c r="N484" s="94" t="s">
        <v>690</v>
      </c>
      <c r="O484" s="94" t="s">
        <v>1131</v>
      </c>
      <c r="P484" s="76" t="s">
        <v>27</v>
      </c>
      <c r="Q484" s="95">
        <v>0.92</v>
      </c>
      <c r="R484" s="95">
        <v>0.83</v>
      </c>
      <c r="S484" s="94" t="s">
        <v>1132</v>
      </c>
      <c r="T484" s="136">
        <v>0.66</v>
      </c>
      <c r="U484" s="215">
        <f t="shared" si="46"/>
        <v>0.71739130434782605</v>
      </c>
      <c r="V484" s="630"/>
      <c r="W484" s="630"/>
      <c r="X484" s="633"/>
      <c r="Y484" s="633"/>
      <c r="Z484" s="94" t="s">
        <v>1038</v>
      </c>
      <c r="AA484" s="98"/>
    </row>
    <row r="485" spans="1:27">
      <c r="A485" s="475"/>
      <c r="B485" s="651"/>
      <c r="C485" s="654"/>
      <c r="D485" s="672"/>
      <c r="E485" s="675"/>
      <c r="F485" s="648"/>
      <c r="G485" s="627"/>
      <c r="H485" s="627"/>
      <c r="I485" s="648"/>
      <c r="J485" s="627"/>
      <c r="K485" s="136"/>
      <c r="L485" s="136"/>
      <c r="M485" s="627"/>
      <c r="N485" s="94" t="s">
        <v>1133</v>
      </c>
      <c r="O485" s="94" t="s">
        <v>1134</v>
      </c>
      <c r="P485" s="76" t="s">
        <v>27</v>
      </c>
      <c r="Q485" s="95">
        <v>0.45</v>
      </c>
      <c r="R485" s="95">
        <v>1.82</v>
      </c>
      <c r="S485" s="94" t="s">
        <v>1132</v>
      </c>
      <c r="T485" s="136">
        <v>0.25</v>
      </c>
      <c r="U485" s="215">
        <f t="shared" si="46"/>
        <v>0.55555555555555558</v>
      </c>
      <c r="V485" s="630"/>
      <c r="W485" s="630"/>
      <c r="X485" s="633"/>
      <c r="Y485" s="633"/>
      <c r="Z485" s="94" t="s">
        <v>1038</v>
      </c>
      <c r="AA485" s="98"/>
    </row>
    <row r="486" spans="1:27" ht="24">
      <c r="A486" s="475"/>
      <c r="B486" s="651"/>
      <c r="C486" s="654"/>
      <c r="D486" s="672"/>
      <c r="E486" s="675"/>
      <c r="F486" s="648"/>
      <c r="G486" s="627"/>
      <c r="H486" s="627"/>
      <c r="I486" s="648"/>
      <c r="J486" s="627"/>
      <c r="K486" s="136"/>
      <c r="L486" s="136"/>
      <c r="M486" s="627"/>
      <c r="N486" s="94" t="s">
        <v>1135</v>
      </c>
      <c r="O486" s="94" t="s">
        <v>1136</v>
      </c>
      <c r="P486" s="76" t="s">
        <v>27</v>
      </c>
      <c r="Q486" s="95">
        <v>1.2</v>
      </c>
      <c r="R486" s="95">
        <v>0.63</v>
      </c>
      <c r="S486" s="94" t="s">
        <v>1132</v>
      </c>
      <c r="T486" s="136">
        <v>0.71</v>
      </c>
      <c r="U486" s="215">
        <f t="shared" si="46"/>
        <v>0.59166666666666667</v>
      </c>
      <c r="V486" s="630"/>
      <c r="W486" s="630"/>
      <c r="X486" s="633"/>
      <c r="Y486" s="633"/>
      <c r="Z486" s="94" t="s">
        <v>1038</v>
      </c>
      <c r="AA486" s="98"/>
    </row>
    <row r="487" spans="1:27" ht="24">
      <c r="A487" s="475"/>
      <c r="B487" s="652"/>
      <c r="C487" s="655"/>
      <c r="D487" s="673"/>
      <c r="E487" s="676"/>
      <c r="F487" s="649"/>
      <c r="G487" s="628"/>
      <c r="H487" s="628"/>
      <c r="I487" s="649"/>
      <c r="J487" s="628"/>
      <c r="K487" s="136"/>
      <c r="L487" s="136"/>
      <c r="M487" s="628"/>
      <c r="N487" s="94" t="s">
        <v>1137</v>
      </c>
      <c r="O487" s="94" t="s">
        <v>1138</v>
      </c>
      <c r="P487" s="76" t="s">
        <v>27</v>
      </c>
      <c r="Q487" s="95">
        <v>23.82</v>
      </c>
      <c r="R487" s="95">
        <v>24</v>
      </c>
      <c r="S487" s="94" t="s">
        <v>1139</v>
      </c>
      <c r="T487" s="136">
        <v>6</v>
      </c>
      <c r="U487" s="231">
        <f t="shared" si="46"/>
        <v>0.25188916876574308</v>
      </c>
      <c r="V487" s="631"/>
      <c r="W487" s="631"/>
      <c r="X487" s="634"/>
      <c r="Y487" s="634"/>
      <c r="Z487" s="94" t="s">
        <v>1038</v>
      </c>
      <c r="AA487" s="98"/>
    </row>
    <row r="488" spans="1:27" ht="48">
      <c r="A488" s="475"/>
      <c r="B488" s="650">
        <v>15</v>
      </c>
      <c r="C488" s="685" t="s">
        <v>1140</v>
      </c>
      <c r="D488" s="701">
        <v>39207.1276</v>
      </c>
      <c r="E488" s="674" t="s">
        <v>2192</v>
      </c>
      <c r="F488" s="653" t="s">
        <v>1141</v>
      </c>
      <c r="G488" s="697">
        <f>ROUND(871575.85/10000,2)</f>
        <v>87.16</v>
      </c>
      <c r="H488" s="697"/>
      <c r="I488" s="653" t="s">
        <v>1142</v>
      </c>
      <c r="J488" s="697">
        <f>ROUND(314004.9/10000,2)</f>
        <v>31.4</v>
      </c>
      <c r="K488" s="136"/>
      <c r="L488" s="136"/>
      <c r="M488" s="697">
        <f>L488+J488+H488+G488</f>
        <v>118.56</v>
      </c>
      <c r="N488" s="94" t="s">
        <v>98</v>
      </c>
      <c r="O488" s="94" t="s">
        <v>1977</v>
      </c>
      <c r="P488" s="76" t="s">
        <v>27</v>
      </c>
      <c r="Q488" s="95">
        <f>ROUND(6357184.81/10000,2)</f>
        <v>635.72</v>
      </c>
      <c r="R488" s="95">
        <v>240</v>
      </c>
      <c r="S488" s="95" t="s">
        <v>1143</v>
      </c>
      <c r="T488" s="136">
        <v>240</v>
      </c>
      <c r="U488" s="215">
        <f t="shared" si="46"/>
        <v>0.3775246964072233</v>
      </c>
      <c r="V488" s="629">
        <f>SUM(Q488:Q491)</f>
        <v>742.52</v>
      </c>
      <c r="W488" s="629">
        <f>SUM(T488:T491)</f>
        <v>240</v>
      </c>
      <c r="X488" s="632">
        <f>W488/V488</f>
        <v>0.3232236168722728</v>
      </c>
      <c r="Y488" s="632">
        <f>W488/M488</f>
        <v>2.0242914979757085</v>
      </c>
      <c r="Z488" s="94" t="s">
        <v>540</v>
      </c>
      <c r="AA488" s="98"/>
    </row>
    <row r="489" spans="1:27" ht="48" hidden="1">
      <c r="A489" s="475"/>
      <c r="B489" s="651"/>
      <c r="C489" s="700"/>
      <c r="D489" s="702"/>
      <c r="E489" s="675"/>
      <c r="F489" s="654"/>
      <c r="G489" s="698"/>
      <c r="H489" s="698"/>
      <c r="I489" s="654"/>
      <c r="J489" s="698"/>
      <c r="K489" s="136"/>
      <c r="L489" s="136"/>
      <c r="M489" s="698"/>
      <c r="N489" s="94" t="s">
        <v>98</v>
      </c>
      <c r="O489" s="94" t="s">
        <v>1978</v>
      </c>
      <c r="P489" s="76" t="s">
        <v>36</v>
      </c>
      <c r="Q489" s="95">
        <f>ROUND(359307/10000,2)</f>
        <v>35.93</v>
      </c>
      <c r="R489" s="95">
        <v>167.7568</v>
      </c>
      <c r="S489" s="95"/>
      <c r="T489" s="136"/>
      <c r="U489" s="95"/>
      <c r="V489" s="630"/>
      <c r="W489" s="630"/>
      <c r="X489" s="633"/>
      <c r="Y489" s="633"/>
      <c r="Z489" s="94" t="s">
        <v>540</v>
      </c>
      <c r="AA489" s="98"/>
    </row>
    <row r="490" spans="1:27" ht="96" hidden="1">
      <c r="A490" s="475"/>
      <c r="B490" s="651"/>
      <c r="C490" s="700"/>
      <c r="D490" s="702"/>
      <c r="E490" s="675"/>
      <c r="F490" s="654"/>
      <c r="G490" s="698"/>
      <c r="H490" s="698"/>
      <c r="I490" s="654"/>
      <c r="J490" s="698"/>
      <c r="K490" s="136"/>
      <c r="L490" s="136"/>
      <c r="M490" s="698"/>
      <c r="N490" s="94" t="s">
        <v>1144</v>
      </c>
      <c r="O490" s="94" t="s">
        <v>1979</v>
      </c>
      <c r="P490" s="76" t="s">
        <v>36</v>
      </c>
      <c r="Q490" s="95">
        <f>ROUND(588250/10000,2)</f>
        <v>58.83</v>
      </c>
      <c r="R490" s="95">
        <v>432.3141</v>
      </c>
      <c r="S490" s="95"/>
      <c r="T490" s="136"/>
      <c r="U490" s="95"/>
      <c r="V490" s="630"/>
      <c r="W490" s="630"/>
      <c r="X490" s="633"/>
      <c r="Y490" s="633"/>
      <c r="Z490" s="94" t="s">
        <v>540</v>
      </c>
      <c r="AA490" s="98"/>
    </row>
    <row r="491" spans="1:27" ht="48" hidden="1">
      <c r="A491" s="475"/>
      <c r="B491" s="652"/>
      <c r="C491" s="686"/>
      <c r="D491" s="703"/>
      <c r="E491" s="676"/>
      <c r="F491" s="655"/>
      <c r="G491" s="699"/>
      <c r="H491" s="699"/>
      <c r="I491" s="655"/>
      <c r="J491" s="699"/>
      <c r="K491" s="136"/>
      <c r="L491" s="136"/>
      <c r="M491" s="699"/>
      <c r="N491" s="94" t="s">
        <v>1095</v>
      </c>
      <c r="O491" s="94" t="s">
        <v>1980</v>
      </c>
      <c r="P491" s="76" t="s">
        <v>36</v>
      </c>
      <c r="Q491" s="95">
        <f>ROUND(120384/10000,2)</f>
        <v>12.04</v>
      </c>
      <c r="R491" s="95">
        <v>110.2158</v>
      </c>
      <c r="S491" s="95"/>
      <c r="T491" s="136"/>
      <c r="U491" s="95"/>
      <c r="V491" s="631"/>
      <c r="W491" s="631"/>
      <c r="X491" s="634"/>
      <c r="Y491" s="634"/>
      <c r="Z491" s="94" t="s">
        <v>540</v>
      </c>
      <c r="AA491" s="98"/>
    </row>
    <row r="492" spans="1:27" ht="24" hidden="1">
      <c r="A492" s="475"/>
      <c r="B492" s="213">
        <v>16</v>
      </c>
      <c r="C492" s="214" t="s">
        <v>1981</v>
      </c>
      <c r="D492" s="395">
        <v>51056.417200000004</v>
      </c>
      <c r="E492" s="396" t="s">
        <v>2193</v>
      </c>
      <c r="F492" s="94" t="s">
        <v>507</v>
      </c>
      <c r="G492" s="136">
        <v>205.9</v>
      </c>
      <c r="H492" s="136">
        <v>4</v>
      </c>
      <c r="I492" s="94"/>
      <c r="J492" s="136"/>
      <c r="K492" s="136" t="s">
        <v>1145</v>
      </c>
      <c r="L492" s="136">
        <v>50.3</v>
      </c>
      <c r="M492" s="136">
        <f>+G492+H492+L492</f>
        <v>260.2</v>
      </c>
      <c r="N492" s="94" t="s">
        <v>1002</v>
      </c>
      <c r="O492" s="94" t="s">
        <v>1982</v>
      </c>
      <c r="P492" s="76" t="s">
        <v>36</v>
      </c>
      <c r="Q492" s="95">
        <v>130</v>
      </c>
      <c r="R492" s="95">
        <v>130</v>
      </c>
      <c r="S492" s="94" t="s">
        <v>1146</v>
      </c>
      <c r="T492" s="136">
        <v>0</v>
      </c>
      <c r="U492" s="215">
        <f>T492/Q492</f>
        <v>0</v>
      </c>
      <c r="V492" s="95">
        <f>Q492</f>
        <v>130</v>
      </c>
      <c r="W492" s="95">
        <f>T492</f>
        <v>0</v>
      </c>
      <c r="X492" s="95"/>
      <c r="Y492" s="95"/>
      <c r="Z492" s="94" t="s">
        <v>1038</v>
      </c>
      <c r="AA492" s="98"/>
    </row>
    <row r="493" spans="1:27" ht="24" hidden="1">
      <c r="A493" s="475"/>
      <c r="B493" s="650">
        <v>17</v>
      </c>
      <c r="C493" s="94" t="s">
        <v>1983</v>
      </c>
      <c r="D493" s="691">
        <v>44573.54</v>
      </c>
      <c r="E493" s="694" t="s">
        <v>2194</v>
      </c>
      <c r="F493" s="94" t="s">
        <v>507</v>
      </c>
      <c r="G493" s="626">
        <v>196.93</v>
      </c>
      <c r="H493" s="626">
        <v>4</v>
      </c>
      <c r="I493" s="94"/>
      <c r="J493" s="136"/>
      <c r="K493" s="136"/>
      <c r="L493" s="136"/>
      <c r="M493" s="626">
        <f>SUM(G493:H495)</f>
        <v>200.93</v>
      </c>
      <c r="N493" s="94" t="s">
        <v>1147</v>
      </c>
      <c r="O493" s="94" t="s">
        <v>1148</v>
      </c>
      <c r="P493" s="76" t="s">
        <v>36</v>
      </c>
      <c r="Q493" s="95">
        <v>341</v>
      </c>
      <c r="R493" s="95">
        <v>762</v>
      </c>
      <c r="S493" s="94" t="s">
        <v>1149</v>
      </c>
      <c r="T493" s="136">
        <v>298</v>
      </c>
      <c r="U493" s="231">
        <f>T493/Q493</f>
        <v>0.87390029325513197</v>
      </c>
      <c r="V493" s="629">
        <f>SUM(Q493:Q495)</f>
        <v>545</v>
      </c>
      <c r="W493" s="629">
        <f>SUM(T493:T495)</f>
        <v>348</v>
      </c>
      <c r="X493" s="632">
        <f>W493/V493</f>
        <v>0.63853211009174315</v>
      </c>
      <c r="Y493" s="632">
        <f>W493/M493</f>
        <v>1.7319464490120937</v>
      </c>
      <c r="Z493" s="94" t="s">
        <v>1038</v>
      </c>
      <c r="AA493" s="98"/>
    </row>
    <row r="494" spans="1:27" ht="60" hidden="1">
      <c r="A494" s="475"/>
      <c r="B494" s="651"/>
      <c r="C494" s="94" t="s">
        <v>1983</v>
      </c>
      <c r="D494" s="692"/>
      <c r="E494" s="695"/>
      <c r="F494" s="94" t="s">
        <v>507</v>
      </c>
      <c r="G494" s="627"/>
      <c r="H494" s="627"/>
      <c r="I494" s="94"/>
      <c r="J494" s="136"/>
      <c r="K494" s="136"/>
      <c r="L494" s="136"/>
      <c r="M494" s="627"/>
      <c r="N494" s="94" t="s">
        <v>1002</v>
      </c>
      <c r="O494" s="94" t="s">
        <v>1984</v>
      </c>
      <c r="P494" s="76" t="s">
        <v>36</v>
      </c>
      <c r="Q494" s="95">
        <v>122</v>
      </c>
      <c r="R494" s="95">
        <v>352</v>
      </c>
      <c r="S494" s="94"/>
      <c r="T494" s="136"/>
      <c r="U494" s="94"/>
      <c r="V494" s="630"/>
      <c r="W494" s="630"/>
      <c r="X494" s="633"/>
      <c r="Y494" s="633"/>
      <c r="Z494" s="94" t="s">
        <v>1038</v>
      </c>
      <c r="AA494" s="98"/>
    </row>
    <row r="495" spans="1:27" ht="24">
      <c r="A495" s="475"/>
      <c r="B495" s="652"/>
      <c r="C495" s="94" t="s">
        <v>1983</v>
      </c>
      <c r="D495" s="693"/>
      <c r="E495" s="696"/>
      <c r="F495" s="94"/>
      <c r="G495" s="628"/>
      <c r="H495" s="628"/>
      <c r="I495" s="94" t="s">
        <v>1145</v>
      </c>
      <c r="J495" s="136">
        <v>47.9</v>
      </c>
      <c r="K495" s="136"/>
      <c r="L495" s="136"/>
      <c r="M495" s="628"/>
      <c r="N495" s="94" t="s">
        <v>111</v>
      </c>
      <c r="O495" s="94" t="s">
        <v>1150</v>
      </c>
      <c r="P495" s="76" t="s">
        <v>27</v>
      </c>
      <c r="Q495" s="95">
        <v>82</v>
      </c>
      <c r="R495" s="95">
        <v>50</v>
      </c>
      <c r="S495" s="94" t="s">
        <v>649</v>
      </c>
      <c r="T495" s="136">
        <v>50</v>
      </c>
      <c r="U495" s="231">
        <f>T495/Q495</f>
        <v>0.6097560975609756</v>
      </c>
      <c r="V495" s="631"/>
      <c r="W495" s="631"/>
      <c r="X495" s="634"/>
      <c r="Y495" s="634"/>
      <c r="Z495" s="94" t="s">
        <v>1038</v>
      </c>
      <c r="AA495" s="98"/>
    </row>
    <row r="496" spans="1:27" ht="36" hidden="1">
      <c r="A496" s="475"/>
      <c r="B496" s="232">
        <v>18</v>
      </c>
      <c r="C496" s="93" t="s">
        <v>1985</v>
      </c>
      <c r="D496" s="397">
        <v>31344.566378</v>
      </c>
      <c r="E496" s="394" t="s">
        <v>2195</v>
      </c>
      <c r="F496" s="94" t="s">
        <v>1151</v>
      </c>
      <c r="G496" s="136">
        <v>74.44</v>
      </c>
      <c r="H496" s="136">
        <v>2.5</v>
      </c>
      <c r="I496" s="94" t="s">
        <v>1151</v>
      </c>
      <c r="J496" s="136">
        <v>10.97</v>
      </c>
      <c r="K496" s="136"/>
      <c r="L496" s="136"/>
      <c r="M496" s="136">
        <f>SUM(G496,H496,J496,L496)</f>
        <v>87.91</v>
      </c>
      <c r="N496" s="94"/>
      <c r="O496" s="94"/>
      <c r="P496" s="94"/>
      <c r="Q496" s="95"/>
      <c r="R496" s="95"/>
      <c r="S496" s="94"/>
      <c r="T496" s="136"/>
      <c r="U496" s="215"/>
      <c r="V496" s="212"/>
      <c r="W496" s="212"/>
      <c r="X496" s="212"/>
      <c r="Y496" s="212"/>
      <c r="Z496" s="94" t="s">
        <v>1152</v>
      </c>
      <c r="AA496" s="98"/>
    </row>
    <row r="497" spans="1:27" ht="48" hidden="1">
      <c r="A497" s="475"/>
      <c r="B497" s="213">
        <v>19</v>
      </c>
      <c r="C497" s="214" t="s">
        <v>1986</v>
      </c>
      <c r="D497" s="383">
        <v>23069.153900000001</v>
      </c>
      <c r="E497" s="394" t="s">
        <v>2196</v>
      </c>
      <c r="F497" s="94" t="s">
        <v>1153</v>
      </c>
      <c r="G497" s="136">
        <v>46.638308000000002</v>
      </c>
      <c r="H497" s="136">
        <v>0.5</v>
      </c>
      <c r="I497" s="94" t="s">
        <v>1154</v>
      </c>
      <c r="J497" s="136">
        <v>23.069154000000001</v>
      </c>
      <c r="K497" s="136"/>
      <c r="L497" s="136"/>
      <c r="M497" s="136">
        <f>J497+H497+G497</f>
        <v>70.207462000000007</v>
      </c>
      <c r="N497" s="94"/>
      <c r="O497" s="94"/>
      <c r="P497" s="94"/>
      <c r="Q497" s="95"/>
      <c r="R497" s="95"/>
      <c r="S497" s="94"/>
      <c r="T497" s="136"/>
      <c r="U497" s="215"/>
      <c r="V497" s="212"/>
      <c r="W497" s="212"/>
      <c r="X497" s="212"/>
      <c r="Y497" s="212"/>
      <c r="Z497" s="94" t="s">
        <v>1045</v>
      </c>
      <c r="AA497" s="98"/>
    </row>
    <row r="498" spans="1:27" ht="24" hidden="1">
      <c r="A498" s="475"/>
      <c r="B498" s="650">
        <v>20</v>
      </c>
      <c r="C498" s="653" t="s">
        <v>1155</v>
      </c>
      <c r="D498" s="687">
        <v>17365.657899999998</v>
      </c>
      <c r="E498" s="689" t="s">
        <v>2197</v>
      </c>
      <c r="F498" s="647" t="s">
        <v>1156</v>
      </c>
      <c r="G498" s="626">
        <v>71.7</v>
      </c>
      <c r="H498" s="626"/>
      <c r="I498" s="647" t="s">
        <v>1157</v>
      </c>
      <c r="J498" s="626">
        <v>26.05</v>
      </c>
      <c r="K498" s="626"/>
      <c r="L498" s="626"/>
      <c r="M498" s="626">
        <f>SUM(G498,H498,J498,L498)</f>
        <v>97.75</v>
      </c>
      <c r="N498" s="94" t="s">
        <v>1158</v>
      </c>
      <c r="O498" s="94" t="s">
        <v>1159</v>
      </c>
      <c r="P498" s="76" t="s">
        <v>36</v>
      </c>
      <c r="Q498" s="95">
        <v>21.23</v>
      </c>
      <c r="R498" s="95">
        <v>266.89999999999998</v>
      </c>
      <c r="S498" s="94" t="s">
        <v>1160</v>
      </c>
      <c r="T498" s="136"/>
      <c r="U498" s="215"/>
      <c r="V498" s="629">
        <f>SUM(Q498:Q499)</f>
        <v>34.94</v>
      </c>
      <c r="W498" s="629">
        <f>SUM(T498:T499)</f>
        <v>0</v>
      </c>
      <c r="X498" s="629"/>
      <c r="Y498" s="629"/>
      <c r="Z498" s="94" t="s">
        <v>1161</v>
      </c>
      <c r="AA498" s="98"/>
    </row>
    <row r="499" spans="1:27" ht="24" hidden="1">
      <c r="A499" s="475"/>
      <c r="B499" s="652"/>
      <c r="C499" s="655"/>
      <c r="D499" s="688"/>
      <c r="E499" s="690"/>
      <c r="F499" s="649"/>
      <c r="G499" s="628"/>
      <c r="H499" s="628"/>
      <c r="I499" s="649"/>
      <c r="J499" s="628"/>
      <c r="K499" s="628"/>
      <c r="L499" s="628"/>
      <c r="M499" s="628"/>
      <c r="N499" s="94" t="s">
        <v>1162</v>
      </c>
      <c r="O499" s="94" t="s">
        <v>1159</v>
      </c>
      <c r="P499" s="76" t="s">
        <v>36</v>
      </c>
      <c r="Q499" s="95">
        <v>13.71</v>
      </c>
      <c r="R499" s="95">
        <v>129.41</v>
      </c>
      <c r="S499" s="94" t="s">
        <v>1160</v>
      </c>
      <c r="T499" s="136"/>
      <c r="U499" s="94"/>
      <c r="V499" s="631"/>
      <c r="W499" s="631"/>
      <c r="X499" s="631"/>
      <c r="Y499" s="631"/>
      <c r="Z499" s="94" t="s">
        <v>1161</v>
      </c>
      <c r="AA499" s="98"/>
    </row>
    <row r="500" spans="1:27" ht="36" hidden="1">
      <c r="A500" s="475"/>
      <c r="B500" s="659">
        <v>21</v>
      </c>
      <c r="C500" s="638" t="s">
        <v>1987</v>
      </c>
      <c r="D500" s="704">
        <v>35180.79</v>
      </c>
      <c r="E500" s="644" t="s">
        <v>2198</v>
      </c>
      <c r="F500" s="647" t="s">
        <v>1163</v>
      </c>
      <c r="G500" s="626">
        <v>141.88</v>
      </c>
      <c r="H500" s="626">
        <v>4</v>
      </c>
      <c r="I500" s="647" t="s">
        <v>1164</v>
      </c>
      <c r="J500" s="626">
        <v>20.79</v>
      </c>
      <c r="K500" s="136"/>
      <c r="L500" s="136"/>
      <c r="M500" s="626">
        <f>SUM(G500,H500,J500,L500)</f>
        <v>166.67</v>
      </c>
      <c r="N500" s="94" t="s">
        <v>903</v>
      </c>
      <c r="O500" s="222" t="s">
        <v>1165</v>
      </c>
      <c r="P500" s="76" t="s">
        <v>36</v>
      </c>
      <c r="Q500" s="95">
        <v>185</v>
      </c>
      <c r="R500" s="95">
        <v>185</v>
      </c>
      <c r="S500" s="94" t="s">
        <v>1166</v>
      </c>
      <c r="T500" s="136">
        <f>29-15</f>
        <v>14</v>
      </c>
      <c r="U500" s="215">
        <f t="shared" ref="U500:U505" si="47">T500/Q500</f>
        <v>7.567567567567568E-2</v>
      </c>
      <c r="V500" s="629">
        <f>SUM(Q500:Q505)</f>
        <v>232.79999999999998</v>
      </c>
      <c r="W500" s="629">
        <f>SUM(T500:T505)</f>
        <v>21.554917000000003</v>
      </c>
      <c r="X500" s="632">
        <f>W500/V500</f>
        <v>9.2589849656357415E-2</v>
      </c>
      <c r="Y500" s="632">
        <f>W500/M500</f>
        <v>0.12932691546169078</v>
      </c>
      <c r="Z500" s="94" t="s">
        <v>1038</v>
      </c>
      <c r="AA500" s="98"/>
    </row>
    <row r="501" spans="1:27" ht="24" hidden="1">
      <c r="A501" s="475"/>
      <c r="B501" s="660"/>
      <c r="C501" s="639"/>
      <c r="D501" s="705"/>
      <c r="E501" s="645"/>
      <c r="F501" s="648"/>
      <c r="G501" s="627"/>
      <c r="H501" s="627"/>
      <c r="I501" s="648"/>
      <c r="J501" s="627"/>
      <c r="K501" s="136"/>
      <c r="L501" s="136"/>
      <c r="M501" s="627"/>
      <c r="N501" s="94" t="s">
        <v>1167</v>
      </c>
      <c r="O501" s="222" t="s">
        <v>1988</v>
      </c>
      <c r="P501" s="76" t="s">
        <v>36</v>
      </c>
      <c r="Q501" s="95">
        <v>43.2</v>
      </c>
      <c r="R501" s="95">
        <v>43.2</v>
      </c>
      <c r="S501" s="94" t="s">
        <v>1166</v>
      </c>
      <c r="T501" s="136">
        <f>18.5-15</f>
        <v>3.5</v>
      </c>
      <c r="U501" s="215">
        <f t="shared" si="47"/>
        <v>8.1018518518518517E-2</v>
      </c>
      <c r="V501" s="630"/>
      <c r="W501" s="630"/>
      <c r="X501" s="633"/>
      <c r="Y501" s="633"/>
      <c r="Z501" s="94" t="s">
        <v>1038</v>
      </c>
      <c r="AA501" s="98"/>
    </row>
    <row r="502" spans="1:27" ht="36">
      <c r="A502" s="475"/>
      <c r="B502" s="660"/>
      <c r="C502" s="639"/>
      <c r="D502" s="705"/>
      <c r="E502" s="645"/>
      <c r="F502" s="648"/>
      <c r="G502" s="627"/>
      <c r="H502" s="627"/>
      <c r="I502" s="648"/>
      <c r="J502" s="627"/>
      <c r="K502" s="136"/>
      <c r="L502" s="136"/>
      <c r="M502" s="627"/>
      <c r="N502" s="94" t="s">
        <v>682</v>
      </c>
      <c r="O502" s="222" t="s">
        <v>1168</v>
      </c>
      <c r="P502" s="76" t="s">
        <v>27</v>
      </c>
      <c r="Q502" s="95">
        <v>0.8</v>
      </c>
      <c r="R502" s="95">
        <v>0.8</v>
      </c>
      <c r="S502" s="94" t="s">
        <v>1169</v>
      </c>
      <c r="T502" s="136">
        <v>0.69599999999999995</v>
      </c>
      <c r="U502" s="215">
        <f t="shared" si="47"/>
        <v>0.86999999999999988</v>
      </c>
      <c r="V502" s="630"/>
      <c r="W502" s="630"/>
      <c r="X502" s="633"/>
      <c r="Y502" s="633"/>
      <c r="Z502" s="94" t="s">
        <v>1038</v>
      </c>
      <c r="AA502" s="98"/>
    </row>
    <row r="503" spans="1:27" ht="36">
      <c r="A503" s="475"/>
      <c r="B503" s="660"/>
      <c r="C503" s="639"/>
      <c r="D503" s="705"/>
      <c r="E503" s="645"/>
      <c r="F503" s="648"/>
      <c r="G503" s="627"/>
      <c r="H503" s="627"/>
      <c r="I503" s="648"/>
      <c r="J503" s="627"/>
      <c r="K503" s="136"/>
      <c r="L503" s="136"/>
      <c r="M503" s="627"/>
      <c r="N503" s="94" t="s">
        <v>1170</v>
      </c>
      <c r="O503" s="222" t="s">
        <v>1171</v>
      </c>
      <c r="P503" s="76" t="s">
        <v>27</v>
      </c>
      <c r="Q503" s="95">
        <v>1.2</v>
      </c>
      <c r="R503" s="95">
        <v>1.2</v>
      </c>
      <c r="S503" s="94" t="s">
        <v>1172</v>
      </c>
      <c r="T503" s="136">
        <v>1.0149999999999999</v>
      </c>
      <c r="U503" s="215">
        <f t="shared" si="47"/>
        <v>0.84583333333333333</v>
      </c>
      <c r="V503" s="630"/>
      <c r="W503" s="630"/>
      <c r="X503" s="633"/>
      <c r="Y503" s="633"/>
      <c r="Z503" s="94" t="s">
        <v>1038</v>
      </c>
      <c r="AA503" s="98"/>
    </row>
    <row r="504" spans="1:27" ht="48">
      <c r="A504" s="475"/>
      <c r="B504" s="660"/>
      <c r="C504" s="639"/>
      <c r="D504" s="705"/>
      <c r="E504" s="645"/>
      <c r="F504" s="648"/>
      <c r="G504" s="627"/>
      <c r="H504" s="627"/>
      <c r="I504" s="648"/>
      <c r="J504" s="627"/>
      <c r="K504" s="136"/>
      <c r="L504" s="136"/>
      <c r="M504" s="627"/>
      <c r="N504" s="94" t="s">
        <v>1173</v>
      </c>
      <c r="O504" s="222" t="s">
        <v>1174</v>
      </c>
      <c r="P504" s="76" t="s">
        <v>27</v>
      </c>
      <c r="Q504" s="95">
        <v>2.1</v>
      </c>
      <c r="R504" s="95">
        <v>2.1</v>
      </c>
      <c r="S504" s="94" t="s">
        <v>1175</v>
      </c>
      <c r="T504" s="136">
        <v>2</v>
      </c>
      <c r="U504" s="215">
        <f t="shared" si="47"/>
        <v>0.95238095238095233</v>
      </c>
      <c r="V504" s="630"/>
      <c r="W504" s="630"/>
      <c r="X504" s="633"/>
      <c r="Y504" s="633"/>
      <c r="Z504" s="94" t="s">
        <v>1038</v>
      </c>
      <c r="AA504" s="98"/>
    </row>
    <row r="505" spans="1:27" ht="48">
      <c r="A505" s="475"/>
      <c r="B505" s="661"/>
      <c r="C505" s="640"/>
      <c r="D505" s="706"/>
      <c r="E505" s="646"/>
      <c r="F505" s="649"/>
      <c r="G505" s="628"/>
      <c r="H505" s="628"/>
      <c r="I505" s="649"/>
      <c r="J505" s="628"/>
      <c r="K505" s="136"/>
      <c r="L505" s="136"/>
      <c r="M505" s="628"/>
      <c r="N505" s="94" t="s">
        <v>1176</v>
      </c>
      <c r="O505" s="222" t="s">
        <v>1989</v>
      </c>
      <c r="P505" s="76" t="s">
        <v>27</v>
      </c>
      <c r="Q505" s="95">
        <v>0.5</v>
      </c>
      <c r="R505" s="95">
        <v>0.5</v>
      </c>
      <c r="S505" s="94" t="s">
        <v>1177</v>
      </c>
      <c r="T505" s="136">
        <v>0.34391699999999997</v>
      </c>
      <c r="U505" s="215">
        <f t="shared" si="47"/>
        <v>0.68783399999999995</v>
      </c>
      <c r="V505" s="631"/>
      <c r="W505" s="631"/>
      <c r="X505" s="634"/>
      <c r="Y505" s="634"/>
      <c r="Z505" s="94" t="s">
        <v>1038</v>
      </c>
      <c r="AA505" s="98"/>
    </row>
    <row r="506" spans="1:27" ht="72">
      <c r="A506" s="475"/>
      <c r="B506" s="659">
        <v>22</v>
      </c>
      <c r="C506" s="638" t="s">
        <v>1990</v>
      </c>
      <c r="D506" s="718">
        <v>47400.366800000003</v>
      </c>
      <c r="E506" s="674" t="s">
        <v>2199</v>
      </c>
      <c r="F506" s="94"/>
      <c r="G506" s="136"/>
      <c r="H506" s="136"/>
      <c r="I506" s="647" t="s">
        <v>39</v>
      </c>
      <c r="J506" s="626">
        <v>60</v>
      </c>
      <c r="K506" s="626" t="s">
        <v>39</v>
      </c>
      <c r="L506" s="626">
        <v>6</v>
      </c>
      <c r="M506" s="626">
        <v>66</v>
      </c>
      <c r="N506" s="94" t="s">
        <v>1178</v>
      </c>
      <c r="O506" s="94" t="s">
        <v>1179</v>
      </c>
      <c r="P506" s="76" t="s">
        <v>27</v>
      </c>
      <c r="Q506" s="95">
        <f>16286.84/10000</f>
        <v>1.628684</v>
      </c>
      <c r="R506" s="95">
        <f>16286.84/10000</f>
        <v>1.628684</v>
      </c>
      <c r="S506" s="94" t="s">
        <v>849</v>
      </c>
      <c r="T506" s="136">
        <f>11307.13/10000</f>
        <v>1.1307129999999999</v>
      </c>
      <c r="U506" s="215">
        <f>T506/R506</f>
        <v>0.69424946766837514</v>
      </c>
      <c r="V506" s="629">
        <f>SUM(Q506:Q507)</f>
        <v>5.9492409999999998</v>
      </c>
      <c r="W506" s="629">
        <f>SUM(T506:T507)</f>
        <v>3.6282350000000001</v>
      </c>
      <c r="X506" s="710">
        <f>W506/V506</f>
        <v>0.60986519120674387</v>
      </c>
      <c r="Y506" s="710">
        <f>W506/M506</f>
        <v>5.4973257575757578E-2</v>
      </c>
      <c r="Z506" s="94" t="s">
        <v>1038</v>
      </c>
      <c r="AA506" s="98"/>
    </row>
    <row r="507" spans="1:27" ht="48">
      <c r="A507" s="475"/>
      <c r="B507" s="661"/>
      <c r="C507" s="640"/>
      <c r="D507" s="719"/>
      <c r="E507" s="676"/>
      <c r="F507" s="94"/>
      <c r="G507" s="136"/>
      <c r="H507" s="136"/>
      <c r="I507" s="649"/>
      <c r="J507" s="628"/>
      <c r="K507" s="628"/>
      <c r="L507" s="628"/>
      <c r="M507" s="628"/>
      <c r="N507" s="94" t="s">
        <v>649</v>
      </c>
      <c r="O507" s="94" t="s">
        <v>1180</v>
      </c>
      <c r="P507" s="76" t="s">
        <v>27</v>
      </c>
      <c r="Q507" s="95">
        <f>43205.57/10000</f>
        <v>4.320557</v>
      </c>
      <c r="R507" s="95">
        <f>43205.57/10000</f>
        <v>4.320557</v>
      </c>
      <c r="S507" s="94" t="s">
        <v>1181</v>
      </c>
      <c r="T507" s="136">
        <f>24975.22/10000</f>
        <v>2.497522</v>
      </c>
      <c r="U507" s="215">
        <f>T507/R507</f>
        <v>0.57805556089180166</v>
      </c>
      <c r="V507" s="631"/>
      <c r="W507" s="631"/>
      <c r="X507" s="711"/>
      <c r="Y507" s="711"/>
      <c r="Z507" s="94" t="s">
        <v>1038</v>
      </c>
      <c r="AA507" s="98"/>
    </row>
    <row r="508" spans="1:27" hidden="1">
      <c r="A508" s="475"/>
      <c r="B508" s="650">
        <v>23</v>
      </c>
      <c r="C508" s="653" t="s">
        <v>1991</v>
      </c>
      <c r="D508" s="712">
        <v>43191.96</v>
      </c>
      <c r="E508" s="715" t="s">
        <v>2200</v>
      </c>
      <c r="F508" s="653" t="s">
        <v>39</v>
      </c>
      <c r="G508" s="697">
        <v>221.54310000000001</v>
      </c>
      <c r="H508" s="697">
        <v>4</v>
      </c>
      <c r="I508" s="653" t="s">
        <v>250</v>
      </c>
      <c r="J508" s="697">
        <v>45.564</v>
      </c>
      <c r="K508" s="136"/>
      <c r="L508" s="136"/>
      <c r="M508" s="697">
        <f>SUM(G508,H508,J508,L508)</f>
        <v>271.1071</v>
      </c>
      <c r="N508" s="94" t="s">
        <v>1182</v>
      </c>
      <c r="O508" s="94" t="s">
        <v>1992</v>
      </c>
      <c r="P508" s="76" t="s">
        <v>36</v>
      </c>
      <c r="Q508" s="95">
        <v>85</v>
      </c>
      <c r="R508" s="95">
        <v>110</v>
      </c>
      <c r="S508" s="94" t="s">
        <v>284</v>
      </c>
      <c r="T508" s="136">
        <v>59.109085999999998</v>
      </c>
      <c r="U508" s="215">
        <f>T508/Q508</f>
        <v>0.69540101176470581</v>
      </c>
      <c r="V508" s="629">
        <f>SUM(Q508:Q512)</f>
        <v>93.047316000000009</v>
      </c>
      <c r="W508" s="629">
        <f>SUM(T508:T512)</f>
        <v>59.109085999999998</v>
      </c>
      <c r="X508" s="632">
        <f>W508/V508</f>
        <v>0.63525836682919468</v>
      </c>
      <c r="Y508" s="632">
        <f>W508/M508</f>
        <v>0.21802854296327909</v>
      </c>
      <c r="Z508" s="94" t="s">
        <v>1038</v>
      </c>
      <c r="AA508" s="98"/>
    </row>
    <row r="509" spans="1:27" ht="24">
      <c r="A509" s="475"/>
      <c r="B509" s="651"/>
      <c r="C509" s="654"/>
      <c r="D509" s="713"/>
      <c r="E509" s="716"/>
      <c r="F509" s="654"/>
      <c r="G509" s="698"/>
      <c r="H509" s="698"/>
      <c r="I509" s="654"/>
      <c r="J509" s="698"/>
      <c r="K509" s="136"/>
      <c r="L509" s="136"/>
      <c r="M509" s="698"/>
      <c r="N509" s="94" t="s">
        <v>1065</v>
      </c>
      <c r="O509" s="94" t="s">
        <v>1993</v>
      </c>
      <c r="P509" s="76" t="s">
        <v>27</v>
      </c>
      <c r="Q509" s="95"/>
      <c r="R509" s="95"/>
      <c r="S509" s="94"/>
      <c r="T509" s="136"/>
      <c r="U509" s="94"/>
      <c r="V509" s="630"/>
      <c r="W509" s="630"/>
      <c r="X509" s="633"/>
      <c r="Y509" s="633"/>
      <c r="Z509" s="94" t="s">
        <v>1038</v>
      </c>
      <c r="AA509" s="98"/>
    </row>
    <row r="510" spans="1:27">
      <c r="A510" s="475"/>
      <c r="B510" s="651"/>
      <c r="C510" s="654"/>
      <c r="D510" s="713"/>
      <c r="E510" s="716"/>
      <c r="F510" s="654"/>
      <c r="G510" s="698"/>
      <c r="H510" s="698"/>
      <c r="I510" s="654"/>
      <c r="J510" s="698"/>
      <c r="K510" s="136"/>
      <c r="L510" s="136"/>
      <c r="M510" s="698"/>
      <c r="N510" s="94" t="s">
        <v>389</v>
      </c>
      <c r="O510" s="94" t="s">
        <v>1183</v>
      </c>
      <c r="P510" s="76" t="s">
        <v>27</v>
      </c>
      <c r="Q510" s="95"/>
      <c r="R510" s="95"/>
      <c r="S510" s="94"/>
      <c r="T510" s="136"/>
      <c r="U510" s="94"/>
      <c r="V510" s="630"/>
      <c r="W510" s="630"/>
      <c r="X510" s="633"/>
      <c r="Y510" s="633"/>
      <c r="Z510" s="94" t="s">
        <v>1038</v>
      </c>
      <c r="AA510" s="98"/>
    </row>
    <row r="511" spans="1:27" ht="24">
      <c r="A511" s="475"/>
      <c r="B511" s="651"/>
      <c r="C511" s="654"/>
      <c r="D511" s="713"/>
      <c r="E511" s="716"/>
      <c r="F511" s="654"/>
      <c r="G511" s="698"/>
      <c r="H511" s="698"/>
      <c r="I511" s="654"/>
      <c r="J511" s="698"/>
      <c r="K511" s="136"/>
      <c r="L511" s="136"/>
      <c r="M511" s="698"/>
      <c r="N511" s="94" t="s">
        <v>1184</v>
      </c>
      <c r="O511" s="94" t="s">
        <v>1185</v>
      </c>
      <c r="P511" s="76" t="s">
        <v>27</v>
      </c>
      <c r="Q511" s="95">
        <v>7.2011479999999999</v>
      </c>
      <c r="R511" s="95">
        <v>7.2011479999999999</v>
      </c>
      <c r="S511" s="94"/>
      <c r="T511" s="136"/>
      <c r="U511" s="94"/>
      <c r="V511" s="630"/>
      <c r="W511" s="630"/>
      <c r="X511" s="633"/>
      <c r="Y511" s="633"/>
      <c r="Z511" s="94" t="s">
        <v>1038</v>
      </c>
      <c r="AA511" s="98"/>
    </row>
    <row r="512" spans="1:27" ht="24">
      <c r="A512" s="475"/>
      <c r="B512" s="652"/>
      <c r="C512" s="655"/>
      <c r="D512" s="714"/>
      <c r="E512" s="717"/>
      <c r="F512" s="655"/>
      <c r="G512" s="699"/>
      <c r="H512" s="699"/>
      <c r="I512" s="655"/>
      <c r="J512" s="699"/>
      <c r="K512" s="136"/>
      <c r="L512" s="136"/>
      <c r="M512" s="699"/>
      <c r="N512" s="94" t="s">
        <v>1186</v>
      </c>
      <c r="O512" s="94" t="s">
        <v>1994</v>
      </c>
      <c r="P512" s="76" t="s">
        <v>27</v>
      </c>
      <c r="Q512" s="95">
        <v>0.84616800000000003</v>
      </c>
      <c r="R512" s="95">
        <v>0.84616800000000003</v>
      </c>
      <c r="S512" s="94"/>
      <c r="T512" s="136"/>
      <c r="U512" s="94"/>
      <c r="V512" s="631"/>
      <c r="W512" s="631"/>
      <c r="X512" s="634"/>
      <c r="Y512" s="634"/>
      <c r="Z512" s="94" t="s">
        <v>1038</v>
      </c>
      <c r="AA512" s="98"/>
    </row>
    <row r="513" spans="1:27" ht="36" hidden="1">
      <c r="A513" s="475"/>
      <c r="B513" s="211">
        <v>24</v>
      </c>
      <c r="C513" s="93" t="s">
        <v>1187</v>
      </c>
      <c r="D513" s="398">
        <v>47694.06</v>
      </c>
      <c r="E513" s="394" t="s">
        <v>2201</v>
      </c>
      <c r="F513" s="94" t="s">
        <v>543</v>
      </c>
      <c r="G513" s="136">
        <v>154.36000000000001</v>
      </c>
      <c r="H513" s="136" t="s">
        <v>1108</v>
      </c>
      <c r="I513" s="94" t="s">
        <v>250</v>
      </c>
      <c r="J513" s="136">
        <v>59.62</v>
      </c>
      <c r="K513" s="136" t="s">
        <v>1108</v>
      </c>
      <c r="L513" s="136" t="s">
        <v>1108</v>
      </c>
      <c r="M513" s="136">
        <f t="shared" ref="M513:M518" si="48">SUM(G513,H513,J513,L513)</f>
        <v>213.98000000000002</v>
      </c>
      <c r="N513" s="94" t="s">
        <v>1108</v>
      </c>
      <c r="O513" s="94" t="s">
        <v>1108</v>
      </c>
      <c r="P513" s="94" t="s">
        <v>1108</v>
      </c>
      <c r="Q513" s="95" t="s">
        <v>1108</v>
      </c>
      <c r="R513" s="95" t="s">
        <v>1108</v>
      </c>
      <c r="S513" s="94" t="s">
        <v>1108</v>
      </c>
      <c r="T513" s="136" t="s">
        <v>1108</v>
      </c>
      <c r="U513" s="215" t="s">
        <v>1108</v>
      </c>
      <c r="V513" s="212"/>
      <c r="W513" s="212"/>
      <c r="X513" s="212"/>
      <c r="Y513" s="212"/>
      <c r="Z513" s="94" t="s">
        <v>1045</v>
      </c>
      <c r="AA513" s="98"/>
    </row>
    <row r="514" spans="1:27" ht="24" hidden="1">
      <c r="A514" s="475"/>
      <c r="B514" s="650">
        <v>25</v>
      </c>
      <c r="C514" s="685" t="s">
        <v>1188</v>
      </c>
      <c r="D514" s="641">
        <v>65604.899999999994</v>
      </c>
      <c r="E514" s="707" t="s">
        <v>2202</v>
      </c>
      <c r="F514" s="653" t="s">
        <v>39</v>
      </c>
      <c r="G514" s="697">
        <f>730998.07/10000</f>
        <v>73.099806999999998</v>
      </c>
      <c r="H514" s="697">
        <f>6000/10000</f>
        <v>0.6</v>
      </c>
      <c r="I514" s="94"/>
      <c r="J514" s="136"/>
      <c r="K514" s="136"/>
      <c r="L514" s="136"/>
      <c r="M514" s="697">
        <f t="shared" si="48"/>
        <v>73.699806999999993</v>
      </c>
      <c r="N514" s="94" t="s">
        <v>1189</v>
      </c>
      <c r="O514" s="94" t="s">
        <v>1190</v>
      </c>
      <c r="P514" s="76" t="s">
        <v>36</v>
      </c>
      <c r="Q514" s="95">
        <v>5.63</v>
      </c>
      <c r="R514" s="95">
        <v>5.63</v>
      </c>
      <c r="S514" s="94" t="s">
        <v>1191</v>
      </c>
      <c r="T514" s="136">
        <v>5.09</v>
      </c>
      <c r="U514" s="215">
        <f>T514/Q514</f>
        <v>0.9040852575488455</v>
      </c>
      <c r="V514" s="629">
        <f>SUM(Q514:Q517)</f>
        <v>125.92999999999999</v>
      </c>
      <c r="W514" s="629">
        <f>SUM(T514:T517)</f>
        <v>92.37</v>
      </c>
      <c r="X514" s="710">
        <f>W514/V514</f>
        <v>0.73350273961724777</v>
      </c>
      <c r="Y514" s="710">
        <f>W514/M514</f>
        <v>1.2533275697723336</v>
      </c>
      <c r="Z514" s="94" t="s">
        <v>548</v>
      </c>
      <c r="AA514" s="98"/>
    </row>
    <row r="515" spans="1:27" ht="24" hidden="1">
      <c r="A515" s="475"/>
      <c r="B515" s="651"/>
      <c r="C515" s="700"/>
      <c r="D515" s="642"/>
      <c r="E515" s="708"/>
      <c r="F515" s="654"/>
      <c r="G515" s="698"/>
      <c r="H515" s="698"/>
      <c r="I515" s="94"/>
      <c r="J515" s="136"/>
      <c r="K515" s="136"/>
      <c r="L515" s="136"/>
      <c r="M515" s="698"/>
      <c r="N515" s="94" t="s">
        <v>1192</v>
      </c>
      <c r="O515" s="94" t="s">
        <v>1190</v>
      </c>
      <c r="P515" s="76" t="s">
        <v>36</v>
      </c>
      <c r="Q515" s="95">
        <v>40</v>
      </c>
      <c r="R515" s="95">
        <v>40</v>
      </c>
      <c r="S515" s="94" t="s">
        <v>1191</v>
      </c>
      <c r="T515" s="136">
        <v>12.11</v>
      </c>
      <c r="U515" s="215">
        <f>T515/Q515</f>
        <v>0.30274999999999996</v>
      </c>
      <c r="V515" s="630"/>
      <c r="W515" s="630"/>
      <c r="X515" s="722"/>
      <c r="Y515" s="722"/>
      <c r="Z515" s="94" t="s">
        <v>548</v>
      </c>
      <c r="AA515" s="98"/>
    </row>
    <row r="516" spans="1:27" ht="24" hidden="1">
      <c r="A516" s="475"/>
      <c r="B516" s="651"/>
      <c r="C516" s="700"/>
      <c r="D516" s="642"/>
      <c r="E516" s="708"/>
      <c r="F516" s="654"/>
      <c r="G516" s="698"/>
      <c r="H516" s="698"/>
      <c r="I516" s="94"/>
      <c r="J516" s="136"/>
      <c r="K516" s="136"/>
      <c r="L516" s="136"/>
      <c r="M516" s="698"/>
      <c r="N516" s="94" t="s">
        <v>1193</v>
      </c>
      <c r="O516" s="94" t="s">
        <v>1190</v>
      </c>
      <c r="P516" s="76" t="s">
        <v>36</v>
      </c>
      <c r="Q516" s="95">
        <v>44.94</v>
      </c>
      <c r="R516" s="95">
        <v>43.22</v>
      </c>
      <c r="S516" s="94" t="s">
        <v>1191</v>
      </c>
      <c r="T516" s="136">
        <v>40.520000000000003</v>
      </c>
      <c r="U516" s="215">
        <f>T516/Q516</f>
        <v>0.90164663996439709</v>
      </c>
      <c r="V516" s="630"/>
      <c r="W516" s="630"/>
      <c r="X516" s="722"/>
      <c r="Y516" s="722"/>
      <c r="Z516" s="94" t="s">
        <v>548</v>
      </c>
      <c r="AA516" s="98"/>
    </row>
    <row r="517" spans="1:27" ht="24" hidden="1">
      <c r="A517" s="475"/>
      <c r="B517" s="652"/>
      <c r="C517" s="686"/>
      <c r="D517" s="643"/>
      <c r="E517" s="709"/>
      <c r="F517" s="655"/>
      <c r="G517" s="699"/>
      <c r="H517" s="699"/>
      <c r="I517" s="94"/>
      <c r="J517" s="136"/>
      <c r="K517" s="136"/>
      <c r="L517" s="136"/>
      <c r="M517" s="699"/>
      <c r="N517" s="94" t="s">
        <v>539</v>
      </c>
      <c r="O517" s="94" t="s">
        <v>1190</v>
      </c>
      <c r="P517" s="76" t="s">
        <v>36</v>
      </c>
      <c r="Q517" s="95">
        <v>35.36</v>
      </c>
      <c r="R517" s="95">
        <v>45.36</v>
      </c>
      <c r="S517" s="94" t="s">
        <v>1194</v>
      </c>
      <c r="T517" s="136">
        <v>34.65</v>
      </c>
      <c r="U517" s="215">
        <f>T517/Q517</f>
        <v>0.97992081447963797</v>
      </c>
      <c r="V517" s="631"/>
      <c r="W517" s="631"/>
      <c r="X517" s="711"/>
      <c r="Y517" s="711"/>
      <c r="Z517" s="94" t="s">
        <v>548</v>
      </c>
      <c r="AA517" s="98"/>
    </row>
    <row r="518" spans="1:27" hidden="1">
      <c r="A518" s="475"/>
      <c r="B518" s="213">
        <v>26</v>
      </c>
      <c r="C518" s="214" t="s">
        <v>1995</v>
      </c>
      <c r="D518" s="399">
        <v>27474.080099999999</v>
      </c>
      <c r="E518" s="394" t="s">
        <v>2203</v>
      </c>
      <c r="F518" s="94" t="s">
        <v>542</v>
      </c>
      <c r="G518" s="136"/>
      <c r="H518" s="136"/>
      <c r="I518" s="94"/>
      <c r="J518" s="136"/>
      <c r="K518" s="136"/>
      <c r="L518" s="136"/>
      <c r="M518" s="136">
        <f t="shared" si="48"/>
        <v>0</v>
      </c>
      <c r="N518" s="94"/>
      <c r="O518" s="94"/>
      <c r="P518" s="94"/>
      <c r="Q518" s="95"/>
      <c r="R518" s="95"/>
      <c r="S518" s="94"/>
      <c r="T518" s="136"/>
      <c r="U518" s="215"/>
      <c r="V518" s="212"/>
      <c r="W518" s="212"/>
      <c r="X518" s="212"/>
      <c r="Y518" s="212"/>
      <c r="Z518" s="94" t="s">
        <v>1152</v>
      </c>
      <c r="AA518" s="98"/>
    </row>
    <row r="519" spans="1:27" ht="108" hidden="1">
      <c r="A519" s="475"/>
      <c r="B519" s="213">
        <v>27</v>
      </c>
      <c r="C519" s="214" t="s">
        <v>1996</v>
      </c>
      <c r="D519" s="393">
        <v>25181.189600000002</v>
      </c>
      <c r="E519" s="400" t="s">
        <v>2204</v>
      </c>
      <c r="F519" s="94" t="s">
        <v>1195</v>
      </c>
      <c r="G519" s="136">
        <v>61.002499999999998</v>
      </c>
      <c r="H519" s="136">
        <v>1.25</v>
      </c>
      <c r="I519" s="94" t="s">
        <v>1196</v>
      </c>
      <c r="J519" s="136">
        <v>13.733549999999999</v>
      </c>
      <c r="K519" s="136"/>
      <c r="L519" s="136"/>
      <c r="M519" s="136">
        <f>L519+J519+H519+G519</f>
        <v>75.986049999999992</v>
      </c>
      <c r="N519" s="94" t="s">
        <v>1197</v>
      </c>
      <c r="O519" s="94" t="s">
        <v>1997</v>
      </c>
      <c r="P519" s="76" t="s">
        <v>36</v>
      </c>
      <c r="Q519" s="95">
        <f>42.6748+15</f>
        <v>57.674799999999998</v>
      </c>
      <c r="R519" s="95">
        <v>90.087699999999998</v>
      </c>
      <c r="S519" s="95" t="s">
        <v>137</v>
      </c>
      <c r="T519" s="136">
        <v>74.965900000000005</v>
      </c>
      <c r="U519" s="215">
        <f t="shared" ref="U519:U525" si="49">T519/Q519</f>
        <v>1.2998033803324851</v>
      </c>
      <c r="V519" s="95">
        <f>Q519</f>
        <v>57.674799999999998</v>
      </c>
      <c r="W519" s="95">
        <f>T519</f>
        <v>74.965900000000005</v>
      </c>
      <c r="X519" s="233">
        <f>W519/V519</f>
        <v>1.2998033803324851</v>
      </c>
      <c r="Y519" s="233">
        <f>W519/M519</f>
        <v>0.98657450940008085</v>
      </c>
      <c r="Z519" s="94" t="s">
        <v>1152</v>
      </c>
      <c r="AA519" s="98"/>
    </row>
    <row r="520" spans="1:27" ht="24" hidden="1">
      <c r="A520" s="475"/>
      <c r="B520" s="650">
        <v>28</v>
      </c>
      <c r="C520" s="653" t="s">
        <v>1198</v>
      </c>
      <c r="D520" s="723">
        <v>79812.36</v>
      </c>
      <c r="E520" s="726" t="s">
        <v>2205</v>
      </c>
      <c r="F520" s="647" t="s">
        <v>1199</v>
      </c>
      <c r="G520" s="626">
        <v>226.2</v>
      </c>
      <c r="H520" s="234"/>
      <c r="I520" s="647" t="s">
        <v>1199</v>
      </c>
      <c r="J520" s="626">
        <v>104.5</v>
      </c>
      <c r="K520" s="136"/>
      <c r="L520" s="136"/>
      <c r="M520" s="136">
        <f t="shared" ref="M520:M526" si="50">SUM(G520,H520,J520,L520)</f>
        <v>330.7</v>
      </c>
      <c r="N520" s="94">
        <v>2014.7</v>
      </c>
      <c r="O520" s="94" t="s">
        <v>1200</v>
      </c>
      <c r="P520" s="76" t="s">
        <v>36</v>
      </c>
      <c r="Q520" s="95">
        <f>50000/10000</f>
        <v>5</v>
      </c>
      <c r="R520" s="95">
        <v>20</v>
      </c>
      <c r="S520" s="94" t="s">
        <v>1201</v>
      </c>
      <c r="T520" s="136">
        <v>4.6962000000000002</v>
      </c>
      <c r="U520" s="215">
        <f t="shared" si="49"/>
        <v>0.93924000000000007</v>
      </c>
      <c r="V520" s="629">
        <f>SUM(Q520:Q525)</f>
        <v>103.866975</v>
      </c>
      <c r="W520" s="629">
        <f>SUM(T520:T525)</f>
        <v>4.6962000000000002</v>
      </c>
      <c r="X520" s="632">
        <f>W520/V520</f>
        <v>4.5213601339598078E-2</v>
      </c>
      <c r="Y520" s="632">
        <f>W520/M520</f>
        <v>1.4200786211067434E-2</v>
      </c>
      <c r="Z520" s="94" t="s">
        <v>814</v>
      </c>
      <c r="AA520" s="98"/>
    </row>
    <row r="521" spans="1:27">
      <c r="A521" s="475"/>
      <c r="B521" s="651"/>
      <c r="C521" s="654"/>
      <c r="D521" s="724"/>
      <c r="E521" s="727"/>
      <c r="F521" s="648"/>
      <c r="G521" s="627"/>
      <c r="H521" s="136"/>
      <c r="I521" s="648"/>
      <c r="J521" s="627"/>
      <c r="K521" s="136"/>
      <c r="L521" s="136"/>
      <c r="M521" s="136">
        <f t="shared" si="50"/>
        <v>0</v>
      </c>
      <c r="N521" s="89" t="s">
        <v>1167</v>
      </c>
      <c r="O521" s="89" t="s">
        <v>1202</v>
      </c>
      <c r="P521" s="76" t="s">
        <v>27</v>
      </c>
      <c r="Q521" s="230">
        <v>1.9949749999999999</v>
      </c>
      <c r="R521" s="230">
        <v>1.9949749999999999</v>
      </c>
      <c r="S521" s="94"/>
      <c r="T521" s="136"/>
      <c r="U521" s="215">
        <f t="shared" si="49"/>
        <v>0</v>
      </c>
      <c r="V521" s="630"/>
      <c r="W521" s="630"/>
      <c r="X521" s="633"/>
      <c r="Y521" s="633"/>
      <c r="Z521" s="94" t="s">
        <v>814</v>
      </c>
      <c r="AA521" s="98"/>
    </row>
    <row r="522" spans="1:27">
      <c r="A522" s="475"/>
      <c r="B522" s="651"/>
      <c r="C522" s="654"/>
      <c r="D522" s="724"/>
      <c r="E522" s="727"/>
      <c r="F522" s="648"/>
      <c r="G522" s="627"/>
      <c r="H522" s="136"/>
      <c r="I522" s="648"/>
      <c r="J522" s="627"/>
      <c r="K522" s="136"/>
      <c r="L522" s="136"/>
      <c r="M522" s="136">
        <f t="shared" si="50"/>
        <v>0</v>
      </c>
      <c r="N522" s="89" t="s">
        <v>1002</v>
      </c>
      <c r="O522" s="89" t="s">
        <v>1203</v>
      </c>
      <c r="P522" s="76" t="s">
        <v>27</v>
      </c>
      <c r="Q522" s="230">
        <v>2.1248640000000001</v>
      </c>
      <c r="R522" s="230">
        <v>2.1248640000000001</v>
      </c>
      <c r="S522" s="94"/>
      <c r="T522" s="136"/>
      <c r="U522" s="215">
        <f t="shared" si="49"/>
        <v>0</v>
      </c>
      <c r="V522" s="630"/>
      <c r="W522" s="630"/>
      <c r="X522" s="633"/>
      <c r="Y522" s="633"/>
      <c r="Z522" s="94" t="s">
        <v>814</v>
      </c>
      <c r="AA522" s="98"/>
    </row>
    <row r="523" spans="1:27">
      <c r="A523" s="475"/>
      <c r="B523" s="651"/>
      <c r="C523" s="654"/>
      <c r="D523" s="724"/>
      <c r="E523" s="727"/>
      <c r="F523" s="648"/>
      <c r="G523" s="627"/>
      <c r="H523" s="136"/>
      <c r="I523" s="648"/>
      <c r="J523" s="627"/>
      <c r="K523" s="136"/>
      <c r="L523" s="136"/>
      <c r="M523" s="136">
        <f t="shared" si="50"/>
        <v>0</v>
      </c>
      <c r="N523" s="89" t="s">
        <v>1204</v>
      </c>
      <c r="O523" s="89" t="s">
        <v>1205</v>
      </c>
      <c r="P523" s="76" t="s">
        <v>27</v>
      </c>
      <c r="Q523" s="230">
        <v>0.65801299999999996</v>
      </c>
      <c r="R523" s="230">
        <v>0.65801299999999996</v>
      </c>
      <c r="S523" s="94"/>
      <c r="T523" s="136"/>
      <c r="U523" s="215">
        <f t="shared" si="49"/>
        <v>0</v>
      </c>
      <c r="V523" s="630"/>
      <c r="W523" s="630"/>
      <c r="X523" s="633"/>
      <c r="Y523" s="633"/>
      <c r="Z523" s="94" t="s">
        <v>814</v>
      </c>
      <c r="AA523" s="98"/>
    </row>
    <row r="524" spans="1:27">
      <c r="A524" s="475"/>
      <c r="B524" s="651"/>
      <c r="C524" s="654"/>
      <c r="D524" s="724"/>
      <c r="E524" s="727"/>
      <c r="F524" s="648"/>
      <c r="G524" s="627"/>
      <c r="H524" s="136"/>
      <c r="I524" s="648"/>
      <c r="J524" s="627"/>
      <c r="K524" s="136"/>
      <c r="L524" s="136"/>
      <c r="M524" s="136">
        <f t="shared" si="50"/>
        <v>0</v>
      </c>
      <c r="N524" s="235" t="s">
        <v>1206</v>
      </c>
      <c r="O524" s="89" t="s">
        <v>1998</v>
      </c>
      <c r="P524" s="76" t="s">
        <v>27</v>
      </c>
      <c r="Q524" s="230">
        <v>78.389122999999998</v>
      </c>
      <c r="R524" s="95">
        <v>54.989100000000001</v>
      </c>
      <c r="S524" s="94"/>
      <c r="T524" s="136"/>
      <c r="U524" s="215">
        <f t="shared" si="49"/>
        <v>0</v>
      </c>
      <c r="V524" s="630"/>
      <c r="W524" s="630"/>
      <c r="X524" s="633"/>
      <c r="Y524" s="633"/>
      <c r="Z524" s="94" t="s">
        <v>814</v>
      </c>
      <c r="AA524" s="98"/>
    </row>
    <row r="525" spans="1:27">
      <c r="A525" s="475"/>
      <c r="B525" s="652"/>
      <c r="C525" s="655"/>
      <c r="D525" s="725"/>
      <c r="E525" s="728"/>
      <c r="F525" s="649"/>
      <c r="G525" s="628"/>
      <c r="H525" s="136"/>
      <c r="I525" s="649"/>
      <c r="J525" s="628"/>
      <c r="K525" s="136"/>
      <c r="L525" s="136"/>
      <c r="M525" s="136">
        <f t="shared" si="50"/>
        <v>0</v>
      </c>
      <c r="N525" s="89" t="s">
        <v>1207</v>
      </c>
      <c r="O525" s="89" t="s">
        <v>1208</v>
      </c>
      <c r="P525" s="76" t="s">
        <v>27</v>
      </c>
      <c r="Q525" s="230">
        <v>15.7</v>
      </c>
      <c r="R525" s="95">
        <v>5</v>
      </c>
      <c r="S525" s="94"/>
      <c r="T525" s="136"/>
      <c r="U525" s="215">
        <f t="shared" si="49"/>
        <v>0</v>
      </c>
      <c r="V525" s="631"/>
      <c r="W525" s="631"/>
      <c r="X525" s="634"/>
      <c r="Y525" s="634"/>
      <c r="Z525" s="94" t="s">
        <v>814</v>
      </c>
      <c r="AA525" s="98"/>
    </row>
    <row r="526" spans="1:27" ht="24" hidden="1">
      <c r="A526" s="475"/>
      <c r="B526" s="213">
        <v>29</v>
      </c>
      <c r="C526" s="94" t="s">
        <v>1999</v>
      </c>
      <c r="D526" s="401">
        <v>22605.444800000001</v>
      </c>
      <c r="E526" s="394" t="s">
        <v>2206</v>
      </c>
      <c r="F526" s="94" t="s">
        <v>1108</v>
      </c>
      <c r="G526" s="136" t="s">
        <v>1108</v>
      </c>
      <c r="H526" s="136" t="s">
        <v>1108</v>
      </c>
      <c r="I526" s="94" t="s">
        <v>1145</v>
      </c>
      <c r="J526" s="136">
        <v>60</v>
      </c>
      <c r="K526" s="136" t="s">
        <v>1108</v>
      </c>
      <c r="L526" s="136" t="s">
        <v>1108</v>
      </c>
      <c r="M526" s="136">
        <f t="shared" si="50"/>
        <v>60</v>
      </c>
      <c r="N526" s="94" t="s">
        <v>542</v>
      </c>
      <c r="O526" s="94" t="s">
        <v>542</v>
      </c>
      <c r="P526" s="94" t="s">
        <v>542</v>
      </c>
      <c r="Q526" s="95">
        <v>0</v>
      </c>
      <c r="R526" s="95" t="s">
        <v>542</v>
      </c>
      <c r="S526" s="94" t="s">
        <v>542</v>
      </c>
      <c r="T526" s="136" t="s">
        <v>542</v>
      </c>
      <c r="U526" s="215"/>
      <c r="V526" s="212"/>
      <c r="W526" s="212"/>
      <c r="X526" s="212"/>
      <c r="Y526" s="212"/>
      <c r="Z526" s="94" t="s">
        <v>1038</v>
      </c>
      <c r="AA526" s="98"/>
    </row>
    <row r="527" spans="1:27">
      <c r="A527" s="475"/>
      <c r="B527" s="650">
        <v>30</v>
      </c>
      <c r="C527" s="647" t="s">
        <v>2000</v>
      </c>
      <c r="D527" s="641">
        <v>41682.110099999998</v>
      </c>
      <c r="E527" s="720" t="s">
        <v>2207</v>
      </c>
      <c r="F527" s="94" t="s">
        <v>31</v>
      </c>
      <c r="G527" s="136">
        <v>23.735696000000001</v>
      </c>
      <c r="H527" s="136"/>
      <c r="I527" s="647" t="s">
        <v>31</v>
      </c>
      <c r="J527" s="136"/>
      <c r="K527" s="136"/>
      <c r="L527" s="136"/>
      <c r="M527" s="626">
        <f>SUM(G527,H527,J527,L527)</f>
        <v>23.735696000000001</v>
      </c>
      <c r="N527" s="94" t="s">
        <v>1209</v>
      </c>
      <c r="O527" s="94" t="s">
        <v>1210</v>
      </c>
      <c r="P527" s="76" t="s">
        <v>27</v>
      </c>
      <c r="Q527" s="95">
        <v>2.75</v>
      </c>
      <c r="R527" s="95">
        <v>4.1500000000000004</v>
      </c>
      <c r="S527" s="94" t="s">
        <v>1211</v>
      </c>
      <c r="T527" s="136">
        <v>1.852859</v>
      </c>
      <c r="U527" s="215">
        <f>T527/Q527</f>
        <v>0.67376690909090908</v>
      </c>
      <c r="V527" s="629">
        <f>SUM(Q527:Q528)</f>
        <v>3.7347000000000001</v>
      </c>
      <c r="W527" s="629">
        <f>SUM(T527:T528)</f>
        <v>2.353726</v>
      </c>
      <c r="X527" s="632">
        <f>W527/V527</f>
        <v>0.63023161164216668</v>
      </c>
      <c r="Y527" s="632">
        <f>W527/M527</f>
        <v>9.9163976485037553E-2</v>
      </c>
      <c r="Z527" s="94" t="s">
        <v>1038</v>
      </c>
      <c r="AA527" s="98"/>
    </row>
    <row r="528" spans="1:27">
      <c r="A528" s="475"/>
      <c r="B528" s="652"/>
      <c r="C528" s="649"/>
      <c r="D528" s="643"/>
      <c r="E528" s="721"/>
      <c r="F528" s="94"/>
      <c r="G528" s="136"/>
      <c r="H528" s="136"/>
      <c r="I528" s="649"/>
      <c r="J528" s="136"/>
      <c r="K528" s="136"/>
      <c r="L528" s="136"/>
      <c r="M528" s="628"/>
      <c r="N528" s="94" t="s">
        <v>1212</v>
      </c>
      <c r="O528" s="94" t="s">
        <v>1213</v>
      </c>
      <c r="P528" s="76" t="s">
        <v>27</v>
      </c>
      <c r="Q528" s="95">
        <v>0.98470000000000002</v>
      </c>
      <c r="R528" s="95">
        <v>5.15</v>
      </c>
      <c r="S528" s="94" t="s">
        <v>1214</v>
      </c>
      <c r="T528" s="136">
        <v>0.50086699999999995</v>
      </c>
      <c r="U528" s="215">
        <f>T528/Q528</f>
        <v>0.50864933482278862</v>
      </c>
      <c r="V528" s="631"/>
      <c r="W528" s="631"/>
      <c r="X528" s="634"/>
      <c r="Y528" s="634"/>
      <c r="Z528" s="94" t="s">
        <v>1038</v>
      </c>
      <c r="AA528" s="98"/>
    </row>
    <row r="529" spans="1:27" ht="48">
      <c r="A529" s="475"/>
      <c r="B529" s="650">
        <v>31</v>
      </c>
      <c r="C529" s="732" t="s">
        <v>2001</v>
      </c>
      <c r="D529" s="734">
        <v>52659.690999999999</v>
      </c>
      <c r="E529" s="736" t="s">
        <v>2208</v>
      </c>
      <c r="F529" s="629" t="s">
        <v>1035</v>
      </c>
      <c r="G529" s="665">
        <v>216.37653399999999</v>
      </c>
      <c r="H529" s="136"/>
      <c r="I529" s="94" t="s">
        <v>1036</v>
      </c>
      <c r="J529" s="136">
        <v>43.754568999999996</v>
      </c>
      <c r="K529" s="136"/>
      <c r="L529" s="136"/>
      <c r="M529" s="626">
        <f>SUM(G529,J529:J530)</f>
        <v>297.15009499999996</v>
      </c>
      <c r="N529" s="94" t="s">
        <v>1215</v>
      </c>
      <c r="O529" s="94" t="s">
        <v>1216</v>
      </c>
      <c r="P529" s="76" t="s">
        <v>27</v>
      </c>
      <c r="Q529" s="95">
        <v>0.24</v>
      </c>
      <c r="R529" s="95">
        <v>0.24</v>
      </c>
      <c r="S529" s="94" t="s">
        <v>1217</v>
      </c>
      <c r="T529" s="136">
        <v>0.18</v>
      </c>
      <c r="U529" s="224">
        <f>T529/Q529</f>
        <v>0.75</v>
      </c>
      <c r="V529" s="629">
        <f>SUM(Q529:Q530)</f>
        <v>0.24</v>
      </c>
      <c r="W529" s="629">
        <f>SUM(T529:T530)</f>
        <v>0.18</v>
      </c>
      <c r="X529" s="632">
        <f>W529/V529</f>
        <v>0.75</v>
      </c>
      <c r="Y529" s="632">
        <f>W529/M529</f>
        <v>6.0575447569686971E-4</v>
      </c>
      <c r="Z529" s="94" t="s">
        <v>1038</v>
      </c>
      <c r="AA529" s="98"/>
    </row>
    <row r="530" spans="1:27" ht="36" hidden="1">
      <c r="A530" s="475"/>
      <c r="B530" s="652"/>
      <c r="C530" s="733"/>
      <c r="D530" s="735"/>
      <c r="E530" s="737"/>
      <c r="F530" s="678"/>
      <c r="G530" s="666"/>
      <c r="H530" s="136"/>
      <c r="I530" s="94" t="s">
        <v>1218</v>
      </c>
      <c r="J530" s="136">
        <v>37.018991999999997</v>
      </c>
      <c r="K530" s="136"/>
      <c r="L530" s="136"/>
      <c r="M530" s="628"/>
      <c r="N530" s="94"/>
      <c r="O530" s="94"/>
      <c r="P530" s="94"/>
      <c r="Q530" s="95"/>
      <c r="R530" s="95"/>
      <c r="S530" s="94"/>
      <c r="T530" s="136"/>
      <c r="U530" s="94"/>
      <c r="V530" s="631"/>
      <c r="W530" s="631"/>
      <c r="X530" s="634"/>
      <c r="Y530" s="634"/>
      <c r="Z530" s="94" t="s">
        <v>1038</v>
      </c>
      <c r="AA530" s="98"/>
    </row>
    <row r="531" spans="1:27" hidden="1">
      <c r="A531" s="475"/>
      <c r="B531" s="213">
        <v>32</v>
      </c>
      <c r="C531" s="214" t="s">
        <v>2002</v>
      </c>
      <c r="D531" s="397">
        <v>46676.177100000001</v>
      </c>
      <c r="E531" s="384" t="s">
        <v>2209</v>
      </c>
      <c r="F531" s="94"/>
      <c r="G531" s="136"/>
      <c r="H531" s="136"/>
      <c r="I531" s="94" t="s">
        <v>68</v>
      </c>
      <c r="J531" s="136">
        <v>32.67</v>
      </c>
      <c r="K531" s="136"/>
      <c r="L531" s="136"/>
      <c r="M531" s="136">
        <f t="shared" ref="M531:M537" si="51">SUM(G531,H531,J531,L531)</f>
        <v>32.67</v>
      </c>
      <c r="N531" s="94"/>
      <c r="O531" s="94"/>
      <c r="P531" s="94"/>
      <c r="Q531" s="95"/>
      <c r="R531" s="95"/>
      <c r="S531" s="94"/>
      <c r="T531" s="136"/>
      <c r="U531" s="215"/>
      <c r="V531" s="212"/>
      <c r="W531" s="212"/>
      <c r="X531" s="212"/>
      <c r="Y531" s="212"/>
      <c r="Z531" s="94" t="s">
        <v>1038</v>
      </c>
      <c r="AA531" s="98"/>
    </row>
    <row r="532" spans="1:27" ht="24" hidden="1">
      <c r="A532" s="475"/>
      <c r="B532" s="213">
        <v>33</v>
      </c>
      <c r="C532" s="236" t="s">
        <v>2003</v>
      </c>
      <c r="D532" s="393">
        <v>44950.126900000003</v>
      </c>
      <c r="E532" s="401" t="s">
        <v>2210</v>
      </c>
      <c r="F532" s="94"/>
      <c r="G532" s="136"/>
      <c r="H532" s="136"/>
      <c r="I532" s="94" t="s">
        <v>243</v>
      </c>
      <c r="J532" s="136">
        <v>49.036499999999997</v>
      </c>
      <c r="K532" s="136"/>
      <c r="L532" s="136"/>
      <c r="M532" s="136">
        <f t="shared" si="51"/>
        <v>49.036499999999997</v>
      </c>
      <c r="N532" s="94"/>
      <c r="O532" s="94"/>
      <c r="P532" s="94"/>
      <c r="Q532" s="95"/>
      <c r="R532" s="95"/>
      <c r="S532" s="94"/>
      <c r="T532" s="136"/>
      <c r="U532" s="215"/>
      <c r="V532" s="212"/>
      <c r="W532" s="212"/>
      <c r="X532" s="212"/>
      <c r="Y532" s="212"/>
      <c r="Z532" s="94" t="s">
        <v>1038</v>
      </c>
      <c r="AA532" s="98"/>
    </row>
    <row r="533" spans="1:27" ht="48" hidden="1">
      <c r="A533" s="475"/>
      <c r="B533" s="213">
        <v>34</v>
      </c>
      <c r="C533" s="214" t="s">
        <v>2004</v>
      </c>
      <c r="D533" s="399">
        <v>45386.744480000001</v>
      </c>
      <c r="E533" s="394" t="s">
        <v>2211</v>
      </c>
      <c r="F533" s="94" t="s">
        <v>1219</v>
      </c>
      <c r="G533" s="136">
        <v>74.817896000000005</v>
      </c>
      <c r="H533" s="136"/>
      <c r="I533" s="94" t="s">
        <v>772</v>
      </c>
      <c r="J533" s="136">
        <v>67.721402999999995</v>
      </c>
      <c r="K533" s="136"/>
      <c r="L533" s="136"/>
      <c r="M533" s="136">
        <f t="shared" si="51"/>
        <v>142.539299</v>
      </c>
      <c r="N533" s="94"/>
      <c r="O533" s="94"/>
      <c r="P533" s="94"/>
      <c r="Q533" s="95"/>
      <c r="R533" s="95"/>
      <c r="S533" s="94"/>
      <c r="T533" s="136"/>
      <c r="U533" s="215"/>
      <c r="V533" s="212"/>
      <c r="W533" s="212"/>
      <c r="X533" s="212"/>
      <c r="Y533" s="212"/>
      <c r="Z533" s="94" t="s">
        <v>1038</v>
      </c>
      <c r="AA533" s="98"/>
    </row>
    <row r="534" spans="1:27" ht="36" hidden="1">
      <c r="A534" s="475"/>
      <c r="B534" s="213">
        <v>35</v>
      </c>
      <c r="C534" s="236" t="s">
        <v>2005</v>
      </c>
      <c r="D534" s="402">
        <v>57787.185100000002</v>
      </c>
      <c r="E534" s="388" t="s">
        <v>2212</v>
      </c>
      <c r="F534" s="94"/>
      <c r="G534" s="136"/>
      <c r="H534" s="136"/>
      <c r="I534" s="94" t="s">
        <v>248</v>
      </c>
      <c r="J534" s="136">
        <v>52.533805000000001</v>
      </c>
      <c r="K534" s="136"/>
      <c r="L534" s="136"/>
      <c r="M534" s="136">
        <f t="shared" si="51"/>
        <v>52.533805000000001</v>
      </c>
      <c r="N534" s="94"/>
      <c r="O534" s="94"/>
      <c r="P534" s="94"/>
      <c r="Q534" s="95"/>
      <c r="R534" s="95"/>
      <c r="S534" s="94"/>
      <c r="T534" s="136"/>
      <c r="U534" s="215"/>
      <c r="V534" s="212"/>
      <c r="W534" s="212"/>
      <c r="X534" s="212"/>
      <c r="Y534" s="212"/>
      <c r="Z534" s="94" t="s">
        <v>1038</v>
      </c>
      <c r="AA534" s="98"/>
    </row>
    <row r="535" spans="1:27" hidden="1">
      <c r="A535" s="475"/>
      <c r="B535" s="213">
        <v>36</v>
      </c>
      <c r="C535" s="214" t="s">
        <v>2006</v>
      </c>
      <c r="D535" s="385">
        <v>4105.6562000000004</v>
      </c>
      <c r="E535" s="403" t="s">
        <v>2213</v>
      </c>
      <c r="F535" s="94" t="s">
        <v>542</v>
      </c>
      <c r="G535" s="136"/>
      <c r="H535" s="136"/>
      <c r="I535" s="94"/>
      <c r="J535" s="136"/>
      <c r="K535" s="136"/>
      <c r="L535" s="136"/>
      <c r="M535" s="136">
        <f t="shared" si="51"/>
        <v>0</v>
      </c>
      <c r="N535" s="94"/>
      <c r="O535" s="94"/>
      <c r="P535" s="94"/>
      <c r="Q535" s="95"/>
      <c r="R535" s="95"/>
      <c r="S535" s="94"/>
      <c r="T535" s="136"/>
      <c r="U535" s="215"/>
      <c r="V535" s="212"/>
      <c r="W535" s="212"/>
      <c r="X535" s="212"/>
      <c r="Y535" s="212"/>
      <c r="Z535" s="94" t="s">
        <v>1038</v>
      </c>
      <c r="AA535" s="98"/>
    </row>
    <row r="536" spans="1:27" hidden="1">
      <c r="A536" s="475"/>
      <c r="B536" s="213">
        <v>37</v>
      </c>
      <c r="C536" s="236" t="s">
        <v>2007</v>
      </c>
      <c r="D536" s="404">
        <v>21937.724999999999</v>
      </c>
      <c r="E536" s="404" t="s">
        <v>2214</v>
      </c>
      <c r="F536" s="94" t="s">
        <v>542</v>
      </c>
      <c r="G536" s="136"/>
      <c r="H536" s="136"/>
      <c r="I536" s="94"/>
      <c r="J536" s="136"/>
      <c r="K536" s="136"/>
      <c r="L536" s="136"/>
      <c r="M536" s="136">
        <f t="shared" si="51"/>
        <v>0</v>
      </c>
      <c r="N536" s="94"/>
      <c r="O536" s="94"/>
      <c r="P536" s="94"/>
      <c r="Q536" s="95"/>
      <c r="R536" s="95"/>
      <c r="S536" s="94"/>
      <c r="T536" s="136"/>
      <c r="U536" s="215"/>
      <c r="V536" s="212"/>
      <c r="W536" s="212"/>
      <c r="X536" s="212"/>
      <c r="Y536" s="212"/>
      <c r="Z536" s="94" t="s">
        <v>1038</v>
      </c>
      <c r="AA536" s="98"/>
    </row>
    <row r="537" spans="1:27" ht="36">
      <c r="A537" s="475"/>
      <c r="B537" s="659">
        <v>38</v>
      </c>
      <c r="C537" s="638" t="s">
        <v>2008</v>
      </c>
      <c r="D537" s="729">
        <v>81038.23</v>
      </c>
      <c r="E537" s="674" t="s">
        <v>2215</v>
      </c>
      <c r="F537" s="647" t="s">
        <v>31</v>
      </c>
      <c r="G537" s="626">
        <v>192.5</v>
      </c>
      <c r="H537" s="626">
        <v>2.5</v>
      </c>
      <c r="I537" s="647" t="s">
        <v>31</v>
      </c>
      <c r="J537" s="626">
        <v>45.8</v>
      </c>
      <c r="K537" s="136"/>
      <c r="L537" s="136"/>
      <c r="M537" s="626">
        <f t="shared" si="51"/>
        <v>240.8</v>
      </c>
      <c r="N537" s="94" t="s">
        <v>1220</v>
      </c>
      <c r="O537" s="94" t="s">
        <v>1221</v>
      </c>
      <c r="P537" s="76" t="s">
        <v>27</v>
      </c>
      <c r="Q537" s="95">
        <v>5</v>
      </c>
      <c r="R537" s="95">
        <v>3</v>
      </c>
      <c r="S537" s="94" t="s">
        <v>1104</v>
      </c>
      <c r="T537" s="136">
        <v>1</v>
      </c>
      <c r="U537" s="215">
        <f>T537/Q537</f>
        <v>0.2</v>
      </c>
      <c r="V537" s="629">
        <f>SUM(Q537:Q540)</f>
        <v>25.3</v>
      </c>
      <c r="W537" s="629">
        <f>SUM(T537:T540)</f>
        <v>2.1</v>
      </c>
      <c r="X537" s="632">
        <f>W537/V537</f>
        <v>8.3003952569169967E-2</v>
      </c>
      <c r="Y537" s="632">
        <f>W537/M537</f>
        <v>8.7209302325581394E-3</v>
      </c>
      <c r="Z537" s="94" t="s">
        <v>1152</v>
      </c>
      <c r="AA537" s="98"/>
    </row>
    <row r="538" spans="1:27" ht="36">
      <c r="A538" s="475"/>
      <c r="B538" s="660"/>
      <c r="C538" s="639"/>
      <c r="D538" s="730"/>
      <c r="E538" s="675"/>
      <c r="F538" s="648"/>
      <c r="G538" s="627"/>
      <c r="H538" s="627"/>
      <c r="I538" s="648"/>
      <c r="J538" s="627"/>
      <c r="K538" s="136"/>
      <c r="L538" s="136"/>
      <c r="M538" s="627"/>
      <c r="N538" s="94" t="s">
        <v>1222</v>
      </c>
      <c r="O538" s="94" t="s">
        <v>1223</v>
      </c>
      <c r="P538" s="76" t="s">
        <v>27</v>
      </c>
      <c r="Q538" s="95">
        <v>3.5</v>
      </c>
      <c r="R538" s="95">
        <v>2</v>
      </c>
      <c r="S538" s="94" t="s">
        <v>79</v>
      </c>
      <c r="T538" s="136">
        <v>0.8</v>
      </c>
      <c r="U538" s="215">
        <f>T538/Q538</f>
        <v>0.22857142857142859</v>
      </c>
      <c r="V538" s="677"/>
      <c r="W538" s="677"/>
      <c r="X538" s="633"/>
      <c r="Y538" s="633"/>
      <c r="Z538" s="94" t="s">
        <v>1152</v>
      </c>
      <c r="AA538" s="98"/>
    </row>
    <row r="539" spans="1:27" ht="48">
      <c r="A539" s="475"/>
      <c r="B539" s="660"/>
      <c r="C539" s="639"/>
      <c r="D539" s="730"/>
      <c r="E539" s="675"/>
      <c r="F539" s="648"/>
      <c r="G539" s="627"/>
      <c r="H539" s="627"/>
      <c r="I539" s="648"/>
      <c r="J539" s="627"/>
      <c r="K539" s="136"/>
      <c r="L539" s="136"/>
      <c r="M539" s="627"/>
      <c r="N539" s="94" t="s">
        <v>1224</v>
      </c>
      <c r="O539" s="94" t="s">
        <v>1225</v>
      </c>
      <c r="P539" s="76" t="s">
        <v>27</v>
      </c>
      <c r="Q539" s="95">
        <v>1.8</v>
      </c>
      <c r="R539" s="95">
        <v>1.2</v>
      </c>
      <c r="S539" s="94" t="s">
        <v>1104</v>
      </c>
      <c r="T539" s="136">
        <v>0.3</v>
      </c>
      <c r="U539" s="215">
        <f>T539/Q539</f>
        <v>0.16666666666666666</v>
      </c>
      <c r="V539" s="677"/>
      <c r="W539" s="677"/>
      <c r="X539" s="633"/>
      <c r="Y539" s="633"/>
      <c r="Z539" s="94" t="s">
        <v>1152</v>
      </c>
      <c r="AA539" s="98"/>
    </row>
    <row r="540" spans="1:27" ht="24" hidden="1">
      <c r="A540" s="475"/>
      <c r="B540" s="661"/>
      <c r="C540" s="640"/>
      <c r="D540" s="731"/>
      <c r="E540" s="676"/>
      <c r="F540" s="649"/>
      <c r="G540" s="628"/>
      <c r="H540" s="628"/>
      <c r="I540" s="649"/>
      <c r="J540" s="628"/>
      <c r="K540" s="136"/>
      <c r="L540" s="136"/>
      <c r="M540" s="628"/>
      <c r="N540" s="94" t="s">
        <v>1226</v>
      </c>
      <c r="O540" s="94" t="s">
        <v>1227</v>
      </c>
      <c r="P540" s="76" t="s">
        <v>36</v>
      </c>
      <c r="Q540" s="95">
        <v>15</v>
      </c>
      <c r="R540" s="95">
        <v>80</v>
      </c>
      <c r="S540" s="94"/>
      <c r="T540" s="136"/>
      <c r="U540" s="94"/>
      <c r="V540" s="678"/>
      <c r="W540" s="678"/>
      <c r="X540" s="634"/>
      <c r="Y540" s="634"/>
      <c r="Z540" s="94" t="s">
        <v>1152</v>
      </c>
      <c r="AA540" s="98"/>
    </row>
    <row r="541" spans="1:27" ht="48" hidden="1">
      <c r="A541" s="475"/>
      <c r="B541" s="650">
        <v>39</v>
      </c>
      <c r="C541" s="237" t="s">
        <v>2009</v>
      </c>
      <c r="D541" s="715">
        <v>54901.994100000004</v>
      </c>
      <c r="E541" s="674" t="s">
        <v>2216</v>
      </c>
      <c r="F541" s="237" t="s">
        <v>1228</v>
      </c>
      <c r="G541" s="238">
        <v>164.5558</v>
      </c>
      <c r="H541" s="238">
        <v>2.5</v>
      </c>
      <c r="I541" s="94" t="s">
        <v>243</v>
      </c>
      <c r="J541" s="136">
        <v>43.900672999999998</v>
      </c>
      <c r="K541" s="136"/>
      <c r="L541" s="136"/>
      <c r="M541" s="136">
        <f>SUM(G541,H541,J541,L541)</f>
        <v>210.95647300000002</v>
      </c>
      <c r="N541" s="94"/>
      <c r="O541" s="647" t="s">
        <v>2010</v>
      </c>
      <c r="P541" s="94"/>
      <c r="Q541" s="95"/>
      <c r="R541" s="95"/>
      <c r="S541" s="94" t="s">
        <v>1229</v>
      </c>
      <c r="T541" s="136">
        <v>10</v>
      </c>
      <c r="U541" s="215"/>
      <c r="V541" s="212"/>
      <c r="W541" s="212"/>
      <c r="X541" s="212"/>
      <c r="Y541" s="212"/>
      <c r="Z541" s="94" t="s">
        <v>1045</v>
      </c>
      <c r="AA541" s="98"/>
    </row>
    <row r="542" spans="1:27" ht="24" hidden="1">
      <c r="A542" s="475"/>
      <c r="B542" s="651"/>
      <c r="C542" s="239"/>
      <c r="D542" s="716"/>
      <c r="E542" s="675"/>
      <c r="F542" s="239"/>
      <c r="G542" s="240"/>
      <c r="H542" s="240"/>
      <c r="I542" s="94" t="s">
        <v>244</v>
      </c>
      <c r="J542" s="136">
        <v>43.900672999999998</v>
      </c>
      <c r="K542" s="136"/>
      <c r="L542" s="136"/>
      <c r="M542" s="136">
        <f>SUM(G542,H542,J542,L542)</f>
        <v>43.900672999999998</v>
      </c>
      <c r="N542" s="94"/>
      <c r="O542" s="649"/>
      <c r="P542" s="94"/>
      <c r="Q542" s="95"/>
      <c r="R542" s="95"/>
      <c r="S542" s="94" t="s">
        <v>1230</v>
      </c>
      <c r="T542" s="136">
        <v>10</v>
      </c>
      <c r="U542" s="94"/>
      <c r="V542" s="212"/>
      <c r="W542" s="212"/>
      <c r="X542" s="212"/>
      <c r="Y542" s="212"/>
      <c r="Z542" s="94" t="s">
        <v>1045</v>
      </c>
      <c r="AA542" s="98"/>
    </row>
    <row r="543" spans="1:27" ht="24" hidden="1">
      <c r="A543" s="475"/>
      <c r="B543" s="651"/>
      <c r="C543" s="239"/>
      <c r="D543" s="716"/>
      <c r="E543" s="675"/>
      <c r="F543" s="239"/>
      <c r="G543" s="240"/>
      <c r="H543" s="240"/>
      <c r="I543" s="94"/>
      <c r="J543" s="136"/>
      <c r="K543" s="136"/>
      <c r="L543" s="136"/>
      <c r="M543" s="136"/>
      <c r="N543" s="94"/>
      <c r="O543" s="94" t="s">
        <v>1231</v>
      </c>
      <c r="P543" s="94"/>
      <c r="Q543" s="95"/>
      <c r="R543" s="95"/>
      <c r="S543" s="94" t="s">
        <v>122</v>
      </c>
      <c r="T543" s="136">
        <v>7.9856199999999999</v>
      </c>
      <c r="U543" s="94"/>
      <c r="V543" s="212"/>
      <c r="W543" s="212"/>
      <c r="X543" s="212"/>
      <c r="Y543" s="212"/>
      <c r="Z543" s="94" t="s">
        <v>1045</v>
      </c>
      <c r="AA543" s="98"/>
    </row>
    <row r="544" spans="1:27" hidden="1">
      <c r="A544" s="475"/>
      <c r="B544" s="651"/>
      <c r="C544" s="239"/>
      <c r="D544" s="716"/>
      <c r="E544" s="675"/>
      <c r="F544" s="239"/>
      <c r="G544" s="240"/>
      <c r="H544" s="240"/>
      <c r="I544" s="94"/>
      <c r="J544" s="136"/>
      <c r="K544" s="136"/>
      <c r="L544" s="136"/>
      <c r="M544" s="136"/>
      <c r="N544" s="94"/>
      <c r="O544" s="94" t="s">
        <v>1232</v>
      </c>
      <c r="P544" s="94"/>
      <c r="Q544" s="95"/>
      <c r="R544" s="95"/>
      <c r="S544" s="94" t="s">
        <v>1233</v>
      </c>
      <c r="T544" s="136">
        <v>0.05</v>
      </c>
      <c r="U544" s="94"/>
      <c r="V544" s="212"/>
      <c r="W544" s="212"/>
      <c r="X544" s="212"/>
      <c r="Y544" s="212"/>
      <c r="Z544" s="94" t="s">
        <v>1045</v>
      </c>
      <c r="AA544" s="98"/>
    </row>
    <row r="545" spans="1:27" ht="36" hidden="1">
      <c r="A545" s="475"/>
      <c r="B545" s="651"/>
      <c r="C545" s="239"/>
      <c r="D545" s="716"/>
      <c r="E545" s="675"/>
      <c r="F545" s="239"/>
      <c r="G545" s="240"/>
      <c r="H545" s="240"/>
      <c r="I545" s="94"/>
      <c r="J545" s="136"/>
      <c r="K545" s="136"/>
      <c r="L545" s="136"/>
      <c r="M545" s="136"/>
      <c r="N545" s="94"/>
      <c r="O545" s="94" t="s">
        <v>1234</v>
      </c>
      <c r="P545" s="94"/>
      <c r="Q545" s="95"/>
      <c r="R545" s="95"/>
      <c r="S545" s="94" t="s">
        <v>1235</v>
      </c>
      <c r="T545" s="136">
        <v>2.4</v>
      </c>
      <c r="U545" s="94"/>
      <c r="V545" s="212"/>
      <c r="W545" s="212"/>
      <c r="X545" s="212"/>
      <c r="Y545" s="212"/>
      <c r="Z545" s="94" t="s">
        <v>1045</v>
      </c>
      <c r="AA545" s="98"/>
    </row>
    <row r="546" spans="1:27" ht="48" hidden="1">
      <c r="A546" s="475"/>
      <c r="B546" s="651"/>
      <c r="C546" s="239"/>
      <c r="D546" s="716"/>
      <c r="E546" s="675"/>
      <c r="F546" s="239"/>
      <c r="G546" s="240"/>
      <c r="H546" s="240"/>
      <c r="I546" s="94"/>
      <c r="J546" s="136"/>
      <c r="K546" s="136"/>
      <c r="L546" s="136"/>
      <c r="M546" s="136"/>
      <c r="N546" s="94"/>
      <c r="O546" s="94" t="s">
        <v>1236</v>
      </c>
      <c r="P546" s="94"/>
      <c r="Q546" s="95"/>
      <c r="R546" s="95"/>
      <c r="S546" s="94" t="s">
        <v>1132</v>
      </c>
      <c r="T546" s="136">
        <v>1.6065590000000001</v>
      </c>
      <c r="U546" s="94"/>
      <c r="V546" s="212"/>
      <c r="W546" s="212"/>
      <c r="X546" s="212"/>
      <c r="Y546" s="212"/>
      <c r="Z546" s="94" t="s">
        <v>1045</v>
      </c>
      <c r="AA546" s="98"/>
    </row>
    <row r="547" spans="1:27" ht="36" hidden="1">
      <c r="A547" s="475"/>
      <c r="B547" s="652"/>
      <c r="C547" s="241"/>
      <c r="D547" s="717"/>
      <c r="E547" s="676"/>
      <c r="F547" s="241"/>
      <c r="G547" s="242"/>
      <c r="H547" s="242"/>
      <c r="I547" s="94"/>
      <c r="J547" s="136"/>
      <c r="K547" s="136"/>
      <c r="L547" s="136"/>
      <c r="M547" s="136"/>
      <c r="N547" s="94"/>
      <c r="O547" s="94" t="s">
        <v>1237</v>
      </c>
      <c r="P547" s="94"/>
      <c r="Q547" s="95"/>
      <c r="R547" s="95"/>
      <c r="S547" s="94" t="s">
        <v>1238</v>
      </c>
      <c r="T547" s="136">
        <v>0.74069399999999996</v>
      </c>
      <c r="U547" s="94"/>
      <c r="V547" s="212"/>
      <c r="W547" s="212"/>
      <c r="X547" s="212"/>
      <c r="Y547" s="212"/>
      <c r="Z547" s="94" t="s">
        <v>1045</v>
      </c>
      <c r="AA547" s="98"/>
    </row>
    <row r="548" spans="1:27" hidden="1">
      <c r="A548" s="475"/>
      <c r="B548" s="213">
        <v>40</v>
      </c>
      <c r="C548" s="214" t="s">
        <v>2011</v>
      </c>
      <c r="D548" s="405">
        <v>8972.2900000000009</v>
      </c>
      <c r="E548" s="405" t="s">
        <v>2217</v>
      </c>
      <c r="F548" s="94" t="s">
        <v>1156</v>
      </c>
      <c r="G548" s="136">
        <v>28.458400000000001</v>
      </c>
      <c r="H548" s="136">
        <v>0.3</v>
      </c>
      <c r="I548" s="94"/>
      <c r="J548" s="136"/>
      <c r="K548" s="136"/>
      <c r="L548" s="136"/>
      <c r="M548" s="136">
        <f>SUM(G548,H548,J548,L548)</f>
        <v>28.758400000000002</v>
      </c>
      <c r="N548" s="94"/>
      <c r="O548" s="94"/>
      <c r="P548" s="94"/>
      <c r="Q548" s="95"/>
      <c r="R548" s="95"/>
      <c r="S548" s="94"/>
      <c r="T548" s="136"/>
      <c r="U548" s="94"/>
      <c r="V548" s="212"/>
      <c r="W548" s="212"/>
      <c r="X548" s="212"/>
      <c r="Y548" s="212"/>
      <c r="Z548" s="94" t="s">
        <v>305</v>
      </c>
      <c r="AA548" s="98"/>
    </row>
    <row r="549" spans="1:27" hidden="1">
      <c r="A549" s="475"/>
      <c r="B549" s="213">
        <v>41</v>
      </c>
      <c r="C549" s="214" t="s">
        <v>2012</v>
      </c>
      <c r="D549" s="405">
        <v>6906.99</v>
      </c>
      <c r="E549" s="405" t="s">
        <v>2218</v>
      </c>
      <c r="F549" s="94" t="s">
        <v>1156</v>
      </c>
      <c r="G549" s="136">
        <v>21.909700000000001</v>
      </c>
      <c r="H549" s="136">
        <v>0.3</v>
      </c>
      <c r="I549" s="94"/>
      <c r="J549" s="136"/>
      <c r="K549" s="136"/>
      <c r="L549" s="136"/>
      <c r="M549" s="136">
        <f>SUM(G549,H549,J549,L549)</f>
        <v>22.209700000000002</v>
      </c>
      <c r="N549" s="94"/>
      <c r="O549" s="94"/>
      <c r="P549" s="94"/>
      <c r="Q549" s="95"/>
      <c r="R549" s="95"/>
      <c r="S549" s="94"/>
      <c r="T549" s="136"/>
      <c r="U549" s="215"/>
      <c r="V549" s="212"/>
      <c r="W549" s="212"/>
      <c r="X549" s="212"/>
      <c r="Y549" s="212"/>
      <c r="Z549" s="94" t="s">
        <v>305</v>
      </c>
      <c r="AA549" s="98"/>
    </row>
    <row r="550" spans="1:27" ht="48">
      <c r="A550" s="475"/>
      <c r="B550" s="213">
        <v>42</v>
      </c>
      <c r="C550" s="214" t="s">
        <v>1239</v>
      </c>
      <c r="D550" s="398">
        <f>2127121996/10000</f>
        <v>212712.19959999999</v>
      </c>
      <c r="E550" s="394" t="s">
        <v>2219</v>
      </c>
      <c r="F550" s="94"/>
      <c r="G550" s="136"/>
      <c r="H550" s="136"/>
      <c r="I550" s="94" t="s">
        <v>543</v>
      </c>
      <c r="J550" s="136">
        <v>32</v>
      </c>
      <c r="K550" s="136"/>
      <c r="L550" s="136"/>
      <c r="M550" s="136">
        <f>SUM(G550,H550,J550,L550)</f>
        <v>32</v>
      </c>
      <c r="N550" s="94" t="s">
        <v>1240</v>
      </c>
      <c r="O550" s="94" t="s">
        <v>2013</v>
      </c>
      <c r="P550" s="76" t="s">
        <v>27</v>
      </c>
      <c r="Q550" s="95">
        <f>6084.5/10000</f>
        <v>0.60845000000000005</v>
      </c>
      <c r="R550" s="95">
        <f>6084.5/10000</f>
        <v>0.60845000000000005</v>
      </c>
      <c r="S550" s="94" t="s">
        <v>1241</v>
      </c>
      <c r="T550" s="136" t="s">
        <v>1241</v>
      </c>
      <c r="U550" s="94" t="s">
        <v>1241</v>
      </c>
      <c r="V550" s="95">
        <f>Q550</f>
        <v>0.60845000000000005</v>
      </c>
      <c r="W550" s="95"/>
      <c r="X550" s="95"/>
      <c r="Y550" s="95"/>
      <c r="Z550" s="94" t="s">
        <v>1161</v>
      </c>
      <c r="AA550" s="98"/>
    </row>
    <row r="551" spans="1:27" hidden="1">
      <c r="A551" s="475"/>
      <c r="B551" s="213">
        <v>43</v>
      </c>
      <c r="C551" s="214" t="s">
        <v>2014</v>
      </c>
      <c r="D551" s="398">
        <v>19302.740600000001</v>
      </c>
      <c r="E551" s="394" t="s">
        <v>2220</v>
      </c>
      <c r="F551" s="94"/>
      <c r="G551" s="136"/>
      <c r="H551" s="136"/>
      <c r="I551" s="94" t="s">
        <v>39</v>
      </c>
      <c r="J551" s="136">
        <v>23</v>
      </c>
      <c r="K551" s="136"/>
      <c r="L551" s="136"/>
      <c r="M551" s="136">
        <f>J551</f>
        <v>23</v>
      </c>
      <c r="N551" s="94" t="s">
        <v>542</v>
      </c>
      <c r="O551" s="94"/>
      <c r="P551" s="94"/>
      <c r="Q551" s="95"/>
      <c r="R551" s="95"/>
      <c r="S551" s="94"/>
      <c r="T551" s="136"/>
      <c r="U551" s="215"/>
      <c r="V551" s="212"/>
      <c r="W551" s="212"/>
      <c r="X551" s="212"/>
      <c r="Y551" s="212"/>
      <c r="Z551" s="94" t="s">
        <v>1038</v>
      </c>
      <c r="AA551" s="98"/>
    </row>
    <row r="552" spans="1:27" hidden="1">
      <c r="A552" s="475"/>
      <c r="B552" s="213">
        <v>44</v>
      </c>
      <c r="C552" s="214" t="s">
        <v>1242</v>
      </c>
      <c r="D552" s="398">
        <v>5922.5170010000002</v>
      </c>
      <c r="E552" s="394" t="s">
        <v>2221</v>
      </c>
      <c r="F552" s="94" t="s">
        <v>542</v>
      </c>
      <c r="G552" s="136"/>
      <c r="H552" s="136"/>
      <c r="I552" s="94"/>
      <c r="J552" s="136"/>
      <c r="K552" s="136"/>
      <c r="L552" s="136"/>
      <c r="M552" s="136">
        <f>SUM(G552,H552,J552,L552)</f>
        <v>0</v>
      </c>
      <c r="N552" s="94"/>
      <c r="O552" s="94"/>
      <c r="P552" s="94"/>
      <c r="Q552" s="95"/>
      <c r="R552" s="95"/>
      <c r="S552" s="94"/>
      <c r="T552" s="136"/>
      <c r="U552" s="215"/>
      <c r="V552" s="212"/>
      <c r="W552" s="212"/>
      <c r="X552" s="212"/>
      <c r="Y552" s="212"/>
      <c r="Z552" s="94" t="s">
        <v>1038</v>
      </c>
      <c r="AA552" s="98"/>
    </row>
    <row r="553" spans="1:27" hidden="1">
      <c r="A553" s="475"/>
      <c r="B553" s="213">
        <v>45</v>
      </c>
      <c r="C553" s="214" t="s">
        <v>1243</v>
      </c>
      <c r="D553" s="406">
        <v>26804.39</v>
      </c>
      <c r="E553" s="407" t="s">
        <v>2222</v>
      </c>
      <c r="F553" s="94"/>
      <c r="G553" s="136"/>
      <c r="H553" s="136"/>
      <c r="I553" s="94" t="s">
        <v>39</v>
      </c>
      <c r="J553" s="136">
        <v>25</v>
      </c>
      <c r="K553" s="136"/>
      <c r="L553" s="136"/>
      <c r="M553" s="136"/>
      <c r="N553" s="94" t="s">
        <v>542</v>
      </c>
      <c r="O553" s="94"/>
      <c r="P553" s="94"/>
      <c r="Q553" s="95"/>
      <c r="R553" s="95"/>
      <c r="S553" s="94"/>
      <c r="T553" s="136"/>
      <c r="U553" s="215"/>
      <c r="V553" s="212"/>
      <c r="W553" s="212"/>
      <c r="X553" s="212"/>
      <c r="Y553" s="212"/>
      <c r="Z553" s="94" t="s">
        <v>1038</v>
      </c>
      <c r="AA553" s="98"/>
    </row>
    <row r="554" spans="1:27" ht="24" hidden="1">
      <c r="A554" s="475"/>
      <c r="B554" s="213">
        <v>46</v>
      </c>
      <c r="C554" s="243" t="s">
        <v>1244</v>
      </c>
      <c r="D554" s="407">
        <v>22336.5</v>
      </c>
      <c r="E554" s="408" t="s">
        <v>2223</v>
      </c>
      <c r="F554" s="94" t="s">
        <v>68</v>
      </c>
      <c r="G554" s="136">
        <v>38</v>
      </c>
      <c r="H554" s="136"/>
      <c r="I554" s="94" t="s">
        <v>250</v>
      </c>
      <c r="J554" s="136">
        <v>20</v>
      </c>
      <c r="K554" s="136"/>
      <c r="L554" s="136"/>
      <c r="M554" s="136">
        <v>58</v>
      </c>
      <c r="N554" s="94" t="s">
        <v>542</v>
      </c>
      <c r="O554" s="94"/>
      <c r="P554" s="94"/>
      <c r="Q554" s="95"/>
      <c r="R554" s="95"/>
      <c r="S554" s="94"/>
      <c r="T554" s="136"/>
      <c r="U554" s="215"/>
      <c r="V554" s="212"/>
      <c r="W554" s="212"/>
      <c r="X554" s="212"/>
      <c r="Y554" s="212"/>
      <c r="Z554" s="94" t="s">
        <v>1038</v>
      </c>
      <c r="AA554" s="98"/>
    </row>
    <row r="555" spans="1:27" ht="24" hidden="1">
      <c r="A555" s="475"/>
      <c r="B555" s="213">
        <v>47</v>
      </c>
      <c r="C555" s="244" t="s">
        <v>2015</v>
      </c>
      <c r="D555" s="404">
        <v>13664.29</v>
      </c>
      <c r="E555" s="409" t="s">
        <v>2224</v>
      </c>
      <c r="F555" s="94"/>
      <c r="G555" s="136"/>
      <c r="H555" s="136"/>
      <c r="I555" s="94" t="s">
        <v>31</v>
      </c>
      <c r="J555" s="136">
        <v>16</v>
      </c>
      <c r="K555" s="136"/>
      <c r="L555" s="136"/>
      <c r="M555" s="136">
        <f>J555</f>
        <v>16</v>
      </c>
      <c r="N555" s="94" t="s">
        <v>542</v>
      </c>
      <c r="O555" s="94"/>
      <c r="P555" s="94"/>
      <c r="Q555" s="95"/>
      <c r="R555" s="95"/>
      <c r="S555" s="94"/>
      <c r="T555" s="136"/>
      <c r="U555" s="94"/>
      <c r="V555" s="212"/>
      <c r="W555" s="212"/>
      <c r="X555" s="212"/>
      <c r="Y555" s="212"/>
      <c r="Z555" s="94" t="s">
        <v>1038</v>
      </c>
      <c r="AA555" s="98"/>
    </row>
    <row r="556" spans="1:27" ht="24" hidden="1">
      <c r="A556" s="475"/>
      <c r="B556" s="213">
        <v>48</v>
      </c>
      <c r="C556" s="214" t="s">
        <v>1245</v>
      </c>
      <c r="D556" s="398">
        <v>28000</v>
      </c>
      <c r="E556" s="394" t="s">
        <v>2225</v>
      </c>
      <c r="F556" s="94"/>
      <c r="G556" s="136"/>
      <c r="H556" s="136"/>
      <c r="I556" s="94" t="s">
        <v>1246</v>
      </c>
      <c r="J556" s="136">
        <f>28.9+25.39</f>
        <v>54.29</v>
      </c>
      <c r="K556" s="136" t="s">
        <v>1247</v>
      </c>
      <c r="L556" s="136">
        <f>767860869*1.5%/10/10000</f>
        <v>115.17913034999999</v>
      </c>
      <c r="M556" s="136">
        <f>J556+L556</f>
        <v>169.46913035</v>
      </c>
      <c r="N556" s="94"/>
      <c r="O556" s="94"/>
      <c r="P556" s="94"/>
      <c r="Q556" s="95"/>
      <c r="R556" s="95"/>
      <c r="S556" s="94"/>
      <c r="T556" s="136"/>
      <c r="U556" s="215"/>
      <c r="V556" s="212"/>
      <c r="W556" s="212"/>
      <c r="X556" s="212"/>
      <c r="Y556" s="212"/>
      <c r="Z556" s="94" t="s">
        <v>1038</v>
      </c>
      <c r="AA556" s="98"/>
    </row>
    <row r="557" spans="1:27" ht="24" hidden="1">
      <c r="A557" s="475"/>
      <c r="B557" s="213">
        <v>49</v>
      </c>
      <c r="C557" s="214" t="s">
        <v>1248</v>
      </c>
      <c r="D557" s="398">
        <v>25493.81</v>
      </c>
      <c r="E557" s="394" t="s">
        <v>2226</v>
      </c>
      <c r="F557" s="84"/>
      <c r="G557" s="156"/>
      <c r="H557" s="156"/>
      <c r="I557" s="84" t="s">
        <v>1246</v>
      </c>
      <c r="J557" s="156">
        <v>25.66</v>
      </c>
      <c r="K557" s="156" t="s">
        <v>1247</v>
      </c>
      <c r="L557" s="156">
        <f>254938029*1.5%/10/10000</f>
        <v>38.240704350000001</v>
      </c>
      <c r="M557" s="156">
        <f>J557+L557</f>
        <v>63.900704349999998</v>
      </c>
      <c r="N557" s="94"/>
      <c r="O557" s="94"/>
      <c r="P557" s="94"/>
      <c r="Q557" s="95"/>
      <c r="R557" s="95"/>
      <c r="S557" s="94"/>
      <c r="T557" s="136"/>
      <c r="U557" s="215"/>
      <c r="V557" s="212"/>
      <c r="W557" s="212"/>
      <c r="X557" s="212"/>
      <c r="Y557" s="212"/>
      <c r="Z557" s="94" t="s">
        <v>1038</v>
      </c>
      <c r="AA557" s="98"/>
    </row>
    <row r="558" spans="1:27" ht="24" hidden="1">
      <c r="A558" s="475"/>
      <c r="B558" s="213">
        <v>50</v>
      </c>
      <c r="C558" s="214" t="s">
        <v>1249</v>
      </c>
      <c r="D558" s="410">
        <v>14390.28</v>
      </c>
      <c r="E558" s="410" t="s">
        <v>2059</v>
      </c>
      <c r="F558" s="94" t="s">
        <v>39</v>
      </c>
      <c r="G558" s="136">
        <v>33.6</v>
      </c>
      <c r="H558" s="136">
        <v>0</v>
      </c>
      <c r="I558" s="94" t="s">
        <v>39</v>
      </c>
      <c r="J558" s="136">
        <v>10.23</v>
      </c>
      <c r="K558" s="136"/>
      <c r="L558" s="136"/>
      <c r="M558" s="136">
        <f t="shared" ref="M558:M565" si="52">SUM(G558,H558,J558,L558)</f>
        <v>43.83</v>
      </c>
      <c r="N558" s="94"/>
      <c r="O558" s="94"/>
      <c r="P558" s="94"/>
      <c r="Q558" s="95"/>
      <c r="R558" s="95"/>
      <c r="S558" s="94"/>
      <c r="T558" s="136"/>
      <c r="U558" s="215"/>
      <c r="V558" s="212"/>
      <c r="W558" s="212"/>
      <c r="X558" s="212"/>
      <c r="Y558" s="212"/>
      <c r="Z558" s="94" t="s">
        <v>1038</v>
      </c>
      <c r="AA558" s="98"/>
    </row>
    <row r="559" spans="1:27" hidden="1">
      <c r="A559" s="475"/>
      <c r="B559" s="213">
        <v>51</v>
      </c>
      <c r="C559" s="214" t="s">
        <v>2016</v>
      </c>
      <c r="D559" s="411">
        <v>120007.28</v>
      </c>
      <c r="E559" s="394" t="s">
        <v>2227</v>
      </c>
      <c r="F559" s="94" t="s">
        <v>1250</v>
      </c>
      <c r="G559" s="136">
        <v>588</v>
      </c>
      <c r="H559" s="136"/>
      <c r="I559" s="94" t="s">
        <v>1250</v>
      </c>
      <c r="J559" s="136">
        <v>108</v>
      </c>
      <c r="K559" s="136"/>
      <c r="L559" s="136"/>
      <c r="M559" s="136">
        <f t="shared" si="52"/>
        <v>696</v>
      </c>
      <c r="N559" s="94"/>
      <c r="O559" s="94"/>
      <c r="P559" s="94"/>
      <c r="Q559" s="95"/>
      <c r="R559" s="95"/>
      <c r="S559" s="94"/>
      <c r="T559" s="136"/>
      <c r="U559" s="215"/>
      <c r="V559" s="212"/>
      <c r="W559" s="212"/>
      <c r="X559" s="212"/>
      <c r="Y559" s="212"/>
      <c r="Z559" s="94" t="s">
        <v>1038</v>
      </c>
      <c r="AA559" s="98"/>
    </row>
    <row r="560" spans="1:27" hidden="1">
      <c r="A560" s="475"/>
      <c r="B560" s="213">
        <v>52</v>
      </c>
      <c r="C560" s="236" t="s">
        <v>2017</v>
      </c>
      <c r="D560" s="412">
        <v>13911.74</v>
      </c>
      <c r="E560" s="404" t="s">
        <v>2228</v>
      </c>
      <c r="F560" s="94" t="s">
        <v>542</v>
      </c>
      <c r="G560" s="136"/>
      <c r="H560" s="136"/>
      <c r="I560" s="94"/>
      <c r="J560" s="136"/>
      <c r="K560" s="136"/>
      <c r="L560" s="136"/>
      <c r="M560" s="136">
        <f t="shared" si="52"/>
        <v>0</v>
      </c>
      <c r="N560" s="94"/>
      <c r="O560" s="94"/>
      <c r="P560" s="94"/>
      <c r="Q560" s="95"/>
      <c r="R560" s="95"/>
      <c r="S560" s="94"/>
      <c r="T560" s="136"/>
      <c r="U560" s="215"/>
      <c r="V560" s="212"/>
      <c r="W560" s="212"/>
      <c r="X560" s="212"/>
      <c r="Y560" s="212"/>
      <c r="Z560" s="94" t="s">
        <v>1038</v>
      </c>
      <c r="AA560" s="98"/>
    </row>
    <row r="561" spans="1:27" hidden="1">
      <c r="A561" s="475"/>
      <c r="B561" s="213">
        <v>53</v>
      </c>
      <c r="C561" s="236" t="s">
        <v>2018</v>
      </c>
      <c r="D561" s="404">
        <v>7906.0373</v>
      </c>
      <c r="E561" s="404" t="s">
        <v>2229</v>
      </c>
      <c r="F561" s="94" t="s">
        <v>542</v>
      </c>
      <c r="G561" s="136"/>
      <c r="H561" s="136"/>
      <c r="I561" s="94"/>
      <c r="J561" s="136"/>
      <c r="K561" s="136"/>
      <c r="L561" s="136"/>
      <c r="M561" s="136">
        <f t="shared" si="52"/>
        <v>0</v>
      </c>
      <c r="N561" s="94"/>
      <c r="O561" s="94"/>
      <c r="P561" s="94"/>
      <c r="Q561" s="95"/>
      <c r="R561" s="95"/>
      <c r="S561" s="94"/>
      <c r="T561" s="136"/>
      <c r="U561" s="215"/>
      <c r="V561" s="212"/>
      <c r="W561" s="212"/>
      <c r="X561" s="212"/>
      <c r="Y561" s="212"/>
      <c r="Z561" s="94" t="s">
        <v>1038</v>
      </c>
      <c r="AA561" s="98"/>
    </row>
    <row r="562" spans="1:27" hidden="1">
      <c r="A562" s="475"/>
      <c r="B562" s="213">
        <v>54</v>
      </c>
      <c r="C562" s="214" t="s">
        <v>1251</v>
      </c>
      <c r="D562" s="413">
        <v>1083.96</v>
      </c>
      <c r="E562" s="414" t="s">
        <v>2230</v>
      </c>
      <c r="F562" s="94" t="s">
        <v>542</v>
      </c>
      <c r="G562" s="136"/>
      <c r="H562" s="136"/>
      <c r="I562" s="94"/>
      <c r="J562" s="136"/>
      <c r="K562" s="136"/>
      <c r="L562" s="136"/>
      <c r="M562" s="136">
        <f t="shared" si="52"/>
        <v>0</v>
      </c>
      <c r="N562" s="94"/>
      <c r="O562" s="94"/>
      <c r="P562" s="94"/>
      <c r="Q562" s="95"/>
      <c r="R562" s="95"/>
      <c r="S562" s="94"/>
      <c r="T562" s="136"/>
      <c r="U562" s="215"/>
      <c r="V562" s="212"/>
      <c r="W562" s="212"/>
      <c r="X562" s="212"/>
      <c r="Y562" s="212"/>
      <c r="Z562" s="94" t="s">
        <v>1038</v>
      </c>
      <c r="AA562" s="98"/>
    </row>
    <row r="563" spans="1:27" hidden="1">
      <c r="A563" s="475"/>
      <c r="B563" s="213">
        <v>55</v>
      </c>
      <c r="C563" s="216" t="s">
        <v>1252</v>
      </c>
      <c r="D563" s="394">
        <v>2814.8020999999999</v>
      </c>
      <c r="E563" s="394" t="s">
        <v>2231</v>
      </c>
      <c r="F563" s="94" t="s">
        <v>542</v>
      </c>
      <c r="G563" s="136"/>
      <c r="H563" s="136"/>
      <c r="I563" s="94"/>
      <c r="J563" s="136"/>
      <c r="K563" s="136"/>
      <c r="L563" s="136"/>
      <c r="M563" s="136">
        <f t="shared" si="52"/>
        <v>0</v>
      </c>
      <c r="N563" s="94"/>
      <c r="O563" s="94"/>
      <c r="P563" s="94"/>
      <c r="Q563" s="95"/>
      <c r="R563" s="95"/>
      <c r="S563" s="94"/>
      <c r="T563" s="136"/>
      <c r="U563" s="215"/>
      <c r="V563" s="212"/>
      <c r="W563" s="212"/>
      <c r="X563" s="212"/>
      <c r="Y563" s="212"/>
      <c r="Z563" s="94" t="s">
        <v>1038</v>
      </c>
      <c r="AA563" s="98"/>
    </row>
    <row r="564" spans="1:27" hidden="1">
      <c r="A564" s="475"/>
      <c r="B564" s="213">
        <v>56</v>
      </c>
      <c r="C564" s="236" t="s">
        <v>2019</v>
      </c>
      <c r="D564" s="404">
        <v>7596</v>
      </c>
      <c r="E564" s="404" t="s">
        <v>2232</v>
      </c>
      <c r="F564" s="94" t="s">
        <v>542</v>
      </c>
      <c r="G564" s="136"/>
      <c r="H564" s="136"/>
      <c r="I564" s="94"/>
      <c r="J564" s="136"/>
      <c r="K564" s="136"/>
      <c r="L564" s="136"/>
      <c r="M564" s="136">
        <f t="shared" si="52"/>
        <v>0</v>
      </c>
      <c r="N564" s="94"/>
      <c r="O564" s="94"/>
      <c r="P564" s="94"/>
      <c r="Q564" s="95"/>
      <c r="R564" s="95"/>
      <c r="S564" s="94"/>
      <c r="T564" s="136"/>
      <c r="U564" s="215"/>
      <c r="V564" s="212"/>
      <c r="W564" s="212"/>
      <c r="X564" s="212"/>
      <c r="Y564" s="212"/>
      <c r="Z564" s="94" t="s">
        <v>1038</v>
      </c>
      <c r="AA564" s="98"/>
    </row>
    <row r="565" spans="1:27" hidden="1">
      <c r="A565" s="475"/>
      <c r="B565" s="213">
        <v>57</v>
      </c>
      <c r="C565" s="214" t="s">
        <v>1253</v>
      </c>
      <c r="D565" s="385">
        <v>23000</v>
      </c>
      <c r="E565" s="386" t="s">
        <v>2233</v>
      </c>
      <c r="F565" s="94" t="s">
        <v>542</v>
      </c>
      <c r="G565" s="136"/>
      <c r="H565" s="136"/>
      <c r="I565" s="94"/>
      <c r="J565" s="136"/>
      <c r="K565" s="136"/>
      <c r="L565" s="136"/>
      <c r="M565" s="136">
        <f t="shared" si="52"/>
        <v>0</v>
      </c>
      <c r="N565" s="94"/>
      <c r="O565" s="94"/>
      <c r="P565" s="94"/>
      <c r="Q565" s="95"/>
      <c r="R565" s="95"/>
      <c r="S565" s="94"/>
      <c r="T565" s="136"/>
      <c r="U565" s="215"/>
      <c r="V565" s="212"/>
      <c r="W565" s="212"/>
      <c r="X565" s="212"/>
      <c r="Y565" s="212"/>
      <c r="Z565" s="94" t="s">
        <v>1038</v>
      </c>
      <c r="AA565" s="98"/>
    </row>
    <row r="566" spans="1:27" ht="24" hidden="1">
      <c r="A566" s="475"/>
      <c r="B566" s="213">
        <v>58</v>
      </c>
      <c r="C566" s="245" t="s">
        <v>1254</v>
      </c>
      <c r="D566" s="394">
        <v>2200.5995899999998</v>
      </c>
      <c r="E566" s="394" t="s">
        <v>2234</v>
      </c>
      <c r="F566" s="94"/>
      <c r="G566" s="136"/>
      <c r="H566" s="136"/>
      <c r="I566" s="94" t="s">
        <v>39</v>
      </c>
      <c r="J566" s="136">
        <v>23</v>
      </c>
      <c r="K566" s="136"/>
      <c r="L566" s="136"/>
      <c r="M566" s="136"/>
      <c r="N566" s="94" t="s">
        <v>542</v>
      </c>
      <c r="O566" s="94"/>
      <c r="P566" s="94"/>
      <c r="Q566" s="95"/>
      <c r="R566" s="95"/>
      <c r="S566" s="94"/>
      <c r="T566" s="136"/>
      <c r="U566" s="215"/>
      <c r="V566" s="212"/>
      <c r="W566" s="212"/>
      <c r="X566" s="212"/>
      <c r="Y566" s="212"/>
      <c r="Z566" s="94" t="s">
        <v>1038</v>
      </c>
      <c r="AA566" s="98"/>
    </row>
    <row r="567" spans="1:27" hidden="1">
      <c r="A567" s="475"/>
      <c r="B567" s="213">
        <v>59</v>
      </c>
      <c r="C567" s="214" t="s">
        <v>2020</v>
      </c>
      <c r="D567" s="410">
        <v>11512.05</v>
      </c>
      <c r="E567" s="410" t="s">
        <v>2235</v>
      </c>
      <c r="F567" s="94" t="s">
        <v>39</v>
      </c>
      <c r="G567" s="136">
        <v>0</v>
      </c>
      <c r="H567" s="136">
        <v>0</v>
      </c>
      <c r="I567" s="94" t="s">
        <v>39</v>
      </c>
      <c r="J567" s="136">
        <v>0</v>
      </c>
      <c r="K567" s="136"/>
      <c r="L567" s="136"/>
      <c r="M567" s="136">
        <f>SUM(G567,H567,J567,L567)</f>
        <v>0</v>
      </c>
      <c r="N567" s="94"/>
      <c r="O567" s="94"/>
      <c r="P567" s="94"/>
      <c r="Q567" s="95"/>
      <c r="R567" s="95"/>
      <c r="S567" s="94"/>
      <c r="T567" s="136"/>
      <c r="U567" s="215"/>
      <c r="V567" s="212"/>
      <c r="W567" s="212"/>
      <c r="X567" s="212"/>
      <c r="Y567" s="212"/>
      <c r="Z567" s="94" t="s">
        <v>1038</v>
      </c>
      <c r="AA567" s="98"/>
    </row>
    <row r="568" spans="1:27" hidden="1">
      <c r="A568" s="475"/>
      <c r="B568" s="213">
        <v>60</v>
      </c>
      <c r="C568" s="93" t="s">
        <v>1255</v>
      </c>
      <c r="D568" s="415">
        <v>126335.56</v>
      </c>
      <c r="E568" s="416" t="s">
        <v>2236</v>
      </c>
      <c r="F568" s="94" t="s">
        <v>39</v>
      </c>
      <c r="G568" s="136">
        <v>393.75299999999999</v>
      </c>
      <c r="H568" s="136"/>
      <c r="I568" s="94" t="s">
        <v>1256</v>
      </c>
      <c r="J568" s="136">
        <v>554.2432</v>
      </c>
      <c r="K568" s="136"/>
      <c r="L568" s="136"/>
      <c r="M568" s="136">
        <f>SUM(G568,H568,J568,L568)</f>
        <v>947.99620000000004</v>
      </c>
      <c r="N568" s="94" t="s">
        <v>542</v>
      </c>
      <c r="O568" s="94"/>
      <c r="P568" s="94"/>
      <c r="Q568" s="95"/>
      <c r="R568" s="95"/>
      <c r="S568" s="94"/>
      <c r="T568" s="136"/>
      <c r="U568" s="94"/>
      <c r="V568" s="212"/>
      <c r="W568" s="212"/>
      <c r="X568" s="212"/>
      <c r="Y568" s="212"/>
      <c r="Z568" s="94" t="s">
        <v>548</v>
      </c>
      <c r="AA568" s="98"/>
    </row>
    <row r="569" spans="1:27" ht="24" hidden="1">
      <c r="A569" s="475" t="s">
        <v>1334</v>
      </c>
      <c r="B569" s="738">
        <v>1</v>
      </c>
      <c r="C569" s="740" t="s">
        <v>1258</v>
      </c>
      <c r="D569" s="742">
        <v>30421.3364</v>
      </c>
      <c r="E569" s="743" t="s">
        <v>2237</v>
      </c>
      <c r="F569" s="740" t="s">
        <v>245</v>
      </c>
      <c r="G569" s="748">
        <v>64.910600000000002</v>
      </c>
      <c r="H569" s="748">
        <v>0.3</v>
      </c>
      <c r="I569" s="740" t="s">
        <v>1259</v>
      </c>
      <c r="J569" s="748">
        <v>47.098199999999999</v>
      </c>
      <c r="K569" s="748" t="s">
        <v>163</v>
      </c>
      <c r="L569" s="748">
        <v>0</v>
      </c>
      <c r="M569" s="748">
        <f>SUM(G569,H569,J569,L569)</f>
        <v>112.30879999999999</v>
      </c>
      <c r="N569" s="336" t="s">
        <v>1260</v>
      </c>
      <c r="O569" s="336" t="s">
        <v>1261</v>
      </c>
      <c r="P569" s="76" t="s">
        <v>36</v>
      </c>
      <c r="Q569" s="159">
        <v>60</v>
      </c>
      <c r="R569" s="159">
        <v>180</v>
      </c>
      <c r="S569" s="336"/>
      <c r="T569" s="177"/>
      <c r="U569" s="246">
        <f>T569/Q569</f>
        <v>0</v>
      </c>
      <c r="V569" s="751">
        <f>SUM(Q569:Q570)</f>
        <v>125</v>
      </c>
      <c r="W569" s="751">
        <f>SUM(T569:T570)</f>
        <v>0</v>
      </c>
      <c r="X569" s="751"/>
      <c r="Y569" s="751"/>
      <c r="Z569" s="247" t="s">
        <v>498</v>
      </c>
      <c r="AA569" s="98"/>
    </row>
    <row r="570" spans="1:27" ht="24" hidden="1">
      <c r="A570" s="475"/>
      <c r="B570" s="739"/>
      <c r="C570" s="741"/>
      <c r="D570" s="742"/>
      <c r="E570" s="743"/>
      <c r="F570" s="741"/>
      <c r="G570" s="750"/>
      <c r="H570" s="750"/>
      <c r="I570" s="741"/>
      <c r="J570" s="750"/>
      <c r="K570" s="750"/>
      <c r="L570" s="750"/>
      <c r="M570" s="750"/>
      <c r="N570" s="336" t="s">
        <v>1262</v>
      </c>
      <c r="O570" s="336" t="s">
        <v>1261</v>
      </c>
      <c r="P570" s="76" t="s">
        <v>36</v>
      </c>
      <c r="Q570" s="159">
        <v>65</v>
      </c>
      <c r="R570" s="159">
        <v>220</v>
      </c>
      <c r="S570" s="336"/>
      <c r="T570" s="177"/>
      <c r="U570" s="246">
        <f>T570/Q570</f>
        <v>0</v>
      </c>
      <c r="V570" s="753"/>
      <c r="W570" s="753"/>
      <c r="X570" s="753"/>
      <c r="Y570" s="753"/>
      <c r="Z570" s="247" t="s">
        <v>498</v>
      </c>
      <c r="AA570" s="98"/>
    </row>
    <row r="571" spans="1:27">
      <c r="A571" s="475"/>
      <c r="B571" s="352">
        <v>2</v>
      </c>
      <c r="C571" s="336" t="s">
        <v>1263</v>
      </c>
      <c r="D571" s="417">
        <v>17713.832399999999</v>
      </c>
      <c r="E571" s="418" t="s">
        <v>2238</v>
      </c>
      <c r="F571" s="336"/>
      <c r="G571" s="177"/>
      <c r="H571" s="177"/>
      <c r="I571" s="336" t="s">
        <v>241</v>
      </c>
      <c r="J571" s="177">
        <v>12.5</v>
      </c>
      <c r="K571" s="177" t="s">
        <v>542</v>
      </c>
      <c r="L571" s="177">
        <v>0</v>
      </c>
      <c r="M571" s="177"/>
      <c r="N571" s="336" t="s">
        <v>417</v>
      </c>
      <c r="O571" s="336" t="s">
        <v>2034</v>
      </c>
      <c r="P571" s="76" t="s">
        <v>27</v>
      </c>
      <c r="Q571" s="159">
        <v>173</v>
      </c>
      <c r="R571" s="159">
        <v>60</v>
      </c>
      <c r="S571" s="336"/>
      <c r="T571" s="177"/>
      <c r="U571" s="336"/>
      <c r="V571" s="248"/>
      <c r="W571" s="248"/>
      <c r="X571" s="248"/>
      <c r="Y571" s="248"/>
      <c r="Z571" s="247" t="s">
        <v>1264</v>
      </c>
      <c r="AA571" s="98"/>
    </row>
    <row r="572" spans="1:27" ht="108" hidden="1">
      <c r="A572" s="475"/>
      <c r="B572" s="352">
        <v>3</v>
      </c>
      <c r="C572" s="336" t="s">
        <v>2021</v>
      </c>
      <c r="D572" s="417">
        <v>20227.449700000001</v>
      </c>
      <c r="E572" s="418" t="s">
        <v>2239</v>
      </c>
      <c r="F572" s="336" t="s">
        <v>1265</v>
      </c>
      <c r="G572" s="177">
        <v>43.3</v>
      </c>
      <c r="H572" s="177">
        <v>0.25</v>
      </c>
      <c r="I572" s="336" t="s">
        <v>250</v>
      </c>
      <c r="J572" s="177">
        <v>18.2</v>
      </c>
      <c r="K572" s="177" t="s">
        <v>163</v>
      </c>
      <c r="L572" s="177">
        <v>0</v>
      </c>
      <c r="M572" s="177">
        <f>G572+H572+J572</f>
        <v>61.75</v>
      </c>
      <c r="N572" s="336" t="s">
        <v>751</v>
      </c>
      <c r="O572" s="336" t="s">
        <v>1266</v>
      </c>
      <c r="P572" s="76" t="s">
        <v>36</v>
      </c>
      <c r="Q572" s="159">
        <v>15</v>
      </c>
      <c r="R572" s="159"/>
      <c r="S572" s="336"/>
      <c r="T572" s="177"/>
      <c r="U572" s="336"/>
      <c r="V572" s="248">
        <f>Q572</f>
        <v>15</v>
      </c>
      <c r="W572" s="248">
        <f>T572</f>
        <v>0</v>
      </c>
      <c r="X572" s="248"/>
      <c r="Y572" s="248"/>
      <c r="Z572" s="247" t="s">
        <v>540</v>
      </c>
      <c r="AA572" s="98"/>
    </row>
    <row r="573" spans="1:27" hidden="1">
      <c r="A573" s="475"/>
      <c r="B573" s="738">
        <v>4</v>
      </c>
      <c r="C573" s="740" t="s">
        <v>1267</v>
      </c>
      <c r="D573" s="742">
        <v>20675</v>
      </c>
      <c r="E573" s="743" t="s">
        <v>2240</v>
      </c>
      <c r="F573" s="740" t="s">
        <v>1268</v>
      </c>
      <c r="G573" s="748">
        <v>45.64</v>
      </c>
      <c r="H573" s="748">
        <v>0.25</v>
      </c>
      <c r="I573" s="740" t="s">
        <v>1269</v>
      </c>
      <c r="J573" s="748">
        <v>11.5</v>
      </c>
      <c r="K573" s="748" t="s">
        <v>163</v>
      </c>
      <c r="L573" s="748">
        <v>0</v>
      </c>
      <c r="M573" s="748">
        <f>SUM(G573,H573,J573,L573)</f>
        <v>57.39</v>
      </c>
      <c r="N573" s="336" t="s">
        <v>76</v>
      </c>
      <c r="O573" s="336" t="s">
        <v>1270</v>
      </c>
      <c r="P573" s="76" t="s">
        <v>36</v>
      </c>
      <c r="Q573" s="159">
        <v>0</v>
      </c>
      <c r="R573" s="159">
        <v>50.3</v>
      </c>
      <c r="S573" s="336" t="s">
        <v>1271</v>
      </c>
      <c r="T573" s="177"/>
      <c r="U573" s="336"/>
      <c r="V573" s="751">
        <f>SUM(Q573:Q575)</f>
        <v>4.34</v>
      </c>
      <c r="W573" s="751">
        <f>SUM(T573:T575)</f>
        <v>0</v>
      </c>
      <c r="X573" s="751"/>
      <c r="Y573" s="751"/>
      <c r="Z573" s="247" t="s">
        <v>540</v>
      </c>
      <c r="AA573" s="98"/>
    </row>
    <row r="574" spans="1:27">
      <c r="A574" s="475"/>
      <c r="B574" s="746"/>
      <c r="C574" s="747"/>
      <c r="D574" s="742"/>
      <c r="E574" s="743"/>
      <c r="F574" s="747"/>
      <c r="G574" s="749"/>
      <c r="H574" s="749"/>
      <c r="I574" s="747"/>
      <c r="J574" s="749"/>
      <c r="K574" s="749"/>
      <c r="L574" s="749"/>
      <c r="M574" s="749"/>
      <c r="N574" s="336" t="s">
        <v>1272</v>
      </c>
      <c r="O574" s="336" t="s">
        <v>1273</v>
      </c>
      <c r="P574" s="76" t="s">
        <v>27</v>
      </c>
      <c r="Q574" s="159">
        <v>0.94</v>
      </c>
      <c r="R574" s="159">
        <v>0.94</v>
      </c>
      <c r="S574" s="336" t="s">
        <v>1271</v>
      </c>
      <c r="T574" s="177"/>
      <c r="U574" s="336"/>
      <c r="V574" s="752"/>
      <c r="W574" s="752"/>
      <c r="X574" s="752"/>
      <c r="Y574" s="752"/>
      <c r="Z574" s="247" t="s">
        <v>540</v>
      </c>
      <c r="AA574" s="98"/>
    </row>
    <row r="575" spans="1:27">
      <c r="A575" s="475"/>
      <c r="B575" s="739"/>
      <c r="C575" s="741"/>
      <c r="D575" s="742"/>
      <c r="E575" s="743"/>
      <c r="F575" s="741"/>
      <c r="G575" s="750"/>
      <c r="H575" s="750"/>
      <c r="I575" s="741"/>
      <c r="J575" s="750"/>
      <c r="K575" s="750"/>
      <c r="L575" s="750"/>
      <c r="M575" s="750"/>
      <c r="N575" s="336" t="s">
        <v>836</v>
      </c>
      <c r="O575" s="336" t="s">
        <v>1274</v>
      </c>
      <c r="P575" s="76" t="s">
        <v>27</v>
      </c>
      <c r="Q575" s="159">
        <v>3.4</v>
      </c>
      <c r="R575" s="159">
        <v>3.4</v>
      </c>
      <c r="S575" s="336" t="s">
        <v>1271</v>
      </c>
      <c r="T575" s="177"/>
      <c r="U575" s="336"/>
      <c r="V575" s="753"/>
      <c r="W575" s="753"/>
      <c r="X575" s="753"/>
      <c r="Y575" s="753"/>
      <c r="Z575" s="247" t="s">
        <v>540</v>
      </c>
      <c r="AA575" s="98"/>
    </row>
    <row r="576" spans="1:27" ht="24" hidden="1">
      <c r="A576" s="475"/>
      <c r="B576" s="352">
        <v>5</v>
      </c>
      <c r="C576" s="336" t="s">
        <v>1275</v>
      </c>
      <c r="D576" s="419">
        <v>28668.606500000002</v>
      </c>
      <c r="E576" s="420" t="s">
        <v>2241</v>
      </c>
      <c r="F576" s="336" t="s">
        <v>466</v>
      </c>
      <c r="G576" s="177">
        <v>76.769300000000001</v>
      </c>
      <c r="H576" s="177">
        <v>0.3</v>
      </c>
      <c r="I576" s="336"/>
      <c r="J576" s="177"/>
      <c r="K576" s="177" t="s">
        <v>163</v>
      </c>
      <c r="L576" s="177">
        <v>0</v>
      </c>
      <c r="M576" s="177">
        <f>SUM(L576,G576:H576,J576)</f>
        <v>77.069299999999998</v>
      </c>
      <c r="N576" s="336" t="s">
        <v>1276</v>
      </c>
      <c r="O576" s="336" t="s">
        <v>1277</v>
      </c>
      <c r="P576" s="76" t="s">
        <v>36</v>
      </c>
      <c r="Q576" s="159">
        <v>15</v>
      </c>
      <c r="R576" s="159">
        <v>50</v>
      </c>
      <c r="S576" s="336" t="s">
        <v>1278</v>
      </c>
      <c r="T576" s="177">
        <v>10</v>
      </c>
      <c r="U576" s="246">
        <f t="shared" ref="U576:U585" si="53">T576/Q576</f>
        <v>0.66666666666666663</v>
      </c>
      <c r="V576" s="248">
        <f>Q576</f>
        <v>15</v>
      </c>
      <c r="W576" s="248">
        <f>T576</f>
        <v>10</v>
      </c>
      <c r="X576" s="249">
        <f>W576/V576</f>
        <v>0.66666666666666663</v>
      </c>
      <c r="Y576" s="249">
        <f>W576/M576</f>
        <v>0.12975335185346176</v>
      </c>
      <c r="Z576" s="247" t="s">
        <v>506</v>
      </c>
      <c r="AA576" s="98"/>
    </row>
    <row r="577" spans="1:27" ht="36" hidden="1">
      <c r="A577" s="475"/>
      <c r="B577" s="352">
        <v>6</v>
      </c>
      <c r="C577" s="336" t="s">
        <v>2035</v>
      </c>
      <c r="D577" s="419">
        <v>18106.020199999999</v>
      </c>
      <c r="E577" s="418" t="s">
        <v>2242</v>
      </c>
      <c r="F577" s="336" t="s">
        <v>1279</v>
      </c>
      <c r="G577" s="177">
        <v>32.950899999999997</v>
      </c>
      <c r="H577" s="177"/>
      <c r="I577" s="336" t="s">
        <v>241</v>
      </c>
      <c r="J577" s="177">
        <f>4+10.8636</f>
        <v>14.8636</v>
      </c>
      <c r="K577" s="177" t="s">
        <v>163</v>
      </c>
      <c r="L577" s="177">
        <v>0</v>
      </c>
      <c r="M577" s="177">
        <f>SUM(G577,H577,J577,L577)</f>
        <v>47.814499999999995</v>
      </c>
      <c r="N577" s="336" t="s">
        <v>1280</v>
      </c>
      <c r="O577" s="336" t="s">
        <v>2036</v>
      </c>
      <c r="P577" s="76" t="s">
        <v>36</v>
      </c>
      <c r="Q577" s="159">
        <v>120</v>
      </c>
      <c r="R577" s="159">
        <v>180</v>
      </c>
      <c r="S577" s="336"/>
      <c r="T577" s="177"/>
      <c r="U577" s="246">
        <f t="shared" si="53"/>
        <v>0</v>
      </c>
      <c r="V577" s="248">
        <f>Q577</f>
        <v>120</v>
      </c>
      <c r="W577" s="248">
        <f>T577</f>
        <v>0</v>
      </c>
      <c r="X577" s="248"/>
      <c r="Y577" s="248"/>
      <c r="Z577" s="247" t="s">
        <v>526</v>
      </c>
      <c r="AA577" s="98"/>
    </row>
    <row r="578" spans="1:27" ht="48" hidden="1">
      <c r="A578" s="475"/>
      <c r="B578" s="738">
        <v>7</v>
      </c>
      <c r="C578" s="740" t="s">
        <v>1281</v>
      </c>
      <c r="D578" s="742">
        <v>33288.284500000002</v>
      </c>
      <c r="E578" s="743" t="s">
        <v>2243</v>
      </c>
      <c r="F578" s="740" t="s">
        <v>245</v>
      </c>
      <c r="G578" s="748">
        <v>87.870900000000006</v>
      </c>
      <c r="H578" s="748"/>
      <c r="I578" s="740" t="s">
        <v>1282</v>
      </c>
      <c r="J578" s="748">
        <v>13.4398</v>
      </c>
      <c r="K578" s="748" t="s">
        <v>163</v>
      </c>
      <c r="L578" s="748">
        <v>0</v>
      </c>
      <c r="M578" s="748">
        <f>SUM(G578,H578,J578,L578)</f>
        <v>101.31070000000001</v>
      </c>
      <c r="N578" s="250" t="s">
        <v>1283</v>
      </c>
      <c r="O578" s="251" t="s">
        <v>1284</v>
      </c>
      <c r="P578" s="76" t="s">
        <v>36</v>
      </c>
      <c r="Q578" s="159">
        <v>150</v>
      </c>
      <c r="R578" s="159">
        <v>330</v>
      </c>
      <c r="S578" s="336" t="s">
        <v>1285</v>
      </c>
      <c r="T578" s="177">
        <v>122.05549999999999</v>
      </c>
      <c r="U578" s="246">
        <f t="shared" si="53"/>
        <v>0.81370333333333333</v>
      </c>
      <c r="V578" s="751">
        <f>SUM(Q578:Q581)</f>
        <v>155.69999999999999</v>
      </c>
      <c r="W578" s="751">
        <f>SUM(T578:T581)</f>
        <v>123.18549999999999</v>
      </c>
      <c r="X578" s="754">
        <f>W578/V578</f>
        <v>0.79117212588310859</v>
      </c>
      <c r="Y578" s="754">
        <f>W578/M578</f>
        <v>1.2159179632556085</v>
      </c>
      <c r="Z578" s="247" t="s">
        <v>488</v>
      </c>
      <c r="AA578" s="98"/>
    </row>
    <row r="579" spans="1:27" ht="48">
      <c r="A579" s="475"/>
      <c r="B579" s="746"/>
      <c r="C579" s="747"/>
      <c r="D579" s="742"/>
      <c r="E579" s="743"/>
      <c r="F579" s="747"/>
      <c r="G579" s="749"/>
      <c r="H579" s="749"/>
      <c r="I579" s="747"/>
      <c r="J579" s="749"/>
      <c r="K579" s="749"/>
      <c r="L579" s="749"/>
      <c r="M579" s="749"/>
      <c r="N579" s="252" t="s">
        <v>1286</v>
      </c>
      <c r="O579" s="253" t="s">
        <v>1287</v>
      </c>
      <c r="P579" s="76" t="s">
        <v>27</v>
      </c>
      <c r="Q579" s="254">
        <v>1.5</v>
      </c>
      <c r="R579" s="255">
        <v>3</v>
      </c>
      <c r="S579" s="252" t="s">
        <v>1288</v>
      </c>
      <c r="T579" s="298">
        <v>7.0000000000000007E-2</v>
      </c>
      <c r="U579" s="256">
        <f t="shared" si="53"/>
        <v>4.6666666666666669E-2</v>
      </c>
      <c r="V579" s="752"/>
      <c r="W579" s="752"/>
      <c r="X579" s="755"/>
      <c r="Y579" s="755"/>
      <c r="Z579" s="257" t="s">
        <v>488</v>
      </c>
      <c r="AA579" s="98"/>
    </row>
    <row r="580" spans="1:27" ht="36">
      <c r="A580" s="475"/>
      <c r="B580" s="746"/>
      <c r="C580" s="747"/>
      <c r="D580" s="742"/>
      <c r="E580" s="743"/>
      <c r="F580" s="747"/>
      <c r="G580" s="749"/>
      <c r="H580" s="749"/>
      <c r="I580" s="747"/>
      <c r="J580" s="749"/>
      <c r="K580" s="749"/>
      <c r="L580" s="749"/>
      <c r="M580" s="749"/>
      <c r="N580" s="252" t="s">
        <v>1289</v>
      </c>
      <c r="O580" s="253" t="s">
        <v>1290</v>
      </c>
      <c r="P580" s="76" t="s">
        <v>27</v>
      </c>
      <c r="Q580" s="254">
        <v>3</v>
      </c>
      <c r="R580" s="255">
        <v>3</v>
      </c>
      <c r="S580" s="252" t="s">
        <v>1291</v>
      </c>
      <c r="T580" s="298">
        <v>1</v>
      </c>
      <c r="U580" s="256">
        <f t="shared" si="53"/>
        <v>0.33333333333333331</v>
      </c>
      <c r="V580" s="752"/>
      <c r="W580" s="752"/>
      <c r="X580" s="755"/>
      <c r="Y580" s="755"/>
      <c r="Z580" s="257" t="s">
        <v>488</v>
      </c>
      <c r="AA580" s="98"/>
    </row>
    <row r="581" spans="1:27" ht="24">
      <c r="A581" s="475"/>
      <c r="B581" s="739"/>
      <c r="C581" s="741"/>
      <c r="D581" s="742"/>
      <c r="E581" s="743"/>
      <c r="F581" s="741"/>
      <c r="G581" s="750"/>
      <c r="H581" s="750"/>
      <c r="I581" s="741"/>
      <c r="J581" s="750"/>
      <c r="K581" s="750"/>
      <c r="L581" s="750"/>
      <c r="M581" s="750"/>
      <c r="N581" s="252" t="s">
        <v>1292</v>
      </c>
      <c r="O581" s="253" t="s">
        <v>1293</v>
      </c>
      <c r="P581" s="76" t="s">
        <v>27</v>
      </c>
      <c r="Q581" s="254">
        <v>1.2</v>
      </c>
      <c r="R581" s="255">
        <v>3</v>
      </c>
      <c r="S581" s="252" t="s">
        <v>1294</v>
      </c>
      <c r="T581" s="298">
        <v>0.06</v>
      </c>
      <c r="U581" s="256">
        <f t="shared" si="53"/>
        <v>0.05</v>
      </c>
      <c r="V581" s="753"/>
      <c r="W581" s="753"/>
      <c r="X581" s="756"/>
      <c r="Y581" s="756"/>
      <c r="Z581" s="257" t="s">
        <v>488</v>
      </c>
      <c r="AA581" s="98"/>
    </row>
    <row r="582" spans="1:27" ht="24" hidden="1">
      <c r="A582" s="475"/>
      <c r="B582" s="352">
        <v>8</v>
      </c>
      <c r="C582" s="336" t="s">
        <v>1295</v>
      </c>
      <c r="D582" s="419">
        <v>30999.46</v>
      </c>
      <c r="E582" s="421" t="s">
        <v>2244</v>
      </c>
      <c r="F582" s="336" t="s">
        <v>24</v>
      </c>
      <c r="G582" s="177">
        <v>81.284800000000004</v>
      </c>
      <c r="H582" s="177">
        <v>0.55200000000000005</v>
      </c>
      <c r="I582" s="336" t="s">
        <v>24</v>
      </c>
      <c r="J582" s="177">
        <v>38.286299999999997</v>
      </c>
      <c r="K582" s="177" t="s">
        <v>163</v>
      </c>
      <c r="L582" s="177">
        <v>0</v>
      </c>
      <c r="M582" s="177">
        <f>SUM(G582,H582,J582,L582)</f>
        <v>120.12310000000001</v>
      </c>
      <c r="N582" s="336" t="s">
        <v>335</v>
      </c>
      <c r="O582" s="336" t="s">
        <v>1296</v>
      </c>
      <c r="P582" s="76" t="s">
        <v>36</v>
      </c>
      <c r="Q582" s="159">
        <v>10.199999999999999</v>
      </c>
      <c r="R582" s="159">
        <v>36.799999999999997</v>
      </c>
      <c r="S582" s="336" t="s">
        <v>1297</v>
      </c>
      <c r="T582" s="177">
        <v>9.8000000000000007</v>
      </c>
      <c r="U582" s="246">
        <f t="shared" si="53"/>
        <v>0.96078431372549034</v>
      </c>
      <c r="V582" s="751">
        <f>SUM(Q582:Q584)</f>
        <v>22.8245</v>
      </c>
      <c r="W582" s="751">
        <f>SUM(T582:T584)</f>
        <v>200.3229</v>
      </c>
      <c r="X582" s="754">
        <f>W582/V582</f>
        <v>8.7766610440535384</v>
      </c>
      <c r="Y582" s="754">
        <f>W582/M582</f>
        <v>1.6676467723526949</v>
      </c>
      <c r="Z582" s="247" t="s">
        <v>511</v>
      </c>
      <c r="AA582" s="98"/>
    </row>
    <row r="583" spans="1:27" ht="48" hidden="1">
      <c r="A583" s="475"/>
      <c r="B583" s="352">
        <v>9</v>
      </c>
      <c r="C583" s="336" t="s">
        <v>1298</v>
      </c>
      <c r="D583" s="744">
        <v>58576.5</v>
      </c>
      <c r="E583" s="745" t="s">
        <v>2245</v>
      </c>
      <c r="F583" s="336" t="s">
        <v>1299</v>
      </c>
      <c r="G583" s="177" t="s">
        <v>1300</v>
      </c>
      <c r="H583" s="177"/>
      <c r="I583" s="336"/>
      <c r="J583" s="311"/>
      <c r="K583" s="177" t="s">
        <v>163</v>
      </c>
      <c r="L583" s="177">
        <v>0</v>
      </c>
      <c r="M583" s="177"/>
      <c r="N583" s="336" t="s">
        <v>1301</v>
      </c>
      <c r="O583" s="336" t="s">
        <v>1302</v>
      </c>
      <c r="P583" s="76" t="s">
        <v>36</v>
      </c>
      <c r="Q583" s="159">
        <v>2.0842999999999998</v>
      </c>
      <c r="R583" s="159">
        <v>15.774900000000001</v>
      </c>
      <c r="S583" s="336" t="s">
        <v>1201</v>
      </c>
      <c r="T583" s="299">
        <v>3.7</v>
      </c>
      <c r="U583" s="246">
        <f t="shared" si="53"/>
        <v>1.7751763181883609</v>
      </c>
      <c r="V583" s="752"/>
      <c r="W583" s="752"/>
      <c r="X583" s="755"/>
      <c r="Y583" s="755"/>
      <c r="Z583" s="247" t="s">
        <v>814</v>
      </c>
      <c r="AA583" s="98"/>
    </row>
    <row r="584" spans="1:27" ht="48" hidden="1">
      <c r="A584" s="475"/>
      <c r="B584" s="352">
        <v>10</v>
      </c>
      <c r="C584" s="336" t="s">
        <v>1298</v>
      </c>
      <c r="D584" s="744"/>
      <c r="E584" s="745"/>
      <c r="F584" s="336" t="s">
        <v>1299</v>
      </c>
      <c r="G584" s="177" t="s">
        <v>1303</v>
      </c>
      <c r="H584" s="177"/>
      <c r="I584" s="336"/>
      <c r="J584" s="177"/>
      <c r="K584" s="177" t="s">
        <v>163</v>
      </c>
      <c r="L584" s="177">
        <v>0</v>
      </c>
      <c r="M584" s="177"/>
      <c r="N584" s="336" t="s">
        <v>1099</v>
      </c>
      <c r="O584" s="336" t="s">
        <v>1304</v>
      </c>
      <c r="P584" s="76" t="s">
        <v>36</v>
      </c>
      <c r="Q584" s="159">
        <v>10.5402</v>
      </c>
      <c r="R584" s="159">
        <v>385.16680000000002</v>
      </c>
      <c r="S584" s="336" t="s">
        <v>1139</v>
      </c>
      <c r="T584" s="299">
        <v>186.8229</v>
      </c>
      <c r="U584" s="246">
        <f t="shared" si="53"/>
        <v>17.72479649342517</v>
      </c>
      <c r="V584" s="753"/>
      <c r="W584" s="753"/>
      <c r="X584" s="756"/>
      <c r="Y584" s="756"/>
      <c r="Z584" s="247" t="s">
        <v>814</v>
      </c>
      <c r="AA584" s="98"/>
    </row>
    <row r="585" spans="1:27" ht="48">
      <c r="A585" s="475"/>
      <c r="B585" s="352">
        <v>11</v>
      </c>
      <c r="C585" s="336" t="s">
        <v>1298</v>
      </c>
      <c r="D585" s="744"/>
      <c r="E585" s="745"/>
      <c r="F585" s="336" t="s">
        <v>1299</v>
      </c>
      <c r="G585" s="177">
        <v>169.87180000000001</v>
      </c>
      <c r="H585" s="177"/>
      <c r="I585" s="336" t="s">
        <v>39</v>
      </c>
      <c r="J585" s="311">
        <v>83.699399999999997</v>
      </c>
      <c r="K585" s="177" t="s">
        <v>163</v>
      </c>
      <c r="L585" s="177">
        <v>0</v>
      </c>
      <c r="M585" s="177">
        <f>SUM(L585,J585,G585:H585)</f>
        <v>253.5712</v>
      </c>
      <c r="N585" s="336" t="s">
        <v>1305</v>
      </c>
      <c r="O585" s="336" t="s">
        <v>1306</v>
      </c>
      <c r="P585" s="76" t="s">
        <v>27</v>
      </c>
      <c r="Q585" s="159">
        <v>4.5</v>
      </c>
      <c r="R585" s="159">
        <v>4.5</v>
      </c>
      <c r="S585" s="336" t="s">
        <v>1307</v>
      </c>
      <c r="T585" s="300">
        <v>2.0053879999999999</v>
      </c>
      <c r="U585" s="258">
        <f t="shared" si="53"/>
        <v>0.44564177777777775</v>
      </c>
      <c r="V585" s="259">
        <f>Q585</f>
        <v>4.5</v>
      </c>
      <c r="W585" s="260">
        <f>T585</f>
        <v>2.0053879999999999</v>
      </c>
      <c r="X585" s="249">
        <f>W585/V585</f>
        <v>0.44564177777777775</v>
      </c>
      <c r="Y585" s="249">
        <f>W585/M585</f>
        <v>7.908579523226612E-3</v>
      </c>
      <c r="Z585" s="247" t="s">
        <v>814</v>
      </c>
      <c r="AA585" s="98"/>
    </row>
    <row r="586" spans="1:27" ht="24">
      <c r="A586" s="475"/>
      <c r="B586" s="738">
        <v>12</v>
      </c>
      <c r="C586" s="740" t="s">
        <v>1308</v>
      </c>
      <c r="D586" s="768">
        <v>56412.58</v>
      </c>
      <c r="E586" s="743" t="s">
        <v>2246</v>
      </c>
      <c r="F586" s="740" t="s">
        <v>1309</v>
      </c>
      <c r="G586" s="748">
        <f>55220.54985*0.003</f>
        <v>165.66164955000002</v>
      </c>
      <c r="H586" s="748">
        <v>60</v>
      </c>
      <c r="I586" s="740" t="s">
        <v>1310</v>
      </c>
      <c r="J586" s="748" t="s">
        <v>2022</v>
      </c>
      <c r="K586" s="748" t="s">
        <v>163</v>
      </c>
      <c r="L586" s="748">
        <v>0</v>
      </c>
      <c r="M586" s="748">
        <v>2346.8733459999999</v>
      </c>
      <c r="N586" s="261" t="s">
        <v>1311</v>
      </c>
      <c r="O586" s="336" t="s">
        <v>1312</v>
      </c>
      <c r="P586" s="76" t="s">
        <v>27</v>
      </c>
      <c r="Q586" s="159">
        <v>3.3</v>
      </c>
      <c r="R586" s="159">
        <v>3</v>
      </c>
      <c r="S586" s="336" t="s">
        <v>1313</v>
      </c>
      <c r="T586" s="177"/>
      <c r="U586" s="246"/>
      <c r="V586" s="751">
        <f>SUM(Q586:Q592)</f>
        <v>318.3</v>
      </c>
      <c r="W586" s="751">
        <f>SUM(T586:T592)</f>
        <v>0</v>
      </c>
      <c r="X586" s="751"/>
      <c r="Y586" s="751"/>
      <c r="Z586" s="765" t="s">
        <v>167</v>
      </c>
      <c r="AA586" s="98"/>
    </row>
    <row r="587" spans="1:27">
      <c r="A587" s="475"/>
      <c r="B587" s="746"/>
      <c r="C587" s="747"/>
      <c r="D587" s="768"/>
      <c r="E587" s="743"/>
      <c r="F587" s="747"/>
      <c r="G587" s="749"/>
      <c r="H587" s="749"/>
      <c r="I587" s="747"/>
      <c r="J587" s="749"/>
      <c r="K587" s="749"/>
      <c r="L587" s="749"/>
      <c r="M587" s="749"/>
      <c r="N587" s="261" t="s">
        <v>1314</v>
      </c>
      <c r="O587" s="336" t="s">
        <v>1315</v>
      </c>
      <c r="P587" s="76" t="s">
        <v>27</v>
      </c>
      <c r="Q587" s="159" t="s">
        <v>1316</v>
      </c>
      <c r="R587" s="159"/>
      <c r="S587" s="336"/>
      <c r="T587" s="177"/>
      <c r="U587" s="336"/>
      <c r="V587" s="752"/>
      <c r="W587" s="752"/>
      <c r="X587" s="752"/>
      <c r="Y587" s="752"/>
      <c r="Z587" s="766"/>
      <c r="AA587" s="98"/>
    </row>
    <row r="588" spans="1:27">
      <c r="A588" s="475"/>
      <c r="B588" s="746"/>
      <c r="C588" s="747"/>
      <c r="D588" s="768"/>
      <c r="E588" s="743"/>
      <c r="F588" s="747"/>
      <c r="G588" s="749"/>
      <c r="H588" s="749"/>
      <c r="I588" s="747"/>
      <c r="J588" s="749"/>
      <c r="K588" s="749"/>
      <c r="L588" s="749"/>
      <c r="M588" s="749"/>
      <c r="N588" s="336" t="s">
        <v>1317</v>
      </c>
      <c r="O588" s="336" t="s">
        <v>1318</v>
      </c>
      <c r="P588" s="76" t="s">
        <v>27</v>
      </c>
      <c r="Q588" s="159" t="s">
        <v>1316</v>
      </c>
      <c r="R588" s="159"/>
      <c r="S588" s="336"/>
      <c r="T588" s="177"/>
      <c r="U588" s="336"/>
      <c r="V588" s="752"/>
      <c r="W588" s="752"/>
      <c r="X588" s="752"/>
      <c r="Y588" s="752"/>
      <c r="Z588" s="766"/>
      <c r="AA588" s="98"/>
    </row>
    <row r="589" spans="1:27">
      <c r="A589" s="475"/>
      <c r="B589" s="746"/>
      <c r="C589" s="747"/>
      <c r="D589" s="768"/>
      <c r="E589" s="743"/>
      <c r="F589" s="747"/>
      <c r="G589" s="749"/>
      <c r="H589" s="749"/>
      <c r="I589" s="747"/>
      <c r="J589" s="749"/>
      <c r="K589" s="749"/>
      <c r="L589" s="749"/>
      <c r="M589" s="749"/>
      <c r="N589" s="261" t="s">
        <v>1319</v>
      </c>
      <c r="O589" s="336" t="s">
        <v>1320</v>
      </c>
      <c r="P589" s="76" t="s">
        <v>27</v>
      </c>
      <c r="Q589" s="159">
        <v>90</v>
      </c>
      <c r="R589" s="159">
        <v>50</v>
      </c>
      <c r="S589" s="336" t="s">
        <v>1313</v>
      </c>
      <c r="T589" s="177"/>
      <c r="U589" s="336"/>
      <c r="V589" s="752"/>
      <c r="W589" s="752"/>
      <c r="X589" s="752"/>
      <c r="Y589" s="752"/>
      <c r="Z589" s="766"/>
      <c r="AA589" s="98"/>
    </row>
    <row r="590" spans="1:27" ht="24" hidden="1">
      <c r="A590" s="475"/>
      <c r="B590" s="746"/>
      <c r="C590" s="747"/>
      <c r="D590" s="768"/>
      <c r="E590" s="743"/>
      <c r="F590" s="747"/>
      <c r="G590" s="749"/>
      <c r="H590" s="749"/>
      <c r="I590" s="747"/>
      <c r="J590" s="749"/>
      <c r="K590" s="749"/>
      <c r="L590" s="749"/>
      <c r="M590" s="749"/>
      <c r="N590" s="261" t="s">
        <v>1321</v>
      </c>
      <c r="O590" s="336" t="s">
        <v>1322</v>
      </c>
      <c r="P590" s="76" t="s">
        <v>36</v>
      </c>
      <c r="Q590" s="159">
        <v>210</v>
      </c>
      <c r="R590" s="159">
        <v>210</v>
      </c>
      <c r="S590" s="336" t="s">
        <v>1313</v>
      </c>
      <c r="T590" s="177"/>
      <c r="U590" s="336"/>
      <c r="V590" s="752"/>
      <c r="W590" s="752"/>
      <c r="X590" s="752"/>
      <c r="Y590" s="752"/>
      <c r="Z590" s="766"/>
      <c r="AA590" s="98"/>
    </row>
    <row r="591" spans="1:27" hidden="1">
      <c r="A591" s="475"/>
      <c r="B591" s="746"/>
      <c r="C591" s="747"/>
      <c r="D591" s="768"/>
      <c r="E591" s="743"/>
      <c r="F591" s="747"/>
      <c r="G591" s="749"/>
      <c r="H591" s="749"/>
      <c r="I591" s="747"/>
      <c r="J591" s="749"/>
      <c r="K591" s="749"/>
      <c r="L591" s="749"/>
      <c r="M591" s="749"/>
      <c r="N591" s="261" t="s">
        <v>1323</v>
      </c>
      <c r="O591" s="336" t="s">
        <v>1324</v>
      </c>
      <c r="P591" s="76" t="s">
        <v>36</v>
      </c>
      <c r="Q591" s="159">
        <v>15</v>
      </c>
      <c r="R591" s="159">
        <v>15</v>
      </c>
      <c r="S591" s="336" t="s">
        <v>1313</v>
      </c>
      <c r="T591" s="177"/>
      <c r="U591" s="336"/>
      <c r="V591" s="752"/>
      <c r="W591" s="752"/>
      <c r="X591" s="752"/>
      <c r="Y591" s="752"/>
      <c r="Z591" s="766"/>
      <c r="AA591" s="98"/>
    </row>
    <row r="592" spans="1:27" hidden="1">
      <c r="A592" s="475"/>
      <c r="B592" s="746"/>
      <c r="C592" s="747"/>
      <c r="D592" s="768"/>
      <c r="E592" s="743"/>
      <c r="F592" s="747"/>
      <c r="G592" s="749"/>
      <c r="H592" s="749"/>
      <c r="I592" s="747"/>
      <c r="J592" s="749"/>
      <c r="K592" s="750"/>
      <c r="L592" s="750"/>
      <c r="M592" s="750"/>
      <c r="N592" s="261" t="s">
        <v>1325</v>
      </c>
      <c r="O592" s="336" t="s">
        <v>1324</v>
      </c>
      <c r="P592" s="76" t="s">
        <v>36</v>
      </c>
      <c r="Q592" s="159" t="s">
        <v>1326</v>
      </c>
      <c r="R592" s="159"/>
      <c r="S592" s="336"/>
      <c r="T592" s="177"/>
      <c r="U592" s="336"/>
      <c r="V592" s="753"/>
      <c r="W592" s="753"/>
      <c r="X592" s="753"/>
      <c r="Y592" s="753"/>
      <c r="Z592" s="767"/>
      <c r="AA592" s="98"/>
    </row>
    <row r="593" spans="1:27" ht="36" hidden="1">
      <c r="A593" s="475"/>
      <c r="B593" s="738">
        <v>13</v>
      </c>
      <c r="C593" s="740" t="s">
        <v>1327</v>
      </c>
      <c r="D593" s="742">
        <v>16493.399990999998</v>
      </c>
      <c r="E593" s="743" t="s">
        <v>2247</v>
      </c>
      <c r="F593" s="740" t="s">
        <v>24</v>
      </c>
      <c r="G593" s="748">
        <f>38.6012-2.5</f>
        <v>36.101199999999999</v>
      </c>
      <c r="H593" s="748">
        <v>2.5</v>
      </c>
      <c r="I593" s="740" t="s">
        <v>17</v>
      </c>
      <c r="J593" s="748">
        <v>14.99339</v>
      </c>
      <c r="K593" s="748" t="s">
        <v>163</v>
      </c>
      <c r="L593" s="763">
        <v>0</v>
      </c>
      <c r="M593" s="748">
        <f>SUM(G593,H593,J593,L593)</f>
        <v>53.594589999999997</v>
      </c>
      <c r="N593" s="336" t="s">
        <v>1328</v>
      </c>
      <c r="O593" s="336" t="s">
        <v>1329</v>
      </c>
      <c r="P593" s="76" t="s">
        <v>36</v>
      </c>
      <c r="Q593" s="159">
        <v>14</v>
      </c>
      <c r="R593" s="159">
        <v>21.2637</v>
      </c>
      <c r="S593" s="336" t="s">
        <v>1330</v>
      </c>
      <c r="T593" s="177">
        <v>16.260000000000002</v>
      </c>
      <c r="U593" s="246">
        <f>T593/Q593</f>
        <v>1.1614285714285715</v>
      </c>
      <c r="V593" s="751">
        <f>SUM(Q593:Q594)</f>
        <v>14.82</v>
      </c>
      <c r="W593" s="751">
        <f>SUM(T593:T594)</f>
        <v>16.828100000000003</v>
      </c>
      <c r="X593" s="754">
        <f>W593/V593</f>
        <v>1.1354993252361676</v>
      </c>
      <c r="Y593" s="754">
        <f>W593/M593</f>
        <v>0.31398878133035452</v>
      </c>
      <c r="Z593" s="247" t="s">
        <v>1331</v>
      </c>
      <c r="AA593" s="98"/>
    </row>
    <row r="594" spans="1:27" ht="96">
      <c r="A594" s="475"/>
      <c r="B594" s="746"/>
      <c r="C594" s="747"/>
      <c r="D594" s="742"/>
      <c r="E594" s="743"/>
      <c r="F594" s="747"/>
      <c r="G594" s="749"/>
      <c r="H594" s="749"/>
      <c r="I594" s="747"/>
      <c r="J594" s="749"/>
      <c r="K594" s="749"/>
      <c r="L594" s="764"/>
      <c r="M594" s="749"/>
      <c r="N594" s="349" t="s">
        <v>1332</v>
      </c>
      <c r="O594" s="349" t="s">
        <v>1333</v>
      </c>
      <c r="P594" s="76" t="s">
        <v>27</v>
      </c>
      <c r="Q594" s="262">
        <v>0.82</v>
      </c>
      <c r="R594" s="262">
        <v>0.82</v>
      </c>
      <c r="S594" s="349"/>
      <c r="T594" s="350">
        <v>0.56810000000000005</v>
      </c>
      <c r="U594" s="263">
        <f>T594/Q594</f>
        <v>0.69280487804878055</v>
      </c>
      <c r="V594" s="753"/>
      <c r="W594" s="753"/>
      <c r="X594" s="756"/>
      <c r="Y594" s="756"/>
      <c r="Z594" s="351" t="s">
        <v>1331</v>
      </c>
      <c r="AA594" s="98"/>
    </row>
    <row r="595" spans="1:27" hidden="1">
      <c r="A595" s="475" t="s">
        <v>1526</v>
      </c>
      <c r="B595" s="757">
        <v>1</v>
      </c>
      <c r="C595" s="758" t="s">
        <v>1335</v>
      </c>
      <c r="D595" s="759">
        <v>95967.8</v>
      </c>
      <c r="E595" s="759" t="s">
        <v>2248</v>
      </c>
      <c r="F595" s="758" t="s">
        <v>1336</v>
      </c>
      <c r="G595" s="762">
        <v>122.703592</v>
      </c>
      <c r="H595" s="762"/>
      <c r="I595" s="758" t="s">
        <v>1337</v>
      </c>
      <c r="J595" s="762">
        <v>134.92482799999999</v>
      </c>
      <c r="K595" s="782" t="s">
        <v>163</v>
      </c>
      <c r="L595" s="782" t="s">
        <v>163</v>
      </c>
      <c r="M595" s="762">
        <f>SUM(G595,H595,J595,L595)</f>
        <v>257.62842000000001</v>
      </c>
      <c r="N595" s="353">
        <v>2010.07</v>
      </c>
      <c r="O595" s="353" t="s">
        <v>1338</v>
      </c>
      <c r="P595" s="76" t="s">
        <v>36</v>
      </c>
      <c r="Q595" s="79">
        <v>37.119100000000003</v>
      </c>
      <c r="R595" s="79">
        <v>37.119100000000003</v>
      </c>
      <c r="S595" s="80"/>
      <c r="T595" s="301">
        <v>36.0867</v>
      </c>
      <c r="U595" s="82">
        <f>T595/Q595</f>
        <v>0.97218682565040637</v>
      </c>
      <c r="V595" s="769">
        <f>SUM(Q595:Q617)</f>
        <v>181.11660799999996</v>
      </c>
      <c r="W595" s="769">
        <f>SUM(T595:T617)</f>
        <v>145.042148</v>
      </c>
      <c r="X595" s="772">
        <f>W595/V595</f>
        <v>0.80082191026899108</v>
      </c>
      <c r="Y595" s="772">
        <f>W595/M595</f>
        <v>0.56298970431911199</v>
      </c>
      <c r="Z595" s="356" t="s">
        <v>894</v>
      </c>
      <c r="AA595" s="98"/>
    </row>
    <row r="596" spans="1:27" ht="24" hidden="1">
      <c r="A596" s="475"/>
      <c r="B596" s="757"/>
      <c r="C596" s="758"/>
      <c r="D596" s="760"/>
      <c r="E596" s="760"/>
      <c r="F596" s="758"/>
      <c r="G596" s="762"/>
      <c r="H596" s="762"/>
      <c r="I596" s="758"/>
      <c r="J596" s="762"/>
      <c r="K596" s="782"/>
      <c r="L596" s="782"/>
      <c r="M596" s="762"/>
      <c r="N596" s="353">
        <v>2011.06</v>
      </c>
      <c r="O596" s="353" t="s">
        <v>1339</v>
      </c>
      <c r="P596" s="76" t="s">
        <v>36</v>
      </c>
      <c r="Q596" s="79">
        <v>1.0768260000000001</v>
      </c>
      <c r="R596" s="79">
        <v>1.0768260000000001</v>
      </c>
      <c r="S596" s="80"/>
      <c r="T596" s="301">
        <v>1.0768260000000001</v>
      </c>
      <c r="U596" s="82">
        <f>T596/Q596</f>
        <v>1</v>
      </c>
      <c r="V596" s="770"/>
      <c r="W596" s="770"/>
      <c r="X596" s="773"/>
      <c r="Y596" s="773"/>
      <c r="Z596" s="356" t="s">
        <v>894</v>
      </c>
      <c r="AA596" s="98"/>
    </row>
    <row r="597" spans="1:27" ht="24" hidden="1">
      <c r="A597" s="475"/>
      <c r="B597" s="757"/>
      <c r="C597" s="758"/>
      <c r="D597" s="760"/>
      <c r="E597" s="760"/>
      <c r="F597" s="758"/>
      <c r="G597" s="762"/>
      <c r="H597" s="762"/>
      <c r="I597" s="758"/>
      <c r="J597" s="762"/>
      <c r="K597" s="782"/>
      <c r="L597" s="782"/>
      <c r="M597" s="762"/>
      <c r="N597" s="353">
        <v>2012.07</v>
      </c>
      <c r="O597" s="353" t="s">
        <v>1339</v>
      </c>
      <c r="P597" s="76" t="s">
        <v>36</v>
      </c>
      <c r="Q597" s="79">
        <v>17.184740000000001</v>
      </c>
      <c r="R597" s="79">
        <v>17.184740000000001</v>
      </c>
      <c r="S597" s="80"/>
      <c r="T597" s="301">
        <v>17.184740000000001</v>
      </c>
      <c r="U597" s="82">
        <f>T597/Q597</f>
        <v>1</v>
      </c>
      <c r="V597" s="770"/>
      <c r="W597" s="770"/>
      <c r="X597" s="773"/>
      <c r="Y597" s="773"/>
      <c r="Z597" s="356" t="s">
        <v>894</v>
      </c>
      <c r="AA597" s="98"/>
    </row>
    <row r="598" spans="1:27" ht="60">
      <c r="A598" s="475"/>
      <c r="B598" s="757"/>
      <c r="C598" s="758"/>
      <c r="D598" s="760"/>
      <c r="E598" s="760"/>
      <c r="F598" s="758"/>
      <c r="G598" s="762"/>
      <c r="H598" s="762"/>
      <c r="I598" s="758"/>
      <c r="J598" s="762"/>
      <c r="K598" s="782"/>
      <c r="L598" s="782"/>
      <c r="M598" s="762"/>
      <c r="N598" s="83" t="s">
        <v>1340</v>
      </c>
      <c r="O598" s="353" t="s">
        <v>1341</v>
      </c>
      <c r="P598" s="76" t="s">
        <v>27</v>
      </c>
      <c r="Q598" s="79">
        <v>2</v>
      </c>
      <c r="R598" s="79">
        <v>2</v>
      </c>
      <c r="S598" s="80"/>
      <c r="T598" s="301">
        <v>1.4</v>
      </c>
      <c r="U598" s="82">
        <f t="shared" ref="U598:U619" si="54">T598/Q598</f>
        <v>0.7</v>
      </c>
      <c r="V598" s="770"/>
      <c r="W598" s="770"/>
      <c r="X598" s="773"/>
      <c r="Y598" s="773"/>
      <c r="Z598" s="356" t="s">
        <v>894</v>
      </c>
      <c r="AA598" s="98"/>
    </row>
    <row r="599" spans="1:27" ht="24">
      <c r="A599" s="475"/>
      <c r="B599" s="757"/>
      <c r="C599" s="758"/>
      <c r="D599" s="760"/>
      <c r="E599" s="760"/>
      <c r="F599" s="758"/>
      <c r="G599" s="762"/>
      <c r="H599" s="762"/>
      <c r="I599" s="758"/>
      <c r="J599" s="762"/>
      <c r="K599" s="782"/>
      <c r="L599" s="782"/>
      <c r="M599" s="762"/>
      <c r="N599" s="83" t="s">
        <v>1342</v>
      </c>
      <c r="O599" s="353" t="s">
        <v>1343</v>
      </c>
      <c r="P599" s="76" t="s">
        <v>27</v>
      </c>
      <c r="Q599" s="79">
        <v>1.4294260000000001</v>
      </c>
      <c r="R599" s="79">
        <v>1.4294260000000001</v>
      </c>
      <c r="S599" s="80"/>
      <c r="T599" s="301">
        <v>0.85765499999999995</v>
      </c>
      <c r="U599" s="82">
        <f t="shared" si="54"/>
        <v>0.59999958025109368</v>
      </c>
      <c r="V599" s="770"/>
      <c r="W599" s="770"/>
      <c r="X599" s="773"/>
      <c r="Y599" s="773"/>
      <c r="Z599" s="356" t="s">
        <v>894</v>
      </c>
      <c r="AA599" s="98"/>
    </row>
    <row r="600" spans="1:27" ht="48">
      <c r="A600" s="475"/>
      <c r="B600" s="757"/>
      <c r="C600" s="758"/>
      <c r="D600" s="760"/>
      <c r="E600" s="760"/>
      <c r="F600" s="758"/>
      <c r="G600" s="762"/>
      <c r="H600" s="762"/>
      <c r="I600" s="758"/>
      <c r="J600" s="762"/>
      <c r="K600" s="782"/>
      <c r="L600" s="782"/>
      <c r="M600" s="762"/>
      <c r="N600" s="83" t="s">
        <v>1342</v>
      </c>
      <c r="O600" s="353" t="s">
        <v>1344</v>
      </c>
      <c r="P600" s="76" t="s">
        <v>27</v>
      </c>
      <c r="Q600" s="79">
        <v>14</v>
      </c>
      <c r="R600" s="79">
        <v>14</v>
      </c>
      <c r="S600" s="80"/>
      <c r="T600" s="301">
        <v>8.4</v>
      </c>
      <c r="U600" s="82">
        <f t="shared" si="54"/>
        <v>0.6</v>
      </c>
      <c r="V600" s="770"/>
      <c r="W600" s="770"/>
      <c r="X600" s="773"/>
      <c r="Y600" s="773"/>
      <c r="Z600" s="356" t="s">
        <v>894</v>
      </c>
      <c r="AA600" s="98"/>
    </row>
    <row r="601" spans="1:27" ht="24">
      <c r="A601" s="475"/>
      <c r="B601" s="757"/>
      <c r="C601" s="758"/>
      <c r="D601" s="760"/>
      <c r="E601" s="760"/>
      <c r="F601" s="758"/>
      <c r="G601" s="762"/>
      <c r="H601" s="762"/>
      <c r="I601" s="758"/>
      <c r="J601" s="762"/>
      <c r="K601" s="782"/>
      <c r="L601" s="782"/>
      <c r="M601" s="762"/>
      <c r="N601" s="83" t="s">
        <v>1345</v>
      </c>
      <c r="O601" s="353" t="s">
        <v>1346</v>
      </c>
      <c r="P601" s="76" t="s">
        <v>27</v>
      </c>
      <c r="Q601" s="79">
        <v>0.23675199999999999</v>
      </c>
      <c r="R601" s="79">
        <v>0.23675199999999999</v>
      </c>
      <c r="S601" s="80"/>
      <c r="T601" s="301">
        <v>0.21307600000000002</v>
      </c>
      <c r="U601" s="82">
        <f t="shared" si="54"/>
        <v>0.89999662093667643</v>
      </c>
      <c r="V601" s="770"/>
      <c r="W601" s="770"/>
      <c r="X601" s="773"/>
      <c r="Y601" s="773"/>
      <c r="Z601" s="356" t="s">
        <v>894</v>
      </c>
      <c r="AA601" s="98"/>
    </row>
    <row r="602" spans="1:27" ht="24">
      <c r="A602" s="475"/>
      <c r="B602" s="757"/>
      <c r="C602" s="758"/>
      <c r="D602" s="760"/>
      <c r="E602" s="760"/>
      <c r="F602" s="758"/>
      <c r="G602" s="762"/>
      <c r="H602" s="762"/>
      <c r="I602" s="758"/>
      <c r="J602" s="762"/>
      <c r="K602" s="782"/>
      <c r="L602" s="782"/>
      <c r="M602" s="762"/>
      <c r="N602" s="83" t="s">
        <v>1347</v>
      </c>
      <c r="O602" s="353"/>
      <c r="P602" s="76" t="s">
        <v>27</v>
      </c>
      <c r="Q602" s="79">
        <v>0.54606399999999999</v>
      </c>
      <c r="R602" s="79">
        <v>0.54606399999999999</v>
      </c>
      <c r="S602" s="80"/>
      <c r="T602" s="301">
        <v>0.54606299999999997</v>
      </c>
      <c r="U602" s="82">
        <f t="shared" si="54"/>
        <v>0.99999816871282476</v>
      </c>
      <c r="V602" s="770"/>
      <c r="W602" s="770"/>
      <c r="X602" s="773"/>
      <c r="Y602" s="773"/>
      <c r="Z602" s="356" t="s">
        <v>894</v>
      </c>
      <c r="AA602" s="98"/>
    </row>
    <row r="603" spans="1:27" ht="36">
      <c r="A603" s="475"/>
      <c r="B603" s="757"/>
      <c r="C603" s="758"/>
      <c r="D603" s="760"/>
      <c r="E603" s="760"/>
      <c r="F603" s="758"/>
      <c r="G603" s="762"/>
      <c r="H603" s="762"/>
      <c r="I603" s="758"/>
      <c r="J603" s="762"/>
      <c r="K603" s="782"/>
      <c r="L603" s="782"/>
      <c r="M603" s="762"/>
      <c r="N603" s="83" t="s">
        <v>1348</v>
      </c>
      <c r="O603" s="353" t="s">
        <v>1349</v>
      </c>
      <c r="P603" s="76" t="s">
        <v>27</v>
      </c>
      <c r="Q603" s="79">
        <v>0.145172</v>
      </c>
      <c r="R603" s="79">
        <v>0.145172</v>
      </c>
      <c r="S603" s="80"/>
      <c r="T603" s="301">
        <v>0.11613800000000001</v>
      </c>
      <c r="U603" s="82">
        <f t="shared" si="54"/>
        <v>0.80000275535227183</v>
      </c>
      <c r="V603" s="770"/>
      <c r="W603" s="770"/>
      <c r="X603" s="773"/>
      <c r="Y603" s="773"/>
      <c r="Z603" s="356" t="s">
        <v>894</v>
      </c>
      <c r="AA603" s="98"/>
    </row>
    <row r="604" spans="1:27" ht="24">
      <c r="A604" s="475"/>
      <c r="B604" s="757"/>
      <c r="C604" s="758"/>
      <c r="D604" s="760"/>
      <c r="E604" s="760"/>
      <c r="F604" s="758"/>
      <c r="G604" s="762"/>
      <c r="H604" s="762"/>
      <c r="I604" s="758"/>
      <c r="J604" s="762"/>
      <c r="K604" s="782"/>
      <c r="L604" s="782"/>
      <c r="M604" s="762"/>
      <c r="N604" s="83" t="s">
        <v>1350</v>
      </c>
      <c r="O604" s="353" t="s">
        <v>1351</v>
      </c>
      <c r="P604" s="76" t="s">
        <v>27</v>
      </c>
      <c r="Q604" s="79">
        <v>1.3012620000000001</v>
      </c>
      <c r="R604" s="79">
        <v>1.3012620000000001</v>
      </c>
      <c r="S604" s="80"/>
      <c r="T604" s="301">
        <v>1.301261</v>
      </c>
      <c r="U604" s="82">
        <f t="shared" si="54"/>
        <v>0.99999923151525205</v>
      </c>
      <c r="V604" s="770"/>
      <c r="W604" s="770"/>
      <c r="X604" s="773"/>
      <c r="Y604" s="773"/>
      <c r="Z604" s="356" t="s">
        <v>894</v>
      </c>
      <c r="AA604" s="98"/>
    </row>
    <row r="605" spans="1:27" ht="36">
      <c r="A605" s="475"/>
      <c r="B605" s="757"/>
      <c r="C605" s="758"/>
      <c r="D605" s="760"/>
      <c r="E605" s="760"/>
      <c r="F605" s="758"/>
      <c r="G605" s="762"/>
      <c r="H605" s="762"/>
      <c r="I605" s="758"/>
      <c r="J605" s="762"/>
      <c r="K605" s="782"/>
      <c r="L605" s="782"/>
      <c r="M605" s="762"/>
      <c r="N605" s="83" t="s">
        <v>1352</v>
      </c>
      <c r="O605" s="353" t="s">
        <v>1353</v>
      </c>
      <c r="P605" s="76" t="s">
        <v>27</v>
      </c>
      <c r="Q605" s="79">
        <v>0.20862399999999998</v>
      </c>
      <c r="R605" s="79">
        <v>0.20862399999999998</v>
      </c>
      <c r="S605" s="80"/>
      <c r="T605" s="301">
        <v>0.208623</v>
      </c>
      <c r="U605" s="82">
        <f t="shared" si="54"/>
        <v>0.99999520668762953</v>
      </c>
      <c r="V605" s="770"/>
      <c r="W605" s="770"/>
      <c r="X605" s="773"/>
      <c r="Y605" s="773"/>
      <c r="Z605" s="356" t="s">
        <v>894</v>
      </c>
      <c r="AA605" s="98"/>
    </row>
    <row r="606" spans="1:27" ht="24">
      <c r="A606" s="475"/>
      <c r="B606" s="757"/>
      <c r="C606" s="758"/>
      <c r="D606" s="760"/>
      <c r="E606" s="760"/>
      <c r="F606" s="758"/>
      <c r="G606" s="762"/>
      <c r="H606" s="762"/>
      <c r="I606" s="758"/>
      <c r="J606" s="762"/>
      <c r="K606" s="782"/>
      <c r="L606" s="782"/>
      <c r="M606" s="762"/>
      <c r="N606" s="83" t="s">
        <v>1354</v>
      </c>
      <c r="O606" s="353" t="s">
        <v>1355</v>
      </c>
      <c r="P606" s="76" t="s">
        <v>27</v>
      </c>
      <c r="Q606" s="79">
        <v>0.95379199999999997</v>
      </c>
      <c r="R606" s="79">
        <v>0.95379199999999997</v>
      </c>
      <c r="S606" s="80"/>
      <c r="T606" s="301">
        <v>0.95379099999999994</v>
      </c>
      <c r="U606" s="82">
        <f t="shared" si="54"/>
        <v>0.99999895155337848</v>
      </c>
      <c r="V606" s="770"/>
      <c r="W606" s="770"/>
      <c r="X606" s="773"/>
      <c r="Y606" s="773"/>
      <c r="Z606" s="356" t="s">
        <v>894</v>
      </c>
      <c r="AA606" s="98"/>
    </row>
    <row r="607" spans="1:27" ht="36">
      <c r="A607" s="475"/>
      <c r="B607" s="757"/>
      <c r="C607" s="758"/>
      <c r="D607" s="760"/>
      <c r="E607" s="760"/>
      <c r="F607" s="758"/>
      <c r="G607" s="762"/>
      <c r="H607" s="762"/>
      <c r="I607" s="758"/>
      <c r="J607" s="762"/>
      <c r="K607" s="782"/>
      <c r="L607" s="782"/>
      <c r="M607" s="762"/>
      <c r="N607" s="83" t="s">
        <v>1356</v>
      </c>
      <c r="O607" s="353" t="s">
        <v>1357</v>
      </c>
      <c r="P607" s="76" t="s">
        <v>27</v>
      </c>
      <c r="Q607" s="79">
        <v>0.18653800000000001</v>
      </c>
      <c r="R607" s="79">
        <v>0.18653800000000001</v>
      </c>
      <c r="S607" s="80"/>
      <c r="T607" s="301">
        <v>0.18653699999999998</v>
      </c>
      <c r="U607" s="82">
        <f t="shared" si="54"/>
        <v>0.9999946391619936</v>
      </c>
      <c r="V607" s="770"/>
      <c r="W607" s="770"/>
      <c r="X607" s="773"/>
      <c r="Y607" s="773"/>
      <c r="Z607" s="356" t="s">
        <v>894</v>
      </c>
      <c r="AA607" s="98"/>
    </row>
    <row r="608" spans="1:27" ht="48">
      <c r="A608" s="475"/>
      <c r="B608" s="757"/>
      <c r="C608" s="758"/>
      <c r="D608" s="760"/>
      <c r="E608" s="760"/>
      <c r="F608" s="758"/>
      <c r="G608" s="762"/>
      <c r="H608" s="762"/>
      <c r="I608" s="758"/>
      <c r="J608" s="762"/>
      <c r="K608" s="782"/>
      <c r="L608" s="782"/>
      <c r="M608" s="762"/>
      <c r="N608" s="83" t="s">
        <v>1358</v>
      </c>
      <c r="O608" s="353" t="s">
        <v>1359</v>
      </c>
      <c r="P608" s="76" t="s">
        <v>27</v>
      </c>
      <c r="Q608" s="79">
        <v>22</v>
      </c>
      <c r="R608" s="79">
        <v>22</v>
      </c>
      <c r="S608" s="80"/>
      <c r="T608" s="301">
        <v>22</v>
      </c>
      <c r="U608" s="82">
        <f t="shared" si="54"/>
        <v>1</v>
      </c>
      <c r="V608" s="770"/>
      <c r="W608" s="770"/>
      <c r="X608" s="773"/>
      <c r="Y608" s="773"/>
      <c r="Z608" s="356" t="s">
        <v>894</v>
      </c>
      <c r="AA608" s="98"/>
    </row>
    <row r="609" spans="1:27" ht="24">
      <c r="A609" s="475"/>
      <c r="B609" s="757"/>
      <c r="C609" s="758"/>
      <c r="D609" s="760"/>
      <c r="E609" s="760"/>
      <c r="F609" s="758"/>
      <c r="G609" s="762"/>
      <c r="H609" s="762"/>
      <c r="I609" s="758"/>
      <c r="J609" s="762"/>
      <c r="K609" s="782"/>
      <c r="L609" s="782"/>
      <c r="M609" s="762"/>
      <c r="N609" s="83" t="s">
        <v>1360</v>
      </c>
      <c r="O609" s="353" t="s">
        <v>1361</v>
      </c>
      <c r="P609" s="76" t="s">
        <v>27</v>
      </c>
      <c r="Q609" s="79">
        <v>20</v>
      </c>
      <c r="R609" s="79">
        <v>20</v>
      </c>
      <c r="S609" s="80"/>
      <c r="T609" s="301">
        <v>18</v>
      </c>
      <c r="U609" s="82">
        <f t="shared" si="54"/>
        <v>0.9</v>
      </c>
      <c r="V609" s="770"/>
      <c r="W609" s="770"/>
      <c r="X609" s="773"/>
      <c r="Y609" s="773"/>
      <c r="Z609" s="356" t="s">
        <v>894</v>
      </c>
      <c r="AA609" s="98"/>
    </row>
    <row r="610" spans="1:27" ht="24">
      <c r="A610" s="475"/>
      <c r="B610" s="757"/>
      <c r="C610" s="758"/>
      <c r="D610" s="760"/>
      <c r="E610" s="760"/>
      <c r="F610" s="758"/>
      <c r="G610" s="762"/>
      <c r="H610" s="762"/>
      <c r="I610" s="758"/>
      <c r="J610" s="762"/>
      <c r="K610" s="782"/>
      <c r="L610" s="782"/>
      <c r="M610" s="762"/>
      <c r="N610" s="83" t="s">
        <v>1362</v>
      </c>
      <c r="O610" s="353" t="s">
        <v>1363</v>
      </c>
      <c r="P610" s="76" t="s">
        <v>27</v>
      </c>
      <c r="Q610" s="79">
        <v>0.63533600000000001</v>
      </c>
      <c r="R610" s="79">
        <v>0.63533600000000001</v>
      </c>
      <c r="S610" s="80"/>
      <c r="T610" s="301">
        <v>0.63533600000000001</v>
      </c>
      <c r="U610" s="82">
        <f t="shared" si="54"/>
        <v>1</v>
      </c>
      <c r="V610" s="770"/>
      <c r="W610" s="770"/>
      <c r="X610" s="773"/>
      <c r="Y610" s="773"/>
      <c r="Z610" s="356" t="s">
        <v>894</v>
      </c>
      <c r="AA610" s="98"/>
    </row>
    <row r="611" spans="1:27" ht="24">
      <c r="A611" s="475"/>
      <c r="B611" s="757"/>
      <c r="C611" s="758"/>
      <c r="D611" s="760"/>
      <c r="E611" s="760"/>
      <c r="F611" s="758"/>
      <c r="G611" s="762"/>
      <c r="H611" s="762"/>
      <c r="I611" s="758"/>
      <c r="J611" s="762"/>
      <c r="K611" s="782"/>
      <c r="L611" s="782"/>
      <c r="M611" s="762"/>
      <c r="N611" s="83" t="s">
        <v>1364</v>
      </c>
      <c r="O611" s="353" t="s">
        <v>1365</v>
      </c>
      <c r="P611" s="76" t="s">
        <v>27</v>
      </c>
      <c r="Q611" s="79">
        <v>0.8838959999999999</v>
      </c>
      <c r="R611" s="79">
        <v>0.8838959999999999</v>
      </c>
      <c r="S611" s="80"/>
      <c r="T611" s="301">
        <v>0.8838950000000001</v>
      </c>
      <c r="U611" s="82">
        <f t="shared" si="54"/>
        <v>0.99999886864518017</v>
      </c>
      <c r="V611" s="770"/>
      <c r="W611" s="770"/>
      <c r="X611" s="773"/>
      <c r="Y611" s="773"/>
      <c r="Z611" s="356" t="s">
        <v>894</v>
      </c>
      <c r="AA611" s="98"/>
    </row>
    <row r="612" spans="1:27" ht="24">
      <c r="A612" s="475"/>
      <c r="B612" s="757"/>
      <c r="C612" s="758"/>
      <c r="D612" s="760"/>
      <c r="E612" s="760"/>
      <c r="F612" s="758"/>
      <c r="G612" s="762"/>
      <c r="H612" s="762"/>
      <c r="I612" s="758"/>
      <c r="J612" s="762"/>
      <c r="K612" s="782"/>
      <c r="L612" s="782"/>
      <c r="M612" s="762"/>
      <c r="N612" s="83" t="s">
        <v>1364</v>
      </c>
      <c r="O612" s="353" t="s">
        <v>1366</v>
      </c>
      <c r="P612" s="76" t="s">
        <v>27</v>
      </c>
      <c r="Q612" s="79">
        <v>0.159634</v>
      </c>
      <c r="R612" s="79">
        <v>0.159634</v>
      </c>
      <c r="S612" s="80"/>
      <c r="T612" s="301">
        <v>0.159634</v>
      </c>
      <c r="U612" s="82">
        <f t="shared" si="54"/>
        <v>1</v>
      </c>
      <c r="V612" s="770"/>
      <c r="W612" s="770"/>
      <c r="X612" s="773"/>
      <c r="Y612" s="773"/>
      <c r="Z612" s="356" t="s">
        <v>894</v>
      </c>
      <c r="AA612" s="98"/>
    </row>
    <row r="613" spans="1:27" ht="24">
      <c r="A613" s="475"/>
      <c r="B613" s="757"/>
      <c r="C613" s="758"/>
      <c r="D613" s="760"/>
      <c r="E613" s="760"/>
      <c r="F613" s="758"/>
      <c r="G613" s="762"/>
      <c r="H613" s="762"/>
      <c r="I613" s="758"/>
      <c r="J613" s="762"/>
      <c r="K613" s="782"/>
      <c r="L613" s="782"/>
      <c r="M613" s="762"/>
      <c r="N613" s="83"/>
      <c r="O613" s="353" t="s">
        <v>1367</v>
      </c>
      <c r="P613" s="76" t="s">
        <v>27</v>
      </c>
      <c r="Q613" s="79">
        <v>0.50551800000000002</v>
      </c>
      <c r="R613" s="79">
        <v>0.50551800000000002</v>
      </c>
      <c r="S613" s="80"/>
      <c r="T613" s="301">
        <v>0.50551699999999999</v>
      </c>
      <c r="U613" s="82">
        <f t="shared" si="54"/>
        <v>0.99999802183107223</v>
      </c>
      <c r="V613" s="770"/>
      <c r="W613" s="770"/>
      <c r="X613" s="773"/>
      <c r="Y613" s="773"/>
      <c r="Z613" s="356" t="s">
        <v>894</v>
      </c>
      <c r="AA613" s="98"/>
    </row>
    <row r="614" spans="1:27" ht="24">
      <c r="A614" s="475"/>
      <c r="B614" s="757"/>
      <c r="C614" s="758"/>
      <c r="D614" s="760"/>
      <c r="E614" s="760"/>
      <c r="F614" s="758"/>
      <c r="G614" s="762"/>
      <c r="H614" s="762"/>
      <c r="I614" s="758"/>
      <c r="J614" s="762"/>
      <c r="K614" s="782"/>
      <c r="L614" s="782"/>
      <c r="M614" s="762"/>
      <c r="N614" s="83" t="s">
        <v>1368</v>
      </c>
      <c r="O614" s="353" t="s">
        <v>1369</v>
      </c>
      <c r="P614" s="76" t="s">
        <v>27</v>
      </c>
      <c r="Q614" s="79">
        <v>0.54392799999999997</v>
      </c>
      <c r="R614" s="79">
        <v>0.54392799999999997</v>
      </c>
      <c r="S614" s="80"/>
      <c r="T614" s="301">
        <v>0.32635599999999998</v>
      </c>
      <c r="U614" s="82">
        <f t="shared" si="54"/>
        <v>0.59999852921710228</v>
      </c>
      <c r="V614" s="770"/>
      <c r="W614" s="770"/>
      <c r="X614" s="773"/>
      <c r="Y614" s="773"/>
      <c r="Z614" s="356" t="s">
        <v>894</v>
      </c>
      <c r="AA614" s="98"/>
    </row>
    <row r="615" spans="1:27" ht="24">
      <c r="A615" s="475"/>
      <c r="B615" s="757"/>
      <c r="C615" s="758"/>
      <c r="D615" s="760"/>
      <c r="E615" s="760"/>
      <c r="F615" s="758"/>
      <c r="G615" s="762"/>
      <c r="H615" s="762"/>
      <c r="I615" s="758"/>
      <c r="J615" s="762"/>
      <c r="K615" s="782"/>
      <c r="L615" s="782"/>
      <c r="M615" s="762"/>
      <c r="N615" s="83" t="s">
        <v>1370</v>
      </c>
      <c r="O615" s="353" t="s">
        <v>1371</v>
      </c>
      <c r="P615" s="76" t="s">
        <v>27</v>
      </c>
      <c r="Q615" s="79">
        <v>20</v>
      </c>
      <c r="R615" s="79">
        <v>20</v>
      </c>
      <c r="S615" s="80"/>
      <c r="T615" s="301">
        <v>12</v>
      </c>
      <c r="U615" s="82">
        <f t="shared" si="54"/>
        <v>0.6</v>
      </c>
      <c r="V615" s="770"/>
      <c r="W615" s="770"/>
      <c r="X615" s="773"/>
      <c r="Y615" s="773"/>
      <c r="Z615" s="356" t="s">
        <v>894</v>
      </c>
      <c r="AA615" s="98"/>
    </row>
    <row r="616" spans="1:27" ht="24">
      <c r="A616" s="475"/>
      <c r="B616" s="757"/>
      <c r="C616" s="758"/>
      <c r="D616" s="760"/>
      <c r="E616" s="760"/>
      <c r="F616" s="758"/>
      <c r="G616" s="762"/>
      <c r="H616" s="762"/>
      <c r="I616" s="758"/>
      <c r="J616" s="762"/>
      <c r="K616" s="782"/>
      <c r="L616" s="782"/>
      <c r="M616" s="762"/>
      <c r="N616" s="83" t="s">
        <v>1372</v>
      </c>
      <c r="O616" s="353" t="s">
        <v>1373</v>
      </c>
      <c r="P616" s="76" t="s">
        <v>27</v>
      </c>
      <c r="Q616" s="79">
        <v>20</v>
      </c>
      <c r="R616" s="79">
        <v>20</v>
      </c>
      <c r="S616" s="80"/>
      <c r="T616" s="301">
        <v>10</v>
      </c>
      <c r="U616" s="82">
        <f t="shared" si="54"/>
        <v>0.5</v>
      </c>
      <c r="V616" s="770"/>
      <c r="W616" s="770"/>
      <c r="X616" s="773"/>
      <c r="Y616" s="773"/>
      <c r="Z616" s="356" t="s">
        <v>894</v>
      </c>
      <c r="AA616" s="98"/>
    </row>
    <row r="617" spans="1:27" ht="24">
      <c r="A617" s="475"/>
      <c r="B617" s="757"/>
      <c r="C617" s="758"/>
      <c r="D617" s="761"/>
      <c r="E617" s="761"/>
      <c r="F617" s="758"/>
      <c r="G617" s="762"/>
      <c r="H617" s="762"/>
      <c r="I617" s="758"/>
      <c r="J617" s="762"/>
      <c r="K617" s="782"/>
      <c r="L617" s="782"/>
      <c r="M617" s="762"/>
      <c r="N617" s="83" t="s">
        <v>1372</v>
      </c>
      <c r="O617" s="353" t="s">
        <v>1373</v>
      </c>
      <c r="P617" s="76" t="s">
        <v>27</v>
      </c>
      <c r="Q617" s="79">
        <v>20</v>
      </c>
      <c r="R617" s="79">
        <v>20</v>
      </c>
      <c r="S617" s="80"/>
      <c r="T617" s="301">
        <v>12</v>
      </c>
      <c r="U617" s="82">
        <f t="shared" si="54"/>
        <v>0.6</v>
      </c>
      <c r="V617" s="771"/>
      <c r="W617" s="771"/>
      <c r="X617" s="774"/>
      <c r="Y617" s="774"/>
      <c r="Z617" s="356" t="s">
        <v>894</v>
      </c>
      <c r="AA617" s="98"/>
    </row>
    <row r="618" spans="1:27" ht="48" hidden="1">
      <c r="A618" s="475"/>
      <c r="B618" s="775">
        <v>2</v>
      </c>
      <c r="C618" s="776" t="s">
        <v>1374</v>
      </c>
      <c r="D618" s="777">
        <v>78310.210000000006</v>
      </c>
      <c r="E618" s="779" t="s">
        <v>2249</v>
      </c>
      <c r="F618" s="776" t="s">
        <v>1375</v>
      </c>
      <c r="G618" s="781">
        <v>270.29538710000003</v>
      </c>
      <c r="H618" s="781"/>
      <c r="I618" s="776" t="s">
        <v>1376</v>
      </c>
      <c r="J618" s="781">
        <v>37.965944</v>
      </c>
      <c r="K618" s="795" t="s">
        <v>163</v>
      </c>
      <c r="L618" s="795" t="s">
        <v>163</v>
      </c>
      <c r="M618" s="781">
        <f>SUM(G618,H618,J618,L618)</f>
        <v>308.26133110000001</v>
      </c>
      <c r="N618" s="83" t="s">
        <v>1377</v>
      </c>
      <c r="O618" s="353" t="s">
        <v>1378</v>
      </c>
      <c r="P618" s="76" t="s">
        <v>36</v>
      </c>
      <c r="Q618" s="79">
        <v>200.94749999999999</v>
      </c>
      <c r="R618" s="79">
        <v>200.94749999999999</v>
      </c>
      <c r="S618" s="80" t="s">
        <v>1379</v>
      </c>
      <c r="T618" s="301">
        <v>120.81887500000001</v>
      </c>
      <c r="U618" s="82">
        <f t="shared" si="54"/>
        <v>0.60124597220667098</v>
      </c>
      <c r="V618" s="769">
        <f>SUM(Q618:Q619)</f>
        <v>340.08472273999996</v>
      </c>
      <c r="W618" s="769">
        <f>SUM(T618:T619)</f>
        <v>173.43237500000001</v>
      </c>
      <c r="X618" s="772">
        <f>W618/V618</f>
        <v>0.50996814441615401</v>
      </c>
      <c r="Y618" s="772">
        <f>W618/M618</f>
        <v>0.56261476060303695</v>
      </c>
      <c r="Z618" s="356" t="s">
        <v>381</v>
      </c>
      <c r="AA618" s="98"/>
    </row>
    <row r="619" spans="1:27" ht="72" hidden="1">
      <c r="A619" s="475"/>
      <c r="B619" s="775"/>
      <c r="C619" s="776"/>
      <c r="D619" s="778"/>
      <c r="E619" s="780"/>
      <c r="F619" s="776"/>
      <c r="G619" s="781"/>
      <c r="H619" s="781"/>
      <c r="I619" s="776"/>
      <c r="J619" s="781"/>
      <c r="K619" s="795"/>
      <c r="L619" s="795"/>
      <c r="M619" s="781"/>
      <c r="N619" s="83" t="s">
        <v>1380</v>
      </c>
      <c r="O619" s="353" t="s">
        <v>1381</v>
      </c>
      <c r="P619" s="76" t="s">
        <v>36</v>
      </c>
      <c r="Q619" s="79">
        <v>139.13722274</v>
      </c>
      <c r="R619" s="79">
        <v>139.13722274</v>
      </c>
      <c r="S619" s="80" t="s">
        <v>163</v>
      </c>
      <c r="T619" s="301">
        <v>52.613500000000002</v>
      </c>
      <c r="U619" s="82">
        <f t="shared" si="54"/>
        <v>0.37814108233507493</v>
      </c>
      <c r="V619" s="796"/>
      <c r="W619" s="796"/>
      <c r="X619" s="774"/>
      <c r="Y619" s="774"/>
      <c r="Z619" s="356" t="s">
        <v>381</v>
      </c>
      <c r="AA619" s="98"/>
    </row>
    <row r="620" spans="1:27" ht="24">
      <c r="A620" s="475"/>
      <c r="B620" s="790">
        <v>3</v>
      </c>
      <c r="C620" s="791" t="s">
        <v>1382</v>
      </c>
      <c r="D620" s="792">
        <v>61667.6</v>
      </c>
      <c r="E620" s="792" t="s">
        <v>2250</v>
      </c>
      <c r="F620" s="791" t="s">
        <v>1383</v>
      </c>
      <c r="G620" s="788">
        <f>420.544694/4</f>
        <v>105.1361735</v>
      </c>
      <c r="H620" s="788">
        <v>5</v>
      </c>
      <c r="I620" s="791" t="s">
        <v>1383</v>
      </c>
      <c r="J620" s="788">
        <f>279.950854/4</f>
        <v>69.987713499999998</v>
      </c>
      <c r="K620" s="789" t="s">
        <v>663</v>
      </c>
      <c r="L620" s="789" t="s">
        <v>663</v>
      </c>
      <c r="M620" s="788">
        <f>SUM(G620,H620,J620,L620)</f>
        <v>180.123887</v>
      </c>
      <c r="N620" s="83" t="s">
        <v>1384</v>
      </c>
      <c r="O620" s="83" t="s">
        <v>1385</v>
      </c>
      <c r="P620" s="76" t="s">
        <v>27</v>
      </c>
      <c r="Q620" s="79">
        <f>(56628.95+2226.77)/10000</f>
        <v>5.8855719999999998</v>
      </c>
      <c r="R620" s="79">
        <f>(56628.95+2226.77+40*50)/10000</f>
        <v>6.0855719999999991</v>
      </c>
      <c r="S620" s="353" t="s">
        <v>65</v>
      </c>
      <c r="T620" s="301">
        <v>4.6257999999999999</v>
      </c>
      <c r="U620" s="82">
        <f>T620/Q620</f>
        <v>0.78595589349684281</v>
      </c>
      <c r="V620" s="769">
        <f>SUM(Q620:Q638)</f>
        <v>56.739801240000006</v>
      </c>
      <c r="W620" s="769">
        <f>SUM(T620:T638)</f>
        <v>12.632864</v>
      </c>
      <c r="X620" s="772">
        <f>W620/M620</f>
        <v>7.0134307061672507E-2</v>
      </c>
      <c r="Y620" s="772">
        <f>W620/M620</f>
        <v>7.0134307061672507E-2</v>
      </c>
      <c r="Z620" s="84" t="s">
        <v>1386</v>
      </c>
      <c r="AA620" s="98"/>
    </row>
    <row r="621" spans="1:27" ht="36">
      <c r="A621" s="475"/>
      <c r="B621" s="790"/>
      <c r="C621" s="791"/>
      <c r="D621" s="793"/>
      <c r="E621" s="793"/>
      <c r="F621" s="791"/>
      <c r="G621" s="788"/>
      <c r="H621" s="788"/>
      <c r="I621" s="791"/>
      <c r="J621" s="788"/>
      <c r="K621" s="789"/>
      <c r="L621" s="789"/>
      <c r="M621" s="788"/>
      <c r="N621" s="83" t="s">
        <v>630</v>
      </c>
      <c r="O621" s="83" t="s">
        <v>1387</v>
      </c>
      <c r="P621" s="76" t="s">
        <v>27</v>
      </c>
      <c r="Q621" s="79">
        <f>(260+6097.6)/10000</f>
        <v>0.63575999999999999</v>
      </c>
      <c r="R621" s="79">
        <f>(260+6097.6+30*50+60000)/10000</f>
        <v>6.7857600000000007</v>
      </c>
      <c r="S621" s="353" t="s">
        <v>1388</v>
      </c>
      <c r="T621" s="301">
        <v>0.52585400000000004</v>
      </c>
      <c r="U621" s="82">
        <f t="shared" ref="U621" si="55">T621/Q621</f>
        <v>0.82712658864980504</v>
      </c>
      <c r="V621" s="770"/>
      <c r="W621" s="770"/>
      <c r="X621" s="773"/>
      <c r="Y621" s="773"/>
      <c r="Z621" s="84" t="s">
        <v>1386</v>
      </c>
      <c r="AA621" s="98"/>
    </row>
    <row r="622" spans="1:27" ht="48">
      <c r="A622" s="475"/>
      <c r="B622" s="790"/>
      <c r="C622" s="791"/>
      <c r="D622" s="793"/>
      <c r="E622" s="793"/>
      <c r="F622" s="791"/>
      <c r="G622" s="788"/>
      <c r="H622" s="788"/>
      <c r="I622" s="791"/>
      <c r="J622" s="788"/>
      <c r="K622" s="789"/>
      <c r="L622" s="789"/>
      <c r="M622" s="788"/>
      <c r="N622" s="83" t="s">
        <v>964</v>
      </c>
      <c r="O622" s="83" t="s">
        <v>1389</v>
      </c>
      <c r="P622" s="76" t="s">
        <v>27</v>
      </c>
      <c r="Q622" s="79">
        <f>4974.75/10000</f>
        <v>0.497475</v>
      </c>
      <c r="R622" s="79">
        <f>(4974.75+50*14)/10000</f>
        <v>0.56747499999999995</v>
      </c>
      <c r="S622" s="353" t="s">
        <v>1390</v>
      </c>
      <c r="T622" s="301">
        <v>0.453239</v>
      </c>
      <c r="U622" s="82">
        <f>T622/Q622</f>
        <v>0.91107894869088901</v>
      </c>
      <c r="V622" s="770"/>
      <c r="W622" s="770"/>
      <c r="X622" s="773"/>
      <c r="Y622" s="773"/>
      <c r="Z622" s="84" t="s">
        <v>1386</v>
      </c>
      <c r="AA622" s="98"/>
    </row>
    <row r="623" spans="1:27" ht="60">
      <c r="A623" s="475"/>
      <c r="B623" s="790"/>
      <c r="C623" s="791"/>
      <c r="D623" s="793"/>
      <c r="E623" s="793"/>
      <c r="F623" s="791"/>
      <c r="G623" s="788"/>
      <c r="H623" s="788"/>
      <c r="I623" s="791"/>
      <c r="J623" s="788"/>
      <c r="K623" s="789"/>
      <c r="L623" s="789"/>
      <c r="M623" s="788"/>
      <c r="N623" s="83" t="s">
        <v>271</v>
      </c>
      <c r="O623" s="83" t="s">
        <v>1391</v>
      </c>
      <c r="P623" s="76" t="s">
        <v>27</v>
      </c>
      <c r="Q623" s="79">
        <f>2418.3/10000</f>
        <v>0.24183000000000002</v>
      </c>
      <c r="R623" s="79">
        <f>(2418.3+50*24)/10000</f>
        <v>0.36183000000000004</v>
      </c>
      <c r="S623" s="353" t="s">
        <v>1392</v>
      </c>
      <c r="T623" s="301">
        <v>0.29400799999999999</v>
      </c>
      <c r="U623" s="82">
        <f>T623/Q623</f>
        <v>1.2157631393954429</v>
      </c>
      <c r="V623" s="770"/>
      <c r="W623" s="770"/>
      <c r="X623" s="773"/>
      <c r="Y623" s="773"/>
      <c r="Z623" s="84" t="s">
        <v>1386</v>
      </c>
      <c r="AA623" s="98"/>
    </row>
    <row r="624" spans="1:27" ht="36">
      <c r="A624" s="475"/>
      <c r="B624" s="790"/>
      <c r="C624" s="791"/>
      <c r="D624" s="793"/>
      <c r="E624" s="793"/>
      <c r="F624" s="791"/>
      <c r="G624" s="788"/>
      <c r="H624" s="788"/>
      <c r="I624" s="791"/>
      <c r="J624" s="788"/>
      <c r="K624" s="789"/>
      <c r="L624" s="789"/>
      <c r="M624" s="788"/>
      <c r="N624" s="83" t="s">
        <v>1393</v>
      </c>
      <c r="O624" s="83" t="s">
        <v>1394</v>
      </c>
      <c r="P624" s="76" t="s">
        <v>27</v>
      </c>
      <c r="Q624" s="79">
        <f>92769.16/10000</f>
        <v>9.2769159999999999</v>
      </c>
      <c r="R624" s="79">
        <f>(92769.16+59*50)/10000</f>
        <v>9.5719159999999999</v>
      </c>
      <c r="S624" s="353" t="s">
        <v>65</v>
      </c>
      <c r="T624" s="301">
        <v>6.7339630000000001</v>
      </c>
      <c r="U624" s="82">
        <f>T624/Q624</f>
        <v>0.72588379586491891</v>
      </c>
      <c r="V624" s="770"/>
      <c r="W624" s="770"/>
      <c r="X624" s="773"/>
      <c r="Y624" s="773"/>
      <c r="Z624" s="84" t="s">
        <v>1386</v>
      </c>
      <c r="AA624" s="98"/>
    </row>
    <row r="625" spans="1:27" ht="48">
      <c r="A625" s="475"/>
      <c r="B625" s="790"/>
      <c r="C625" s="791"/>
      <c r="D625" s="793"/>
      <c r="E625" s="793"/>
      <c r="F625" s="791"/>
      <c r="G625" s="788"/>
      <c r="H625" s="788"/>
      <c r="I625" s="791"/>
      <c r="J625" s="788"/>
      <c r="K625" s="789"/>
      <c r="L625" s="789"/>
      <c r="M625" s="788"/>
      <c r="N625" s="83" t="s">
        <v>1395</v>
      </c>
      <c r="O625" s="83" t="s">
        <v>1396</v>
      </c>
      <c r="P625" s="76" t="s">
        <v>27</v>
      </c>
      <c r="Q625" s="79">
        <v>0.43738700000000003</v>
      </c>
      <c r="R625" s="79">
        <f>0.437387+0.005*13</f>
        <v>0.50238700000000003</v>
      </c>
      <c r="S625" s="81"/>
      <c r="T625" s="302" t="s">
        <v>1397</v>
      </c>
      <c r="U625" s="82"/>
      <c r="V625" s="770"/>
      <c r="W625" s="770"/>
      <c r="X625" s="773"/>
      <c r="Y625" s="773"/>
      <c r="Z625" s="84" t="s">
        <v>1386</v>
      </c>
      <c r="AA625" s="98"/>
    </row>
    <row r="626" spans="1:27" ht="36">
      <c r="A626" s="475"/>
      <c r="B626" s="790"/>
      <c r="C626" s="791"/>
      <c r="D626" s="793"/>
      <c r="E626" s="793"/>
      <c r="F626" s="791"/>
      <c r="G626" s="788"/>
      <c r="H626" s="788"/>
      <c r="I626" s="791"/>
      <c r="J626" s="788"/>
      <c r="K626" s="789"/>
      <c r="L626" s="789"/>
      <c r="M626" s="788"/>
      <c r="N626" s="83" t="s">
        <v>300</v>
      </c>
      <c r="O626" s="83" t="s">
        <v>1398</v>
      </c>
      <c r="P626" s="76" t="s">
        <v>27</v>
      </c>
      <c r="Q626" s="79">
        <v>0.54474599999999995</v>
      </c>
      <c r="R626" s="79">
        <f>0.544746+0.005*17</f>
        <v>0.62974599999999992</v>
      </c>
      <c r="S626" s="81"/>
      <c r="T626" s="302" t="s">
        <v>1397</v>
      </c>
      <c r="U626" s="82"/>
      <c r="V626" s="770"/>
      <c r="W626" s="770"/>
      <c r="X626" s="773"/>
      <c r="Y626" s="773"/>
      <c r="Z626" s="84" t="s">
        <v>1386</v>
      </c>
      <c r="AA626" s="98"/>
    </row>
    <row r="627" spans="1:27" ht="36">
      <c r="A627" s="475"/>
      <c r="B627" s="790"/>
      <c r="C627" s="791"/>
      <c r="D627" s="793"/>
      <c r="E627" s="793"/>
      <c r="F627" s="791"/>
      <c r="G627" s="788"/>
      <c r="H627" s="788"/>
      <c r="I627" s="791"/>
      <c r="J627" s="788"/>
      <c r="K627" s="789"/>
      <c r="L627" s="789"/>
      <c r="M627" s="788"/>
      <c r="N627" s="83" t="s">
        <v>1399</v>
      </c>
      <c r="O627" s="83" t="s">
        <v>1400</v>
      </c>
      <c r="P627" s="76" t="s">
        <v>27</v>
      </c>
      <c r="Q627" s="79">
        <f>0.29944+1.240781</f>
        <v>1.5402209999999998</v>
      </c>
      <c r="R627" s="79">
        <f>0.29944+1.240781+0.005*18</f>
        <v>1.6302209999999999</v>
      </c>
      <c r="S627" s="81"/>
      <c r="T627" s="302" t="s">
        <v>1397</v>
      </c>
      <c r="U627" s="82"/>
      <c r="V627" s="770"/>
      <c r="W627" s="770"/>
      <c r="X627" s="773"/>
      <c r="Y627" s="773"/>
      <c r="Z627" s="84" t="s">
        <v>1386</v>
      </c>
      <c r="AA627" s="98"/>
    </row>
    <row r="628" spans="1:27" ht="36">
      <c r="A628" s="475"/>
      <c r="B628" s="790"/>
      <c r="C628" s="791"/>
      <c r="D628" s="793"/>
      <c r="E628" s="793"/>
      <c r="F628" s="791"/>
      <c r="G628" s="788"/>
      <c r="H628" s="788"/>
      <c r="I628" s="791"/>
      <c r="J628" s="788"/>
      <c r="K628" s="789"/>
      <c r="L628" s="789"/>
      <c r="M628" s="788"/>
      <c r="N628" s="83" t="s">
        <v>1401</v>
      </c>
      <c r="O628" s="83" t="s">
        <v>1402</v>
      </c>
      <c r="P628" s="76" t="s">
        <v>27</v>
      </c>
      <c r="Q628" s="79"/>
      <c r="R628" s="79"/>
      <c r="S628" s="81"/>
      <c r="T628" s="302" t="s">
        <v>1397</v>
      </c>
      <c r="U628" s="82"/>
      <c r="V628" s="770"/>
      <c r="W628" s="770"/>
      <c r="X628" s="773"/>
      <c r="Y628" s="773"/>
      <c r="Z628" s="84" t="s">
        <v>1386</v>
      </c>
      <c r="AA628" s="98"/>
    </row>
    <row r="629" spans="1:27" ht="48">
      <c r="A629" s="475"/>
      <c r="B629" s="790"/>
      <c r="C629" s="791"/>
      <c r="D629" s="793"/>
      <c r="E629" s="793"/>
      <c r="F629" s="791"/>
      <c r="G629" s="788"/>
      <c r="H629" s="788"/>
      <c r="I629" s="791"/>
      <c r="J629" s="788"/>
      <c r="K629" s="789"/>
      <c r="L629" s="789"/>
      <c r="M629" s="788"/>
      <c r="N629" s="83" t="s">
        <v>1403</v>
      </c>
      <c r="O629" s="83" t="s">
        <v>1404</v>
      </c>
      <c r="P629" s="76" t="s">
        <v>27</v>
      </c>
      <c r="Q629" s="79">
        <v>4.7116439999999997</v>
      </c>
      <c r="R629" s="79">
        <f>4.711644+0.005*10</f>
        <v>4.7616439999999995</v>
      </c>
      <c r="S629" s="81"/>
      <c r="T629" s="302" t="s">
        <v>1397</v>
      </c>
      <c r="U629" s="82"/>
      <c r="V629" s="770"/>
      <c r="W629" s="770"/>
      <c r="X629" s="773"/>
      <c r="Y629" s="773"/>
      <c r="Z629" s="84" t="s">
        <v>1386</v>
      </c>
      <c r="AA629" s="98"/>
    </row>
    <row r="630" spans="1:27" ht="36">
      <c r="A630" s="475"/>
      <c r="B630" s="790"/>
      <c r="C630" s="791"/>
      <c r="D630" s="793"/>
      <c r="E630" s="793"/>
      <c r="F630" s="791"/>
      <c r="G630" s="788"/>
      <c r="H630" s="788"/>
      <c r="I630" s="791"/>
      <c r="J630" s="788"/>
      <c r="K630" s="789"/>
      <c r="L630" s="789"/>
      <c r="M630" s="788"/>
      <c r="N630" s="83" t="s">
        <v>1405</v>
      </c>
      <c r="O630" s="83" t="s">
        <v>1406</v>
      </c>
      <c r="P630" s="76" t="s">
        <v>27</v>
      </c>
      <c r="Q630" s="79" t="s">
        <v>1407</v>
      </c>
      <c r="R630" s="79"/>
      <c r="S630" s="81"/>
      <c r="T630" s="302" t="s">
        <v>1397</v>
      </c>
      <c r="U630" s="82"/>
      <c r="V630" s="770"/>
      <c r="W630" s="770"/>
      <c r="X630" s="773"/>
      <c r="Y630" s="773"/>
      <c r="Z630" s="84" t="s">
        <v>1386</v>
      </c>
      <c r="AA630" s="98"/>
    </row>
    <row r="631" spans="1:27" ht="36" hidden="1">
      <c r="A631" s="475"/>
      <c r="B631" s="790"/>
      <c r="C631" s="791"/>
      <c r="D631" s="793"/>
      <c r="E631" s="793"/>
      <c r="F631" s="791"/>
      <c r="G631" s="788"/>
      <c r="H631" s="788"/>
      <c r="I631" s="791"/>
      <c r="J631" s="788"/>
      <c r="K631" s="789"/>
      <c r="L631" s="789"/>
      <c r="M631" s="788"/>
      <c r="N631" s="83" t="s">
        <v>1408</v>
      </c>
      <c r="O631" s="83" t="s">
        <v>1409</v>
      </c>
      <c r="P631" s="76" t="s">
        <v>36</v>
      </c>
      <c r="Q631" s="79">
        <v>20</v>
      </c>
      <c r="R631" s="79">
        <v>20</v>
      </c>
      <c r="S631" s="81"/>
      <c r="T631" s="302" t="s">
        <v>1397</v>
      </c>
      <c r="U631" s="82"/>
      <c r="V631" s="770"/>
      <c r="W631" s="770"/>
      <c r="X631" s="773"/>
      <c r="Y631" s="773"/>
      <c r="Z631" s="84" t="s">
        <v>1386</v>
      </c>
      <c r="AA631" s="98"/>
    </row>
    <row r="632" spans="1:27" ht="36">
      <c r="A632" s="475"/>
      <c r="B632" s="790"/>
      <c r="C632" s="791"/>
      <c r="D632" s="793"/>
      <c r="E632" s="793"/>
      <c r="F632" s="791"/>
      <c r="G632" s="788"/>
      <c r="H632" s="788"/>
      <c r="I632" s="791"/>
      <c r="J632" s="788"/>
      <c r="K632" s="789"/>
      <c r="L632" s="789"/>
      <c r="M632" s="788"/>
      <c r="N632" s="83" t="s">
        <v>1410</v>
      </c>
      <c r="O632" s="83" t="s">
        <v>1411</v>
      </c>
      <c r="P632" s="76" t="s">
        <v>27</v>
      </c>
      <c r="Q632" s="79" t="s">
        <v>1407</v>
      </c>
      <c r="R632" s="79"/>
      <c r="S632" s="81"/>
      <c r="T632" s="302" t="s">
        <v>1397</v>
      </c>
      <c r="U632" s="82"/>
      <c r="V632" s="770"/>
      <c r="W632" s="770"/>
      <c r="X632" s="773"/>
      <c r="Y632" s="773"/>
      <c r="Z632" s="84" t="s">
        <v>1386</v>
      </c>
      <c r="AA632" s="98"/>
    </row>
    <row r="633" spans="1:27" ht="36">
      <c r="A633" s="475"/>
      <c r="B633" s="790"/>
      <c r="C633" s="791"/>
      <c r="D633" s="793"/>
      <c r="E633" s="793"/>
      <c r="F633" s="791"/>
      <c r="G633" s="788"/>
      <c r="H633" s="788"/>
      <c r="I633" s="791"/>
      <c r="J633" s="788"/>
      <c r="K633" s="789"/>
      <c r="L633" s="789"/>
      <c r="M633" s="788"/>
      <c r="N633" s="83" t="s">
        <v>347</v>
      </c>
      <c r="O633" s="83" t="s">
        <v>1412</v>
      </c>
      <c r="P633" s="76" t="s">
        <v>27</v>
      </c>
      <c r="Q633" s="79" t="s">
        <v>1407</v>
      </c>
      <c r="R633" s="79"/>
      <c r="S633" s="81"/>
      <c r="T633" s="302" t="s">
        <v>1397</v>
      </c>
      <c r="U633" s="82"/>
      <c r="V633" s="770"/>
      <c r="W633" s="770"/>
      <c r="X633" s="773"/>
      <c r="Y633" s="773"/>
      <c r="Z633" s="84" t="s">
        <v>1386</v>
      </c>
      <c r="AA633" s="98"/>
    </row>
    <row r="634" spans="1:27" ht="36">
      <c r="A634" s="475"/>
      <c r="B634" s="790"/>
      <c r="C634" s="791"/>
      <c r="D634" s="793"/>
      <c r="E634" s="793"/>
      <c r="F634" s="791"/>
      <c r="G634" s="788"/>
      <c r="H634" s="788"/>
      <c r="I634" s="791"/>
      <c r="J634" s="788"/>
      <c r="K634" s="789"/>
      <c r="L634" s="789"/>
      <c r="M634" s="788"/>
      <c r="N634" s="83" t="s">
        <v>1413</v>
      </c>
      <c r="O634" s="83" t="s">
        <v>1414</v>
      </c>
      <c r="P634" s="76" t="s">
        <v>27</v>
      </c>
      <c r="Q634" s="79" t="s">
        <v>1407</v>
      </c>
      <c r="R634" s="79"/>
      <c r="S634" s="81"/>
      <c r="T634" s="302" t="s">
        <v>1397</v>
      </c>
      <c r="U634" s="82"/>
      <c r="V634" s="770"/>
      <c r="W634" s="770"/>
      <c r="X634" s="773"/>
      <c r="Y634" s="773"/>
      <c r="Z634" s="84" t="s">
        <v>1386</v>
      </c>
      <c r="AA634" s="98"/>
    </row>
    <row r="635" spans="1:27" ht="36">
      <c r="A635" s="475"/>
      <c r="B635" s="790"/>
      <c r="C635" s="791"/>
      <c r="D635" s="793"/>
      <c r="E635" s="793"/>
      <c r="F635" s="791"/>
      <c r="G635" s="788"/>
      <c r="H635" s="788"/>
      <c r="I635" s="791"/>
      <c r="J635" s="788"/>
      <c r="K635" s="789"/>
      <c r="L635" s="789"/>
      <c r="M635" s="788"/>
      <c r="N635" s="83" t="s">
        <v>1415</v>
      </c>
      <c r="O635" s="83" t="s">
        <v>1416</v>
      </c>
      <c r="P635" s="76" t="s">
        <v>27</v>
      </c>
      <c r="Q635" s="79" t="s">
        <v>1407</v>
      </c>
      <c r="R635" s="79"/>
      <c r="S635" s="81"/>
      <c r="T635" s="302" t="s">
        <v>1397</v>
      </c>
      <c r="U635" s="82"/>
      <c r="V635" s="770"/>
      <c r="W635" s="770"/>
      <c r="X635" s="773"/>
      <c r="Y635" s="773"/>
      <c r="Z635" s="84" t="s">
        <v>1386</v>
      </c>
      <c r="AA635" s="98"/>
    </row>
    <row r="636" spans="1:27" ht="36" hidden="1">
      <c r="A636" s="475"/>
      <c r="B636" s="790"/>
      <c r="C636" s="791"/>
      <c r="D636" s="793"/>
      <c r="E636" s="793"/>
      <c r="F636" s="791"/>
      <c r="G636" s="788"/>
      <c r="H636" s="788"/>
      <c r="I636" s="791"/>
      <c r="J636" s="788"/>
      <c r="K636" s="789"/>
      <c r="L636" s="789"/>
      <c r="M636" s="788"/>
      <c r="N636" s="83" t="s">
        <v>1417</v>
      </c>
      <c r="O636" s="83" t="s">
        <v>1418</v>
      </c>
      <c r="P636" s="76" t="s">
        <v>36</v>
      </c>
      <c r="Q636" s="79">
        <v>12.96825024</v>
      </c>
      <c r="R636" s="79">
        <v>12.96825024</v>
      </c>
      <c r="S636" s="81"/>
      <c r="T636" s="302" t="s">
        <v>1419</v>
      </c>
      <c r="U636" s="82"/>
      <c r="V636" s="770"/>
      <c r="W636" s="770"/>
      <c r="X636" s="773"/>
      <c r="Y636" s="773"/>
      <c r="Z636" s="84" t="s">
        <v>1386</v>
      </c>
      <c r="AA636" s="98"/>
    </row>
    <row r="637" spans="1:27" ht="36" hidden="1">
      <c r="A637" s="475"/>
      <c r="B637" s="790"/>
      <c r="C637" s="791"/>
      <c r="D637" s="793"/>
      <c r="E637" s="793"/>
      <c r="F637" s="791"/>
      <c r="G637" s="788"/>
      <c r="H637" s="788"/>
      <c r="I637" s="791"/>
      <c r="J637" s="788"/>
      <c r="K637" s="789"/>
      <c r="L637" s="789"/>
      <c r="M637" s="788"/>
      <c r="N637" s="83" t="s">
        <v>1420</v>
      </c>
      <c r="O637" s="83" t="s">
        <v>1421</v>
      </c>
      <c r="P637" s="76" t="s">
        <v>36</v>
      </c>
      <c r="Q637" s="79" t="s">
        <v>1407</v>
      </c>
      <c r="R637" s="79"/>
      <c r="S637" s="81"/>
      <c r="T637" s="302" t="s">
        <v>1397</v>
      </c>
      <c r="U637" s="82"/>
      <c r="V637" s="770"/>
      <c r="W637" s="770"/>
      <c r="X637" s="773"/>
      <c r="Y637" s="773"/>
      <c r="Z637" s="84" t="s">
        <v>1386</v>
      </c>
      <c r="AA637" s="98"/>
    </row>
    <row r="638" spans="1:27" ht="36" hidden="1">
      <c r="A638" s="475"/>
      <c r="B638" s="790"/>
      <c r="C638" s="791"/>
      <c r="D638" s="794"/>
      <c r="E638" s="794"/>
      <c r="F638" s="791"/>
      <c r="G638" s="788"/>
      <c r="H638" s="788"/>
      <c r="I638" s="791"/>
      <c r="J638" s="788"/>
      <c r="K638" s="789"/>
      <c r="L638" s="789"/>
      <c r="M638" s="788"/>
      <c r="N638" s="83" t="s">
        <v>1422</v>
      </c>
      <c r="O638" s="83" t="s">
        <v>1423</v>
      </c>
      <c r="P638" s="76" t="s">
        <v>36</v>
      </c>
      <c r="Q638" s="79" t="s">
        <v>1407</v>
      </c>
      <c r="R638" s="79"/>
      <c r="S638" s="81"/>
      <c r="T638" s="302" t="s">
        <v>1397</v>
      </c>
      <c r="U638" s="82"/>
      <c r="V638" s="771"/>
      <c r="W638" s="771"/>
      <c r="X638" s="774"/>
      <c r="Y638" s="774"/>
      <c r="Z638" s="84" t="s">
        <v>1386</v>
      </c>
      <c r="AA638" s="98"/>
    </row>
    <row r="639" spans="1:27" ht="24" hidden="1">
      <c r="A639" s="475"/>
      <c r="B639" s="775">
        <v>4</v>
      </c>
      <c r="C639" s="783" t="s">
        <v>1424</v>
      </c>
      <c r="D639" s="784">
        <v>59823.360000000001</v>
      </c>
      <c r="E639" s="784" t="s">
        <v>2251</v>
      </c>
      <c r="F639" s="783" t="s">
        <v>1425</v>
      </c>
      <c r="G639" s="787">
        <f>1601.395946/8</f>
        <v>200.17449325000001</v>
      </c>
      <c r="H639" s="787"/>
      <c r="I639" s="783" t="s">
        <v>1426</v>
      </c>
      <c r="J639" s="787">
        <f>7454774/10000/8</f>
        <v>93.184674999999999</v>
      </c>
      <c r="K639" s="798" t="s">
        <v>663</v>
      </c>
      <c r="L639" s="798" t="s">
        <v>663</v>
      </c>
      <c r="M639" s="787">
        <f>G639+J639</f>
        <v>293.35916825000004</v>
      </c>
      <c r="N639" s="83" t="s">
        <v>1427</v>
      </c>
      <c r="O639" s="353" t="s">
        <v>1428</v>
      </c>
      <c r="P639" s="76" t="s">
        <v>36</v>
      </c>
      <c r="Q639" s="79">
        <v>20</v>
      </c>
      <c r="R639" s="79">
        <v>20</v>
      </c>
      <c r="S639" s="354" t="s">
        <v>1429</v>
      </c>
      <c r="T639" s="302" t="s">
        <v>1429</v>
      </c>
      <c r="U639" s="82"/>
      <c r="V639" s="769">
        <f>SUM(Q639:Q649)</f>
        <v>202</v>
      </c>
      <c r="W639" s="769">
        <f>SUM(T639:T649)</f>
        <v>2.1170999999999998</v>
      </c>
      <c r="X639" s="772">
        <f>W639/V639</f>
        <v>1.0480693069306929E-2</v>
      </c>
      <c r="Y639" s="772">
        <f>W639/M639</f>
        <v>7.2167507585643676E-3</v>
      </c>
      <c r="Z639" s="336" t="s">
        <v>894</v>
      </c>
      <c r="AA639" s="98"/>
    </row>
    <row r="640" spans="1:27" ht="24" hidden="1">
      <c r="A640" s="475"/>
      <c r="B640" s="775"/>
      <c r="C640" s="783"/>
      <c r="D640" s="785"/>
      <c r="E640" s="785"/>
      <c r="F640" s="783"/>
      <c r="G640" s="787"/>
      <c r="H640" s="787"/>
      <c r="I640" s="783"/>
      <c r="J640" s="787"/>
      <c r="K640" s="798"/>
      <c r="L640" s="798"/>
      <c r="M640" s="787"/>
      <c r="N640" s="83" t="s">
        <v>1430</v>
      </c>
      <c r="O640" s="353" t="s">
        <v>1428</v>
      </c>
      <c r="P640" s="76" t="s">
        <v>36</v>
      </c>
      <c r="Q640" s="79">
        <v>20</v>
      </c>
      <c r="R640" s="79">
        <v>20</v>
      </c>
      <c r="S640" s="354" t="s">
        <v>1429</v>
      </c>
      <c r="T640" s="302" t="s">
        <v>1429</v>
      </c>
      <c r="U640" s="82"/>
      <c r="V640" s="770"/>
      <c r="W640" s="770"/>
      <c r="X640" s="773"/>
      <c r="Y640" s="773"/>
      <c r="Z640" s="336" t="s">
        <v>894</v>
      </c>
      <c r="AA640" s="98"/>
    </row>
    <row r="641" spans="1:27" ht="24" hidden="1">
      <c r="A641" s="475"/>
      <c r="B641" s="775"/>
      <c r="C641" s="783"/>
      <c r="D641" s="785"/>
      <c r="E641" s="785"/>
      <c r="F641" s="783"/>
      <c r="G641" s="787"/>
      <c r="H641" s="787"/>
      <c r="I641" s="783"/>
      <c r="J641" s="787"/>
      <c r="K641" s="798"/>
      <c r="L641" s="798"/>
      <c r="M641" s="787"/>
      <c r="N641" s="83" t="s">
        <v>1431</v>
      </c>
      <c r="O641" s="353" t="s">
        <v>1432</v>
      </c>
      <c r="P641" s="76" t="s">
        <v>36</v>
      </c>
      <c r="Q641" s="79">
        <v>20</v>
      </c>
      <c r="R641" s="79">
        <v>20</v>
      </c>
      <c r="S641" s="80" t="s">
        <v>1433</v>
      </c>
      <c r="T641" s="301">
        <v>1.744</v>
      </c>
      <c r="U641" s="82">
        <f>T641/Q641</f>
        <v>8.72E-2</v>
      </c>
      <c r="V641" s="770"/>
      <c r="W641" s="770"/>
      <c r="X641" s="773"/>
      <c r="Y641" s="773"/>
      <c r="Z641" s="336" t="s">
        <v>894</v>
      </c>
      <c r="AA641" s="98"/>
    </row>
    <row r="642" spans="1:27" ht="24" hidden="1">
      <c r="A642" s="475"/>
      <c r="B642" s="775"/>
      <c r="C642" s="783"/>
      <c r="D642" s="785"/>
      <c r="E642" s="785"/>
      <c r="F642" s="783"/>
      <c r="G642" s="787"/>
      <c r="H642" s="787"/>
      <c r="I642" s="783"/>
      <c r="J642" s="787"/>
      <c r="K642" s="798"/>
      <c r="L642" s="798"/>
      <c r="M642" s="787"/>
      <c r="N642" s="83" t="s">
        <v>1434</v>
      </c>
      <c r="O642" s="353" t="s">
        <v>1435</v>
      </c>
      <c r="P642" s="76" t="s">
        <v>36</v>
      </c>
      <c r="Q642" s="79">
        <v>2</v>
      </c>
      <c r="R642" s="79">
        <v>2</v>
      </c>
      <c r="S642" s="80" t="s">
        <v>1433</v>
      </c>
      <c r="T642" s="301">
        <v>0.37309999999999999</v>
      </c>
      <c r="U642" s="82">
        <f>T642/Q642</f>
        <v>0.18654999999999999</v>
      </c>
      <c r="V642" s="770"/>
      <c r="W642" s="770"/>
      <c r="X642" s="773"/>
      <c r="Y642" s="773"/>
      <c r="Z642" s="336" t="s">
        <v>894</v>
      </c>
      <c r="AA642" s="98"/>
    </row>
    <row r="643" spans="1:27" ht="24" hidden="1">
      <c r="A643" s="475"/>
      <c r="B643" s="775"/>
      <c r="C643" s="783"/>
      <c r="D643" s="785"/>
      <c r="E643" s="785"/>
      <c r="F643" s="783"/>
      <c r="G643" s="787"/>
      <c r="H643" s="787"/>
      <c r="I643" s="783"/>
      <c r="J643" s="787"/>
      <c r="K643" s="798"/>
      <c r="L643" s="798"/>
      <c r="M643" s="787"/>
      <c r="N643" s="83" t="s">
        <v>1436</v>
      </c>
      <c r="O643" s="353" t="s">
        <v>1437</v>
      </c>
      <c r="P643" s="76" t="s">
        <v>36</v>
      </c>
      <c r="Q643" s="79">
        <v>20</v>
      </c>
      <c r="R643" s="79">
        <v>20</v>
      </c>
      <c r="S643" s="354" t="s">
        <v>1429</v>
      </c>
      <c r="T643" s="302" t="s">
        <v>1438</v>
      </c>
      <c r="U643" s="82"/>
      <c r="V643" s="770"/>
      <c r="W643" s="770"/>
      <c r="X643" s="773"/>
      <c r="Y643" s="773"/>
      <c r="Z643" s="336" t="s">
        <v>894</v>
      </c>
      <c r="AA643" s="98"/>
    </row>
    <row r="644" spans="1:27" ht="36" hidden="1">
      <c r="A644" s="475"/>
      <c r="B644" s="775"/>
      <c r="C644" s="783"/>
      <c r="D644" s="785"/>
      <c r="E644" s="785"/>
      <c r="F644" s="783"/>
      <c r="G644" s="787"/>
      <c r="H644" s="787"/>
      <c r="I644" s="783"/>
      <c r="J644" s="787"/>
      <c r="K644" s="798"/>
      <c r="L644" s="798"/>
      <c r="M644" s="787"/>
      <c r="N644" s="83" t="s">
        <v>1439</v>
      </c>
      <c r="O644" s="353" t="s">
        <v>1440</v>
      </c>
      <c r="P644" s="76" t="s">
        <v>36</v>
      </c>
      <c r="Q644" s="79">
        <v>20</v>
      </c>
      <c r="R644" s="79">
        <v>20</v>
      </c>
      <c r="S644" s="354" t="s">
        <v>1429</v>
      </c>
      <c r="T644" s="302" t="s">
        <v>1429</v>
      </c>
      <c r="U644" s="82"/>
      <c r="V644" s="770"/>
      <c r="W644" s="770"/>
      <c r="X644" s="773"/>
      <c r="Y644" s="773"/>
      <c r="Z644" s="336" t="s">
        <v>894</v>
      </c>
      <c r="AA644" s="98"/>
    </row>
    <row r="645" spans="1:27" ht="24" hidden="1">
      <c r="A645" s="475"/>
      <c r="B645" s="775"/>
      <c r="C645" s="783"/>
      <c r="D645" s="785"/>
      <c r="E645" s="785"/>
      <c r="F645" s="783"/>
      <c r="G645" s="787"/>
      <c r="H645" s="787"/>
      <c r="I645" s="783"/>
      <c r="J645" s="787"/>
      <c r="K645" s="798"/>
      <c r="L645" s="798"/>
      <c r="M645" s="787"/>
      <c r="N645" s="83" t="s">
        <v>1441</v>
      </c>
      <c r="O645" s="353" t="s">
        <v>1442</v>
      </c>
      <c r="P645" s="76" t="s">
        <v>36</v>
      </c>
      <c r="Q645" s="79">
        <v>30</v>
      </c>
      <c r="R645" s="79">
        <v>30</v>
      </c>
      <c r="S645" s="354" t="s">
        <v>1429</v>
      </c>
      <c r="T645" s="302" t="s">
        <v>1429</v>
      </c>
      <c r="U645" s="82"/>
      <c r="V645" s="770"/>
      <c r="W645" s="770"/>
      <c r="X645" s="773"/>
      <c r="Y645" s="773"/>
      <c r="Z645" s="336" t="s">
        <v>894</v>
      </c>
      <c r="AA645" s="98"/>
    </row>
    <row r="646" spans="1:27" ht="24" hidden="1">
      <c r="A646" s="475"/>
      <c r="B646" s="775"/>
      <c r="C646" s="783"/>
      <c r="D646" s="785"/>
      <c r="E646" s="785"/>
      <c r="F646" s="783"/>
      <c r="G646" s="787"/>
      <c r="H646" s="787"/>
      <c r="I646" s="783"/>
      <c r="J646" s="787"/>
      <c r="K646" s="798"/>
      <c r="L646" s="798"/>
      <c r="M646" s="787"/>
      <c r="N646" s="83" t="s">
        <v>1443</v>
      </c>
      <c r="O646" s="353" t="s">
        <v>1444</v>
      </c>
      <c r="P646" s="76" t="s">
        <v>36</v>
      </c>
      <c r="Q646" s="79">
        <v>30</v>
      </c>
      <c r="R646" s="79">
        <v>30</v>
      </c>
      <c r="S646" s="354" t="s">
        <v>1429</v>
      </c>
      <c r="T646" s="302" t="s">
        <v>1429</v>
      </c>
      <c r="U646" s="82"/>
      <c r="V646" s="770"/>
      <c r="W646" s="770"/>
      <c r="X646" s="773"/>
      <c r="Y646" s="773"/>
      <c r="Z646" s="336" t="s">
        <v>894</v>
      </c>
      <c r="AA646" s="98"/>
    </row>
    <row r="647" spans="1:27" ht="36" hidden="1">
      <c r="A647" s="475"/>
      <c r="B647" s="775"/>
      <c r="C647" s="783"/>
      <c r="D647" s="785"/>
      <c r="E647" s="785"/>
      <c r="F647" s="783"/>
      <c r="G647" s="787"/>
      <c r="H647" s="787"/>
      <c r="I647" s="783"/>
      <c r="J647" s="787"/>
      <c r="K647" s="798"/>
      <c r="L647" s="798"/>
      <c r="M647" s="787"/>
      <c r="N647" s="83" t="s">
        <v>1445</v>
      </c>
      <c r="O647" s="353" t="s">
        <v>1446</v>
      </c>
      <c r="P647" s="76" t="s">
        <v>36</v>
      </c>
      <c r="Q647" s="79">
        <v>10</v>
      </c>
      <c r="R647" s="79">
        <v>10</v>
      </c>
      <c r="S647" s="354" t="s">
        <v>1429</v>
      </c>
      <c r="T647" s="302" t="s">
        <v>1429</v>
      </c>
      <c r="U647" s="82"/>
      <c r="V647" s="770"/>
      <c r="W647" s="770"/>
      <c r="X647" s="773"/>
      <c r="Y647" s="773"/>
      <c r="Z647" s="336" t="s">
        <v>894</v>
      </c>
      <c r="AA647" s="98"/>
    </row>
    <row r="648" spans="1:27" ht="24" hidden="1">
      <c r="A648" s="475"/>
      <c r="B648" s="775"/>
      <c r="C648" s="783"/>
      <c r="D648" s="785"/>
      <c r="E648" s="785"/>
      <c r="F648" s="783"/>
      <c r="G648" s="787"/>
      <c r="H648" s="787"/>
      <c r="I648" s="783"/>
      <c r="J648" s="787"/>
      <c r="K648" s="798"/>
      <c r="L648" s="798"/>
      <c r="M648" s="787"/>
      <c r="N648" s="83" t="s">
        <v>1447</v>
      </c>
      <c r="O648" s="353" t="s">
        <v>1448</v>
      </c>
      <c r="P648" s="76" t="s">
        <v>36</v>
      </c>
      <c r="Q648" s="79">
        <v>20</v>
      </c>
      <c r="R648" s="79">
        <v>20</v>
      </c>
      <c r="S648" s="354" t="s">
        <v>1429</v>
      </c>
      <c r="T648" s="302" t="s">
        <v>1429</v>
      </c>
      <c r="U648" s="82"/>
      <c r="V648" s="770"/>
      <c r="W648" s="770"/>
      <c r="X648" s="773"/>
      <c r="Y648" s="773"/>
      <c r="Z648" s="336" t="s">
        <v>894</v>
      </c>
      <c r="AA648" s="98"/>
    </row>
    <row r="649" spans="1:27" ht="36" hidden="1">
      <c r="A649" s="475"/>
      <c r="B649" s="775"/>
      <c r="C649" s="783"/>
      <c r="D649" s="786"/>
      <c r="E649" s="786"/>
      <c r="F649" s="783"/>
      <c r="G649" s="787"/>
      <c r="H649" s="787"/>
      <c r="I649" s="783"/>
      <c r="J649" s="787"/>
      <c r="K649" s="798"/>
      <c r="L649" s="798"/>
      <c r="M649" s="787"/>
      <c r="N649" s="83" t="s">
        <v>1449</v>
      </c>
      <c r="O649" s="353" t="s">
        <v>1450</v>
      </c>
      <c r="P649" s="76" t="s">
        <v>36</v>
      </c>
      <c r="Q649" s="79">
        <v>10</v>
      </c>
      <c r="R649" s="79">
        <v>10</v>
      </c>
      <c r="S649" s="354" t="s">
        <v>1429</v>
      </c>
      <c r="T649" s="302" t="s">
        <v>1429</v>
      </c>
      <c r="U649" s="82"/>
      <c r="V649" s="771"/>
      <c r="W649" s="771"/>
      <c r="X649" s="774"/>
      <c r="Y649" s="774"/>
      <c r="Z649" s="336" t="s">
        <v>894</v>
      </c>
      <c r="AA649" s="98"/>
    </row>
    <row r="650" spans="1:27" ht="48" hidden="1">
      <c r="A650" s="475"/>
      <c r="B650" s="757">
        <v>5</v>
      </c>
      <c r="C650" s="783" t="s">
        <v>1451</v>
      </c>
      <c r="D650" s="784">
        <v>54099.88</v>
      </c>
      <c r="E650" s="784" t="s">
        <v>2252</v>
      </c>
      <c r="F650" s="783" t="s">
        <v>376</v>
      </c>
      <c r="G650" s="787">
        <v>108.94</v>
      </c>
      <c r="H650" s="787">
        <v>7.11</v>
      </c>
      <c r="I650" s="783" t="s">
        <v>1452</v>
      </c>
      <c r="J650" s="787">
        <v>47.71</v>
      </c>
      <c r="K650" s="798" t="s">
        <v>663</v>
      </c>
      <c r="L650" s="798" t="s">
        <v>663</v>
      </c>
      <c r="M650" s="787">
        <f>G650+H650+J650</f>
        <v>163.76</v>
      </c>
      <c r="N650" s="83" t="s">
        <v>1453</v>
      </c>
      <c r="O650" s="353" t="s">
        <v>1454</v>
      </c>
      <c r="P650" s="76" t="s">
        <v>36</v>
      </c>
      <c r="Q650" s="79">
        <v>457.55860000000001</v>
      </c>
      <c r="R650" s="79">
        <v>2083.6502</v>
      </c>
      <c r="S650" s="80">
        <v>2014.12</v>
      </c>
      <c r="T650" s="301">
        <v>600.72170000000006</v>
      </c>
      <c r="U650" s="82">
        <f>T650/Q650</f>
        <v>1.3128847321414132</v>
      </c>
      <c r="V650" s="769">
        <f>SUM(Q650:Q651)</f>
        <v>480.3707</v>
      </c>
      <c r="W650" s="769">
        <f>SUM(T650:T651)</f>
        <v>626.68112600000006</v>
      </c>
      <c r="X650" s="772">
        <f>W650/V650</f>
        <v>1.3045781643218457</v>
      </c>
      <c r="Y650" s="772">
        <f>W650/M650</f>
        <v>3.8268266121152914</v>
      </c>
      <c r="Z650" s="797" t="s">
        <v>548</v>
      </c>
      <c r="AA650" s="98"/>
    </row>
    <row r="651" spans="1:27" ht="24" hidden="1">
      <c r="A651" s="475"/>
      <c r="B651" s="757"/>
      <c r="C651" s="783"/>
      <c r="D651" s="786"/>
      <c r="E651" s="786"/>
      <c r="F651" s="783"/>
      <c r="G651" s="787"/>
      <c r="H651" s="787"/>
      <c r="I651" s="783"/>
      <c r="J651" s="787"/>
      <c r="K651" s="798"/>
      <c r="L651" s="798"/>
      <c r="M651" s="787"/>
      <c r="N651" s="83" t="s">
        <v>1455</v>
      </c>
      <c r="O651" s="353" t="s">
        <v>1456</v>
      </c>
      <c r="P651" s="76" t="s">
        <v>36</v>
      </c>
      <c r="Q651" s="79">
        <v>22.812100000000001</v>
      </c>
      <c r="R651" s="79">
        <v>40.8568</v>
      </c>
      <c r="S651" s="80">
        <v>2014.4</v>
      </c>
      <c r="T651" s="301">
        <v>25.959426000000001</v>
      </c>
      <c r="U651" s="82">
        <f>T651/Q651</f>
        <v>1.1379673944967803</v>
      </c>
      <c r="V651" s="771"/>
      <c r="W651" s="771"/>
      <c r="X651" s="774"/>
      <c r="Y651" s="774"/>
      <c r="Z651" s="797"/>
      <c r="AA651" s="98"/>
    </row>
    <row r="652" spans="1:27" ht="48" hidden="1">
      <c r="A652" s="475"/>
      <c r="B652" s="352">
        <v>6</v>
      </c>
      <c r="C652" s="83" t="s">
        <v>1457</v>
      </c>
      <c r="D652" s="423">
        <v>55869.23</v>
      </c>
      <c r="E652" s="423" t="s">
        <v>2253</v>
      </c>
      <c r="F652" s="83" t="s">
        <v>1458</v>
      </c>
      <c r="G652" s="358">
        <f>1249200/10000</f>
        <v>124.92</v>
      </c>
      <c r="H652" s="358">
        <f>36000/10000</f>
        <v>3.6</v>
      </c>
      <c r="I652" s="83" t="s">
        <v>1459</v>
      </c>
      <c r="J652" s="358">
        <f>183766.16/10000</f>
        <v>18.376616000000002</v>
      </c>
      <c r="K652" s="357" t="s">
        <v>663</v>
      </c>
      <c r="L652" s="357" t="s">
        <v>663</v>
      </c>
      <c r="M652" s="358">
        <f>SUM(G652,H652,J652,L652)</f>
        <v>146.89661600000002</v>
      </c>
      <c r="N652" s="80" t="s">
        <v>1460</v>
      </c>
      <c r="O652" s="80" t="s">
        <v>1108</v>
      </c>
      <c r="P652" s="80" t="s">
        <v>1108</v>
      </c>
      <c r="Q652" s="79" t="s">
        <v>1108</v>
      </c>
      <c r="R652" s="79" t="s">
        <v>1108</v>
      </c>
      <c r="S652" s="80" t="s">
        <v>1108</v>
      </c>
      <c r="T652" s="357" t="s">
        <v>1108</v>
      </c>
      <c r="U652" s="82"/>
      <c r="V652" s="85"/>
      <c r="W652" s="85"/>
      <c r="X652" s="85"/>
      <c r="Y652" s="85"/>
      <c r="Z652" s="356" t="s">
        <v>32</v>
      </c>
      <c r="AA652" s="98"/>
    </row>
    <row r="653" spans="1:27" ht="48" hidden="1">
      <c r="A653" s="475"/>
      <c r="B653" s="352">
        <v>7</v>
      </c>
      <c r="C653" s="83" t="s">
        <v>1461</v>
      </c>
      <c r="D653" s="423">
        <v>44913.3</v>
      </c>
      <c r="E653" s="423" t="s">
        <v>2254</v>
      </c>
      <c r="F653" s="83" t="s">
        <v>1462</v>
      </c>
      <c r="G653" s="358">
        <f>891.716/4</f>
        <v>222.929</v>
      </c>
      <c r="H653" s="358">
        <v>19.2</v>
      </c>
      <c r="I653" s="83" t="s">
        <v>1426</v>
      </c>
      <c r="J653" s="358">
        <f>146.706/4</f>
        <v>36.676499999999997</v>
      </c>
      <c r="K653" s="357" t="s">
        <v>663</v>
      </c>
      <c r="L653" s="357" t="s">
        <v>663</v>
      </c>
      <c r="M653" s="358">
        <f t="shared" ref="M653:M654" si="56">SUM(G653,H653,J653,L653)</f>
        <v>278.80549999999999</v>
      </c>
      <c r="N653" s="80" t="s">
        <v>1460</v>
      </c>
      <c r="O653" s="80" t="s">
        <v>1108</v>
      </c>
      <c r="P653" s="80" t="s">
        <v>1108</v>
      </c>
      <c r="Q653" s="79" t="s">
        <v>1108</v>
      </c>
      <c r="R653" s="79" t="s">
        <v>1108</v>
      </c>
      <c r="S653" s="80" t="s">
        <v>1108</v>
      </c>
      <c r="T653" s="357" t="s">
        <v>1108</v>
      </c>
      <c r="U653" s="82"/>
      <c r="V653" s="85"/>
      <c r="W653" s="85"/>
      <c r="X653" s="85"/>
      <c r="Y653" s="85"/>
      <c r="Z653" s="84" t="s">
        <v>894</v>
      </c>
      <c r="AA653" s="98"/>
    </row>
    <row r="654" spans="1:27" ht="36" hidden="1">
      <c r="A654" s="475"/>
      <c r="B654" s="352">
        <v>8</v>
      </c>
      <c r="C654" s="83" t="s">
        <v>1463</v>
      </c>
      <c r="D654" s="423">
        <v>54917.46</v>
      </c>
      <c r="E654" s="423" t="s">
        <v>2255</v>
      </c>
      <c r="F654" s="83" t="s">
        <v>1464</v>
      </c>
      <c r="G654" s="358">
        <v>158.13980000000001</v>
      </c>
      <c r="H654" s="358">
        <v>0.35</v>
      </c>
      <c r="I654" s="83" t="s">
        <v>1464</v>
      </c>
      <c r="J654" s="358">
        <v>57.155799999999999</v>
      </c>
      <c r="K654" s="357" t="s">
        <v>663</v>
      </c>
      <c r="L654" s="357" t="s">
        <v>663</v>
      </c>
      <c r="M654" s="358">
        <f t="shared" si="56"/>
        <v>215.6456</v>
      </c>
      <c r="N654" s="80" t="s">
        <v>1460</v>
      </c>
      <c r="O654" s="80" t="s">
        <v>1108</v>
      </c>
      <c r="P654" s="80" t="s">
        <v>1108</v>
      </c>
      <c r="Q654" s="79" t="s">
        <v>1108</v>
      </c>
      <c r="R654" s="79" t="s">
        <v>1108</v>
      </c>
      <c r="S654" s="80" t="s">
        <v>1108</v>
      </c>
      <c r="T654" s="357" t="s">
        <v>1108</v>
      </c>
      <c r="U654" s="82"/>
      <c r="V654" s="85"/>
      <c r="W654" s="85"/>
      <c r="X654" s="85"/>
      <c r="Y654" s="85"/>
      <c r="Z654" s="84" t="s">
        <v>1021</v>
      </c>
      <c r="AA654" s="98"/>
    </row>
    <row r="655" spans="1:27" hidden="1">
      <c r="A655" s="475"/>
      <c r="B655" s="757">
        <v>9</v>
      </c>
      <c r="C655" s="758" t="s">
        <v>1465</v>
      </c>
      <c r="D655" s="759">
        <v>62516.47</v>
      </c>
      <c r="E655" s="759" t="s">
        <v>2256</v>
      </c>
      <c r="F655" s="758" t="s">
        <v>1466</v>
      </c>
      <c r="G655" s="762">
        <v>142.9599</v>
      </c>
      <c r="H655" s="762"/>
      <c r="I655" s="758" t="s">
        <v>1467</v>
      </c>
      <c r="J655" s="762">
        <v>29.2666</v>
      </c>
      <c r="K655" s="798" t="s">
        <v>663</v>
      </c>
      <c r="L655" s="798" t="s">
        <v>663</v>
      </c>
      <c r="M655" s="787">
        <f>SUM(G655,H655,J655,L655)</f>
        <v>172.22650000000002</v>
      </c>
      <c r="N655" s="83" t="s">
        <v>1468</v>
      </c>
      <c r="O655" s="353" t="s">
        <v>1469</v>
      </c>
      <c r="P655" s="76" t="s">
        <v>36</v>
      </c>
      <c r="Q655" s="79">
        <v>28</v>
      </c>
      <c r="R655" s="79">
        <v>28</v>
      </c>
      <c r="S655" s="354" t="s">
        <v>1470</v>
      </c>
      <c r="T655" s="302">
        <v>23.428000000000001</v>
      </c>
      <c r="U655" s="82">
        <f>T655/Q655</f>
        <v>0.83671428571428574</v>
      </c>
      <c r="V655" s="769">
        <f>SUM(Q655:Q660)</f>
        <v>103</v>
      </c>
      <c r="W655" s="769">
        <f>SUM(T655:T660)</f>
        <v>23.428000000000001</v>
      </c>
      <c r="X655" s="769">
        <f>W655/V655</f>
        <v>0.22745631067961167</v>
      </c>
      <c r="Y655" s="769">
        <f>W655/M655</f>
        <v>0.13603016957320738</v>
      </c>
      <c r="Z655" s="356" t="s">
        <v>894</v>
      </c>
      <c r="AA655" s="98"/>
    </row>
    <row r="656" spans="1:27" ht="24" hidden="1">
      <c r="A656" s="475"/>
      <c r="B656" s="757"/>
      <c r="C656" s="758"/>
      <c r="D656" s="760"/>
      <c r="E656" s="760"/>
      <c r="F656" s="758"/>
      <c r="G656" s="762"/>
      <c r="H656" s="762"/>
      <c r="I656" s="758"/>
      <c r="J656" s="762"/>
      <c r="K656" s="798"/>
      <c r="L656" s="798"/>
      <c r="M656" s="787"/>
      <c r="N656" s="83" t="s">
        <v>1471</v>
      </c>
      <c r="O656" s="353" t="s">
        <v>1472</v>
      </c>
      <c r="P656" s="76" t="s">
        <v>36</v>
      </c>
      <c r="Q656" s="79">
        <v>20</v>
      </c>
      <c r="R656" s="79">
        <v>20</v>
      </c>
      <c r="S656" s="354" t="s">
        <v>1429</v>
      </c>
      <c r="T656" s="302" t="s">
        <v>1429</v>
      </c>
      <c r="U656" s="86"/>
      <c r="V656" s="770"/>
      <c r="W656" s="770"/>
      <c r="X656" s="770"/>
      <c r="Y656" s="770"/>
      <c r="Z656" s="356" t="s">
        <v>894</v>
      </c>
      <c r="AA656" s="98"/>
    </row>
    <row r="657" spans="1:27" ht="24" hidden="1">
      <c r="A657" s="475"/>
      <c r="B657" s="757"/>
      <c r="C657" s="758"/>
      <c r="D657" s="760"/>
      <c r="E657" s="760"/>
      <c r="F657" s="758"/>
      <c r="G657" s="762"/>
      <c r="H657" s="762"/>
      <c r="I657" s="758"/>
      <c r="J657" s="762"/>
      <c r="K657" s="798"/>
      <c r="L657" s="798"/>
      <c r="M657" s="787"/>
      <c r="N657" s="83" t="s">
        <v>373</v>
      </c>
      <c r="O657" s="353" t="s">
        <v>1473</v>
      </c>
      <c r="P657" s="76" t="s">
        <v>36</v>
      </c>
      <c r="Q657" s="79">
        <v>22</v>
      </c>
      <c r="R657" s="79">
        <v>22</v>
      </c>
      <c r="S657" s="354" t="s">
        <v>1429</v>
      </c>
      <c r="T657" s="302" t="s">
        <v>1429</v>
      </c>
      <c r="U657" s="86"/>
      <c r="V657" s="770"/>
      <c r="W657" s="770"/>
      <c r="X657" s="770"/>
      <c r="Y657" s="770"/>
      <c r="Z657" s="356" t="s">
        <v>894</v>
      </c>
      <c r="AA657" s="98"/>
    </row>
    <row r="658" spans="1:27" ht="24" hidden="1">
      <c r="A658" s="475"/>
      <c r="B658" s="757"/>
      <c r="C658" s="758"/>
      <c r="D658" s="760"/>
      <c r="E658" s="760"/>
      <c r="F658" s="758"/>
      <c r="G658" s="762"/>
      <c r="H658" s="762"/>
      <c r="I658" s="758"/>
      <c r="J658" s="762"/>
      <c r="K658" s="798"/>
      <c r="L658" s="798"/>
      <c r="M658" s="787"/>
      <c r="N658" s="83" t="s">
        <v>382</v>
      </c>
      <c r="O658" s="353" t="s">
        <v>1474</v>
      </c>
      <c r="P658" s="76" t="s">
        <v>36</v>
      </c>
      <c r="Q658" s="79">
        <v>16</v>
      </c>
      <c r="R658" s="79">
        <v>16</v>
      </c>
      <c r="S658" s="354" t="s">
        <v>1429</v>
      </c>
      <c r="T658" s="302" t="s">
        <v>1429</v>
      </c>
      <c r="U658" s="86"/>
      <c r="V658" s="770"/>
      <c r="W658" s="770"/>
      <c r="X658" s="770"/>
      <c r="Y658" s="770"/>
      <c r="Z658" s="356" t="s">
        <v>894</v>
      </c>
      <c r="AA658" s="98"/>
    </row>
    <row r="659" spans="1:27" ht="24" hidden="1">
      <c r="A659" s="475"/>
      <c r="B659" s="757"/>
      <c r="C659" s="758"/>
      <c r="D659" s="760"/>
      <c r="E659" s="760"/>
      <c r="F659" s="758"/>
      <c r="G659" s="762"/>
      <c r="H659" s="762"/>
      <c r="I659" s="758"/>
      <c r="J659" s="762"/>
      <c r="K659" s="798"/>
      <c r="L659" s="798"/>
      <c r="M659" s="787"/>
      <c r="N659" s="83" t="s">
        <v>1475</v>
      </c>
      <c r="O659" s="353" t="s">
        <v>1476</v>
      </c>
      <c r="P659" s="76" t="s">
        <v>36</v>
      </c>
      <c r="Q659" s="79">
        <v>2</v>
      </c>
      <c r="R659" s="79">
        <v>2</v>
      </c>
      <c r="S659" s="354" t="s">
        <v>1429</v>
      </c>
      <c r="T659" s="302" t="s">
        <v>1429</v>
      </c>
      <c r="U659" s="86"/>
      <c r="V659" s="770"/>
      <c r="W659" s="770"/>
      <c r="X659" s="770"/>
      <c r="Y659" s="770"/>
      <c r="Z659" s="356" t="s">
        <v>894</v>
      </c>
      <c r="AA659" s="98"/>
    </row>
    <row r="660" spans="1:27" ht="24" hidden="1">
      <c r="A660" s="475"/>
      <c r="B660" s="757"/>
      <c r="C660" s="758"/>
      <c r="D660" s="761"/>
      <c r="E660" s="761"/>
      <c r="F660" s="758"/>
      <c r="G660" s="762"/>
      <c r="H660" s="762"/>
      <c r="I660" s="758"/>
      <c r="J660" s="762"/>
      <c r="K660" s="798"/>
      <c r="L660" s="798"/>
      <c r="M660" s="787"/>
      <c r="N660" s="83" t="s">
        <v>1477</v>
      </c>
      <c r="O660" s="353" t="s">
        <v>1478</v>
      </c>
      <c r="P660" s="76" t="s">
        <v>36</v>
      </c>
      <c r="Q660" s="79">
        <v>15</v>
      </c>
      <c r="R660" s="79">
        <v>15</v>
      </c>
      <c r="S660" s="354" t="s">
        <v>1429</v>
      </c>
      <c r="T660" s="302" t="s">
        <v>1429</v>
      </c>
      <c r="U660" s="86"/>
      <c r="V660" s="771"/>
      <c r="W660" s="771"/>
      <c r="X660" s="771"/>
      <c r="Y660" s="771"/>
      <c r="Z660" s="356" t="s">
        <v>894</v>
      </c>
      <c r="AA660" s="98"/>
    </row>
    <row r="661" spans="1:27" ht="96" hidden="1">
      <c r="A661" s="475"/>
      <c r="B661" s="757">
        <v>10</v>
      </c>
      <c r="C661" s="799" t="s">
        <v>1479</v>
      </c>
      <c r="D661" s="759">
        <v>56196.57</v>
      </c>
      <c r="E661" s="759" t="s">
        <v>2257</v>
      </c>
      <c r="F661" s="799" t="s">
        <v>1480</v>
      </c>
      <c r="G661" s="781">
        <f>515.55/5</f>
        <v>103.10999999999999</v>
      </c>
      <c r="H661" s="781">
        <v>4.2</v>
      </c>
      <c r="I661" s="799" t="s">
        <v>1480</v>
      </c>
      <c r="J661" s="781">
        <v>29.968399999999999</v>
      </c>
      <c r="K661" s="798" t="s">
        <v>663</v>
      </c>
      <c r="L661" s="798" t="s">
        <v>663</v>
      </c>
      <c r="M661" s="821">
        <f>G661+H661+J661</f>
        <v>137.27839999999998</v>
      </c>
      <c r="N661" s="83" t="s">
        <v>1481</v>
      </c>
      <c r="O661" s="353" t="s">
        <v>1482</v>
      </c>
      <c r="P661" s="76" t="s">
        <v>36</v>
      </c>
      <c r="Q661" s="79">
        <v>15</v>
      </c>
      <c r="R661" s="79">
        <v>72.69</v>
      </c>
      <c r="S661" s="354" t="s">
        <v>1429</v>
      </c>
      <c r="T661" s="302" t="s">
        <v>1429</v>
      </c>
      <c r="U661" s="86"/>
      <c r="V661" s="818">
        <f>SUM(Q661:Q664)</f>
        <v>18.983599999999999</v>
      </c>
      <c r="W661" s="818">
        <f>SUM(T661:T664)</f>
        <v>0</v>
      </c>
      <c r="X661" s="818"/>
      <c r="Y661" s="818"/>
      <c r="Z661" s="336" t="s">
        <v>881</v>
      </c>
      <c r="AA661" s="98"/>
    </row>
    <row r="662" spans="1:27" ht="24">
      <c r="A662" s="475"/>
      <c r="B662" s="757"/>
      <c r="C662" s="799"/>
      <c r="D662" s="760"/>
      <c r="E662" s="760"/>
      <c r="F662" s="799"/>
      <c r="G662" s="781"/>
      <c r="H662" s="781"/>
      <c r="I662" s="799"/>
      <c r="J662" s="781"/>
      <c r="K662" s="798"/>
      <c r="L662" s="798"/>
      <c r="M662" s="821"/>
      <c r="N662" s="83" t="s">
        <v>1483</v>
      </c>
      <c r="O662" s="353" t="s">
        <v>1484</v>
      </c>
      <c r="P662" s="76" t="s">
        <v>27</v>
      </c>
      <c r="Q662" s="79">
        <v>1.24</v>
      </c>
      <c r="R662" s="79">
        <v>1.24</v>
      </c>
      <c r="S662" s="354" t="s">
        <v>1429</v>
      </c>
      <c r="T662" s="302" t="s">
        <v>1429</v>
      </c>
      <c r="U662" s="86"/>
      <c r="V662" s="819"/>
      <c r="W662" s="819"/>
      <c r="X662" s="819"/>
      <c r="Y662" s="819"/>
      <c r="Z662" s="336" t="s">
        <v>881</v>
      </c>
      <c r="AA662" s="98"/>
    </row>
    <row r="663" spans="1:27" ht="24">
      <c r="A663" s="475"/>
      <c r="B663" s="757"/>
      <c r="C663" s="799"/>
      <c r="D663" s="760"/>
      <c r="E663" s="760"/>
      <c r="F663" s="799"/>
      <c r="G663" s="781"/>
      <c r="H663" s="781"/>
      <c r="I663" s="799"/>
      <c r="J663" s="781"/>
      <c r="K663" s="798"/>
      <c r="L663" s="798"/>
      <c r="M663" s="821"/>
      <c r="N663" s="83" t="s">
        <v>1485</v>
      </c>
      <c r="O663" s="353" t="s">
        <v>1486</v>
      </c>
      <c r="P663" s="76" t="s">
        <v>27</v>
      </c>
      <c r="Q663" s="79">
        <v>1.6735</v>
      </c>
      <c r="R663" s="79">
        <f>+Q663</f>
        <v>1.6735</v>
      </c>
      <c r="S663" s="354" t="s">
        <v>1429</v>
      </c>
      <c r="T663" s="302" t="s">
        <v>1429</v>
      </c>
      <c r="U663" s="86"/>
      <c r="V663" s="819"/>
      <c r="W663" s="819"/>
      <c r="X663" s="819"/>
      <c r="Y663" s="819"/>
      <c r="Z663" s="336" t="s">
        <v>881</v>
      </c>
      <c r="AA663" s="98"/>
    </row>
    <row r="664" spans="1:27" ht="24">
      <c r="A664" s="475"/>
      <c r="B664" s="757"/>
      <c r="C664" s="799"/>
      <c r="D664" s="760"/>
      <c r="E664" s="760"/>
      <c r="F664" s="799"/>
      <c r="G664" s="781"/>
      <c r="H664" s="781"/>
      <c r="I664" s="799"/>
      <c r="J664" s="781"/>
      <c r="K664" s="798"/>
      <c r="L664" s="798"/>
      <c r="M664" s="821"/>
      <c r="N664" s="83" t="s">
        <v>1487</v>
      </c>
      <c r="O664" s="353" t="s">
        <v>1488</v>
      </c>
      <c r="P664" s="76" t="s">
        <v>27</v>
      </c>
      <c r="Q664" s="79">
        <v>1.0701000000000001</v>
      </c>
      <c r="R664" s="79">
        <f>+Q664</f>
        <v>1.0701000000000001</v>
      </c>
      <c r="S664" s="354" t="s">
        <v>1429</v>
      </c>
      <c r="T664" s="302" t="s">
        <v>1429</v>
      </c>
      <c r="U664" s="86"/>
      <c r="V664" s="820"/>
      <c r="W664" s="820"/>
      <c r="X664" s="820"/>
      <c r="Y664" s="820"/>
      <c r="Z664" s="336" t="s">
        <v>881</v>
      </c>
      <c r="AA664" s="98"/>
    </row>
    <row r="665" spans="1:27" ht="24" hidden="1">
      <c r="A665" s="475"/>
      <c r="B665" s="757">
        <v>11</v>
      </c>
      <c r="C665" s="758" t="s">
        <v>1489</v>
      </c>
      <c r="D665" s="759" t="s">
        <v>2258</v>
      </c>
      <c r="E665" s="759" t="s">
        <v>2259</v>
      </c>
      <c r="F665" s="758" t="s">
        <v>1490</v>
      </c>
      <c r="G665" s="787">
        <v>131.09870000000001</v>
      </c>
      <c r="H665" s="787"/>
      <c r="I665" s="758" t="s">
        <v>1491</v>
      </c>
      <c r="J665" s="762">
        <v>52.290900000000001</v>
      </c>
      <c r="K665" s="782" t="s">
        <v>663</v>
      </c>
      <c r="L665" s="782" t="s">
        <v>663</v>
      </c>
      <c r="M665" s="762">
        <f>G665+J665</f>
        <v>183.3896</v>
      </c>
      <c r="N665" s="83" t="s">
        <v>1492</v>
      </c>
      <c r="O665" s="353" t="s">
        <v>1493</v>
      </c>
      <c r="P665" s="76" t="s">
        <v>36</v>
      </c>
      <c r="Q665" s="79">
        <v>41.72</v>
      </c>
      <c r="R665" s="79">
        <v>137.62</v>
      </c>
      <c r="S665" s="80" t="s">
        <v>1494</v>
      </c>
      <c r="T665" s="301">
        <v>28.5</v>
      </c>
      <c r="U665" s="82">
        <f>T665/Q665</f>
        <v>0.68312559923298177</v>
      </c>
      <c r="V665" s="769">
        <f>SUM(Q665:Q668)</f>
        <v>143.72</v>
      </c>
      <c r="W665" s="769">
        <f>SUM(T665:T668)</f>
        <v>91.1</v>
      </c>
      <c r="X665" s="772">
        <f>W665/V665</f>
        <v>0.63387141664347335</v>
      </c>
      <c r="Y665" s="772">
        <f>W665/M665</f>
        <v>0.49675663178282736</v>
      </c>
      <c r="Z665" s="356" t="s">
        <v>1495</v>
      </c>
      <c r="AA665" s="98"/>
    </row>
    <row r="666" spans="1:27" hidden="1">
      <c r="A666" s="475"/>
      <c r="B666" s="757"/>
      <c r="C666" s="758"/>
      <c r="D666" s="760"/>
      <c r="E666" s="760"/>
      <c r="F666" s="758"/>
      <c r="G666" s="787"/>
      <c r="H666" s="787"/>
      <c r="I666" s="758"/>
      <c r="J666" s="762"/>
      <c r="K666" s="782"/>
      <c r="L666" s="782"/>
      <c r="M666" s="762"/>
      <c r="N666" s="83" t="s">
        <v>1496</v>
      </c>
      <c r="O666" s="353" t="s">
        <v>1497</v>
      </c>
      <c r="P666" s="76" t="s">
        <v>36</v>
      </c>
      <c r="Q666" s="79">
        <v>65</v>
      </c>
      <c r="R666" s="79">
        <v>158.26</v>
      </c>
      <c r="S666" s="80" t="s">
        <v>1498</v>
      </c>
      <c r="T666" s="301">
        <v>33.6</v>
      </c>
      <c r="U666" s="82">
        <f t="shared" ref="U666:U668" si="57">T666/Q666</f>
        <v>0.51692307692307693</v>
      </c>
      <c r="V666" s="770"/>
      <c r="W666" s="770"/>
      <c r="X666" s="773"/>
      <c r="Y666" s="773"/>
      <c r="Z666" s="356" t="s">
        <v>1495</v>
      </c>
      <c r="AA666" s="98"/>
    </row>
    <row r="667" spans="1:27" hidden="1">
      <c r="A667" s="475"/>
      <c r="B667" s="757"/>
      <c r="C667" s="758"/>
      <c r="D667" s="760"/>
      <c r="E667" s="760"/>
      <c r="F667" s="758"/>
      <c r="G667" s="787"/>
      <c r="H667" s="787"/>
      <c r="I667" s="758"/>
      <c r="J667" s="762"/>
      <c r="K667" s="782"/>
      <c r="L667" s="782"/>
      <c r="M667" s="762"/>
      <c r="N667" s="83" t="s">
        <v>1499</v>
      </c>
      <c r="O667" s="353" t="s">
        <v>1500</v>
      </c>
      <c r="P667" s="76" t="s">
        <v>36</v>
      </c>
      <c r="Q667" s="79">
        <v>35</v>
      </c>
      <c r="R667" s="79">
        <v>112.85</v>
      </c>
      <c r="S667" s="80" t="s">
        <v>449</v>
      </c>
      <c r="T667" s="301">
        <v>27</v>
      </c>
      <c r="U667" s="82">
        <f t="shared" si="57"/>
        <v>0.77142857142857146</v>
      </c>
      <c r="V667" s="770"/>
      <c r="W667" s="770"/>
      <c r="X667" s="773"/>
      <c r="Y667" s="773"/>
      <c r="Z667" s="356" t="s">
        <v>1495</v>
      </c>
      <c r="AA667" s="98"/>
    </row>
    <row r="668" spans="1:27" hidden="1">
      <c r="A668" s="475"/>
      <c r="B668" s="757"/>
      <c r="C668" s="758"/>
      <c r="D668" s="761"/>
      <c r="E668" s="761"/>
      <c r="F668" s="758"/>
      <c r="G668" s="787"/>
      <c r="H668" s="787"/>
      <c r="I668" s="758"/>
      <c r="J668" s="762"/>
      <c r="K668" s="782"/>
      <c r="L668" s="782"/>
      <c r="M668" s="762"/>
      <c r="N668" s="83" t="s">
        <v>1499</v>
      </c>
      <c r="O668" s="353" t="s">
        <v>1501</v>
      </c>
      <c r="P668" s="76" t="s">
        <v>36</v>
      </c>
      <c r="Q668" s="79">
        <v>2</v>
      </c>
      <c r="R668" s="79">
        <v>4.53</v>
      </c>
      <c r="S668" s="80" t="s">
        <v>1502</v>
      </c>
      <c r="T668" s="301">
        <v>2</v>
      </c>
      <c r="U668" s="82">
        <f t="shared" si="57"/>
        <v>1</v>
      </c>
      <c r="V668" s="771"/>
      <c r="W668" s="771"/>
      <c r="X668" s="774"/>
      <c r="Y668" s="774"/>
      <c r="Z668" s="356" t="s">
        <v>1495</v>
      </c>
      <c r="AA668" s="98"/>
    </row>
    <row r="669" spans="1:27" ht="48" hidden="1">
      <c r="A669" s="475"/>
      <c r="B669" s="352">
        <v>12</v>
      </c>
      <c r="C669" s="353" t="s">
        <v>1503</v>
      </c>
      <c r="D669" s="422">
        <v>11523.24</v>
      </c>
      <c r="E669" s="422" t="s">
        <v>2260</v>
      </c>
      <c r="F669" s="353" t="s">
        <v>1504</v>
      </c>
      <c r="G669" s="358">
        <v>29.580155999999999</v>
      </c>
      <c r="H669" s="358">
        <v>2.25</v>
      </c>
      <c r="I669" s="80" t="s">
        <v>163</v>
      </c>
      <c r="J669" s="357" t="s">
        <v>663</v>
      </c>
      <c r="K669" s="357" t="s">
        <v>163</v>
      </c>
      <c r="L669" s="357" t="s">
        <v>663</v>
      </c>
      <c r="M669" s="358">
        <f t="shared" ref="M669:M677" si="58">SUM(G669,H669,J669,L669)</f>
        <v>31.830155999999999</v>
      </c>
      <c r="N669" s="80" t="s">
        <v>1108</v>
      </c>
      <c r="O669" s="80" t="s">
        <v>1108</v>
      </c>
      <c r="P669" s="80" t="s">
        <v>1108</v>
      </c>
      <c r="Q669" s="79" t="s">
        <v>1108</v>
      </c>
      <c r="R669" s="79" t="s">
        <v>1108</v>
      </c>
      <c r="S669" s="80" t="s">
        <v>1108</v>
      </c>
      <c r="T669" s="357" t="s">
        <v>1108</v>
      </c>
      <c r="U669" s="80"/>
      <c r="V669" s="87"/>
      <c r="W669" s="87"/>
      <c r="X669" s="87"/>
      <c r="Y669" s="87"/>
      <c r="Z669" s="84" t="s">
        <v>258</v>
      </c>
      <c r="AA669" s="98"/>
    </row>
    <row r="670" spans="1:27" ht="24" hidden="1">
      <c r="A670" s="475"/>
      <c r="B670" s="355">
        <v>13</v>
      </c>
      <c r="C670" s="353" t="s">
        <v>1505</v>
      </c>
      <c r="D670" s="422">
        <v>17494.030699999999</v>
      </c>
      <c r="E670" s="422" t="s">
        <v>2261</v>
      </c>
      <c r="F670" s="80" t="s">
        <v>163</v>
      </c>
      <c r="G670" s="357" t="s">
        <v>163</v>
      </c>
      <c r="H670" s="357" t="s">
        <v>163</v>
      </c>
      <c r="I670" s="353" t="s">
        <v>1506</v>
      </c>
      <c r="J670" s="358">
        <v>5.2482090000000001</v>
      </c>
      <c r="K670" s="357" t="s">
        <v>163</v>
      </c>
      <c r="L670" s="357" t="s">
        <v>663</v>
      </c>
      <c r="M670" s="358">
        <f t="shared" si="58"/>
        <v>5.2482090000000001</v>
      </c>
      <c r="N670" s="80" t="s">
        <v>1108</v>
      </c>
      <c r="O670" s="80" t="s">
        <v>1108</v>
      </c>
      <c r="P670" s="80" t="s">
        <v>1108</v>
      </c>
      <c r="Q670" s="79" t="s">
        <v>1108</v>
      </c>
      <c r="R670" s="79" t="s">
        <v>1108</v>
      </c>
      <c r="S670" s="80" t="s">
        <v>1108</v>
      </c>
      <c r="T670" s="357" t="s">
        <v>1108</v>
      </c>
      <c r="U670" s="80"/>
      <c r="V670" s="87"/>
      <c r="W670" s="87"/>
      <c r="X670" s="87"/>
      <c r="Y670" s="87"/>
      <c r="Z670" s="356" t="s">
        <v>18</v>
      </c>
      <c r="AA670" s="98"/>
    </row>
    <row r="671" spans="1:27" ht="24" hidden="1">
      <c r="A671" s="475"/>
      <c r="B671" s="355">
        <v>14</v>
      </c>
      <c r="C671" s="353" t="s">
        <v>1507</v>
      </c>
      <c r="D671" s="422">
        <v>15100.01</v>
      </c>
      <c r="E671" s="422" t="s">
        <v>2262</v>
      </c>
      <c r="F671" s="80" t="s">
        <v>163</v>
      </c>
      <c r="G671" s="357" t="s">
        <v>163</v>
      </c>
      <c r="H671" s="357" t="s">
        <v>163</v>
      </c>
      <c r="I671" s="353" t="s">
        <v>1508</v>
      </c>
      <c r="J671" s="358">
        <v>7</v>
      </c>
      <c r="K671" s="312" t="s">
        <v>1508</v>
      </c>
      <c r="L671" s="358">
        <v>3</v>
      </c>
      <c r="M671" s="358">
        <f t="shared" si="58"/>
        <v>10</v>
      </c>
      <c r="N671" s="80" t="s">
        <v>1108</v>
      </c>
      <c r="O671" s="80" t="s">
        <v>1108</v>
      </c>
      <c r="P671" s="80" t="s">
        <v>1108</v>
      </c>
      <c r="Q671" s="79" t="s">
        <v>1108</v>
      </c>
      <c r="R671" s="79" t="s">
        <v>1108</v>
      </c>
      <c r="S671" s="80" t="s">
        <v>1108</v>
      </c>
      <c r="T671" s="357" t="s">
        <v>1108</v>
      </c>
      <c r="U671" s="80"/>
      <c r="V671" s="87"/>
      <c r="W671" s="87"/>
      <c r="X671" s="87"/>
      <c r="Y671" s="87"/>
      <c r="Z671" s="356" t="s">
        <v>1331</v>
      </c>
      <c r="AA671" s="98"/>
    </row>
    <row r="672" spans="1:27" ht="36" hidden="1">
      <c r="A672" s="475"/>
      <c r="B672" s="352">
        <v>15</v>
      </c>
      <c r="C672" s="353" t="s">
        <v>1509</v>
      </c>
      <c r="D672" s="422">
        <v>8816.31</v>
      </c>
      <c r="E672" s="422" t="s">
        <v>2262</v>
      </c>
      <c r="F672" s="353" t="s">
        <v>1510</v>
      </c>
      <c r="G672" s="358">
        <v>17.55</v>
      </c>
      <c r="H672" s="357" t="s">
        <v>163</v>
      </c>
      <c r="I672" s="353" t="s">
        <v>1511</v>
      </c>
      <c r="J672" s="358">
        <v>8.4987999999999992</v>
      </c>
      <c r="K672" s="357" t="s">
        <v>163</v>
      </c>
      <c r="L672" s="357" t="s">
        <v>663</v>
      </c>
      <c r="M672" s="358">
        <f t="shared" si="58"/>
        <v>26.0488</v>
      </c>
      <c r="N672" s="80" t="s">
        <v>1108</v>
      </c>
      <c r="O672" s="80" t="s">
        <v>1108</v>
      </c>
      <c r="P672" s="80" t="s">
        <v>1108</v>
      </c>
      <c r="Q672" s="79" t="s">
        <v>1108</v>
      </c>
      <c r="R672" s="79" t="s">
        <v>1108</v>
      </c>
      <c r="S672" s="80" t="s">
        <v>1108</v>
      </c>
      <c r="T672" s="357" t="s">
        <v>1108</v>
      </c>
      <c r="U672" s="80"/>
      <c r="V672" s="87"/>
      <c r="W672" s="87"/>
      <c r="X672" s="87"/>
      <c r="Y672" s="87"/>
      <c r="Z672" s="356" t="s">
        <v>167</v>
      </c>
      <c r="AA672" s="98"/>
    </row>
    <row r="673" spans="1:27" ht="36" hidden="1">
      <c r="A673" s="475"/>
      <c r="B673" s="355">
        <v>16</v>
      </c>
      <c r="C673" s="353" t="s">
        <v>1512</v>
      </c>
      <c r="D673" s="422">
        <v>12541.55</v>
      </c>
      <c r="E673" s="422" t="s">
        <v>2263</v>
      </c>
      <c r="F673" s="353" t="s">
        <v>1513</v>
      </c>
      <c r="G673" s="358">
        <v>22.998200000000001</v>
      </c>
      <c r="H673" s="358">
        <v>0.35</v>
      </c>
      <c r="I673" s="353" t="s">
        <v>1514</v>
      </c>
      <c r="J673" s="358">
        <v>4.8912000000000004</v>
      </c>
      <c r="K673" s="312" t="s">
        <v>1514</v>
      </c>
      <c r="L673" s="358">
        <v>1.5888</v>
      </c>
      <c r="M673" s="358">
        <f>SUM(G673,H673,J673,L673)</f>
        <v>29.828200000000002</v>
      </c>
      <c r="N673" s="80" t="s">
        <v>1108</v>
      </c>
      <c r="O673" s="80" t="s">
        <v>1108</v>
      </c>
      <c r="P673" s="80" t="s">
        <v>1108</v>
      </c>
      <c r="Q673" s="79" t="s">
        <v>1108</v>
      </c>
      <c r="R673" s="79" t="s">
        <v>1108</v>
      </c>
      <c r="S673" s="80" t="s">
        <v>1108</v>
      </c>
      <c r="T673" s="357" t="s">
        <v>1108</v>
      </c>
      <c r="U673" s="80"/>
      <c r="V673" s="87"/>
      <c r="W673" s="87"/>
      <c r="X673" s="87"/>
      <c r="Y673" s="87"/>
      <c r="Z673" s="356" t="s">
        <v>1515</v>
      </c>
      <c r="AA673" s="98"/>
    </row>
    <row r="674" spans="1:27" ht="48" hidden="1">
      <c r="A674" s="475"/>
      <c r="B674" s="355">
        <v>17</v>
      </c>
      <c r="C674" s="353" t="s">
        <v>1516</v>
      </c>
      <c r="D674" s="422">
        <v>4781.4799999999996</v>
      </c>
      <c r="E674" s="422" t="s">
        <v>2264</v>
      </c>
      <c r="F674" s="353" t="s">
        <v>210</v>
      </c>
      <c r="G674" s="787">
        <f>1601.395946*0.1</f>
        <v>160.13959460000001</v>
      </c>
      <c r="H674" s="787"/>
      <c r="I674" s="353" t="s">
        <v>1517</v>
      </c>
      <c r="J674" s="358">
        <f>745.4774/8</f>
        <v>93.184674999999999</v>
      </c>
      <c r="K674" s="357" t="s">
        <v>163</v>
      </c>
      <c r="L674" s="357" t="s">
        <v>663</v>
      </c>
      <c r="M674" s="358">
        <f t="shared" si="58"/>
        <v>253.32426960000001</v>
      </c>
      <c r="N674" s="80" t="s">
        <v>1108</v>
      </c>
      <c r="O674" s="80" t="s">
        <v>1108</v>
      </c>
      <c r="P674" s="80" t="s">
        <v>1108</v>
      </c>
      <c r="Q674" s="79" t="s">
        <v>1108</v>
      </c>
      <c r="R674" s="79" t="s">
        <v>1108</v>
      </c>
      <c r="S674" s="80" t="s">
        <v>1108</v>
      </c>
      <c r="T674" s="357" t="s">
        <v>1108</v>
      </c>
      <c r="U674" s="80"/>
      <c r="V674" s="87"/>
      <c r="W674" s="87"/>
      <c r="X674" s="87"/>
      <c r="Y674" s="87"/>
      <c r="Z674" s="356" t="s">
        <v>894</v>
      </c>
      <c r="AA674" s="98"/>
    </row>
    <row r="675" spans="1:27" ht="84" hidden="1">
      <c r="A675" s="475"/>
      <c r="B675" s="355">
        <v>18</v>
      </c>
      <c r="C675" s="353" t="s">
        <v>1518</v>
      </c>
      <c r="D675" s="422">
        <v>35224.239999999998</v>
      </c>
      <c r="E675" s="422" t="s">
        <v>2265</v>
      </c>
      <c r="F675" s="353" t="s">
        <v>1519</v>
      </c>
      <c r="G675" s="787">
        <v>53.921700000000001</v>
      </c>
      <c r="H675" s="787"/>
      <c r="I675" s="353" t="s">
        <v>211</v>
      </c>
      <c r="J675" s="358">
        <v>29.085560000000001</v>
      </c>
      <c r="K675" s="357" t="s">
        <v>163</v>
      </c>
      <c r="L675" s="357" t="s">
        <v>663</v>
      </c>
      <c r="M675" s="358">
        <f t="shared" si="58"/>
        <v>83.007260000000002</v>
      </c>
      <c r="N675" s="353" t="s">
        <v>274</v>
      </c>
      <c r="O675" s="353" t="s">
        <v>1520</v>
      </c>
      <c r="P675" s="76" t="s">
        <v>36</v>
      </c>
      <c r="Q675" s="79">
        <v>420</v>
      </c>
      <c r="R675" s="79">
        <v>420</v>
      </c>
      <c r="S675" s="354" t="s">
        <v>1429</v>
      </c>
      <c r="T675" s="302" t="s">
        <v>1429</v>
      </c>
      <c r="U675" s="354"/>
      <c r="V675" s="88">
        <f>Q675</f>
        <v>420</v>
      </c>
      <c r="W675" s="88"/>
      <c r="X675" s="88"/>
      <c r="Y675" s="88"/>
      <c r="Z675" s="356" t="s">
        <v>312</v>
      </c>
      <c r="AA675" s="98"/>
    </row>
    <row r="676" spans="1:27" ht="48" hidden="1">
      <c r="A676" s="475"/>
      <c r="B676" s="352">
        <v>19</v>
      </c>
      <c r="C676" s="353" t="s">
        <v>1521</v>
      </c>
      <c r="D676" s="422">
        <v>8985.07</v>
      </c>
      <c r="E676" s="422" t="s">
        <v>2266</v>
      </c>
      <c r="F676" s="353" t="s">
        <v>1522</v>
      </c>
      <c r="G676" s="787">
        <v>4.0432829999999997</v>
      </c>
      <c r="H676" s="787"/>
      <c r="I676" s="353" t="s">
        <v>163</v>
      </c>
      <c r="J676" s="357" t="s">
        <v>663</v>
      </c>
      <c r="K676" s="357" t="s">
        <v>163</v>
      </c>
      <c r="L676" s="357" t="s">
        <v>663</v>
      </c>
      <c r="M676" s="358">
        <f t="shared" si="58"/>
        <v>4.0432829999999997</v>
      </c>
      <c r="N676" s="80" t="s">
        <v>1108</v>
      </c>
      <c r="O676" s="80" t="s">
        <v>1108</v>
      </c>
      <c r="P676" s="80" t="s">
        <v>1108</v>
      </c>
      <c r="Q676" s="79" t="s">
        <v>1108</v>
      </c>
      <c r="R676" s="79" t="s">
        <v>1108</v>
      </c>
      <c r="S676" s="80" t="s">
        <v>1108</v>
      </c>
      <c r="T676" s="357" t="s">
        <v>1108</v>
      </c>
      <c r="U676" s="80"/>
      <c r="V676" s="87"/>
      <c r="W676" s="87"/>
      <c r="X676" s="87"/>
      <c r="Y676" s="87"/>
      <c r="Z676" s="84" t="s">
        <v>312</v>
      </c>
      <c r="AA676" s="98"/>
    </row>
    <row r="677" spans="1:27" ht="36" hidden="1">
      <c r="A677" s="475"/>
      <c r="B677" s="355">
        <v>20</v>
      </c>
      <c r="C677" s="353" t="s">
        <v>1523</v>
      </c>
      <c r="D677" s="422">
        <v>1588</v>
      </c>
      <c r="E677" s="422" t="s">
        <v>2267</v>
      </c>
      <c r="F677" s="353" t="s">
        <v>1514</v>
      </c>
      <c r="G677" s="358">
        <v>3.71306</v>
      </c>
      <c r="H677" s="358">
        <v>1.175</v>
      </c>
      <c r="I677" s="80" t="s">
        <v>163</v>
      </c>
      <c r="J677" s="357" t="s">
        <v>663</v>
      </c>
      <c r="K677" s="357" t="s">
        <v>163</v>
      </c>
      <c r="L677" s="357" t="s">
        <v>663</v>
      </c>
      <c r="M677" s="358">
        <f t="shared" si="58"/>
        <v>4.8880600000000003</v>
      </c>
      <c r="N677" s="80" t="s">
        <v>1108</v>
      </c>
      <c r="O677" s="80" t="s">
        <v>1108</v>
      </c>
      <c r="P677" s="80" t="s">
        <v>1108</v>
      </c>
      <c r="Q677" s="79" t="s">
        <v>1108</v>
      </c>
      <c r="R677" s="79" t="s">
        <v>1108</v>
      </c>
      <c r="S677" s="80" t="s">
        <v>1108</v>
      </c>
      <c r="T677" s="357" t="s">
        <v>1108</v>
      </c>
      <c r="U677" s="80"/>
      <c r="V677" s="87"/>
      <c r="W677" s="87"/>
      <c r="X677" s="87"/>
      <c r="Y677" s="87"/>
      <c r="Z677" s="356" t="s">
        <v>1331</v>
      </c>
      <c r="AA677" s="98"/>
    </row>
    <row r="678" spans="1:27" ht="24" hidden="1">
      <c r="A678" s="475"/>
      <c r="B678" s="352">
        <v>21</v>
      </c>
      <c r="C678" s="353" t="s">
        <v>2023</v>
      </c>
      <c r="D678" s="422">
        <v>6489.3662999999997</v>
      </c>
      <c r="E678" s="422" t="s">
        <v>2268</v>
      </c>
      <c r="F678" s="80" t="s">
        <v>163</v>
      </c>
      <c r="G678" s="357" t="s">
        <v>663</v>
      </c>
      <c r="H678" s="357" t="s">
        <v>663</v>
      </c>
      <c r="I678" s="80" t="s">
        <v>163</v>
      </c>
      <c r="J678" s="357" t="s">
        <v>663</v>
      </c>
      <c r="K678" s="357" t="s">
        <v>163</v>
      </c>
      <c r="L678" s="357" t="s">
        <v>663</v>
      </c>
      <c r="M678" s="357" t="s">
        <v>663</v>
      </c>
      <c r="N678" s="80" t="s">
        <v>1108</v>
      </c>
      <c r="O678" s="80" t="s">
        <v>1108</v>
      </c>
      <c r="P678" s="80" t="s">
        <v>1108</v>
      </c>
      <c r="Q678" s="79" t="s">
        <v>1108</v>
      </c>
      <c r="R678" s="79" t="s">
        <v>1108</v>
      </c>
      <c r="S678" s="80" t="s">
        <v>1108</v>
      </c>
      <c r="T678" s="357" t="s">
        <v>1108</v>
      </c>
      <c r="U678" s="80"/>
      <c r="V678" s="87"/>
      <c r="W678" s="87"/>
      <c r="X678" s="87"/>
      <c r="Y678" s="87"/>
      <c r="Z678" s="356" t="s">
        <v>1331</v>
      </c>
      <c r="AA678" s="98"/>
    </row>
    <row r="679" spans="1:27" ht="24" hidden="1">
      <c r="A679" s="475"/>
      <c r="B679" s="355">
        <v>22</v>
      </c>
      <c r="C679" s="353" t="s">
        <v>2024</v>
      </c>
      <c r="D679" s="422">
        <v>6852.4315999999999</v>
      </c>
      <c r="E679" s="422" t="s">
        <v>2269</v>
      </c>
      <c r="F679" s="80" t="s">
        <v>163</v>
      </c>
      <c r="G679" s="357" t="s">
        <v>663</v>
      </c>
      <c r="H679" s="357" t="s">
        <v>663</v>
      </c>
      <c r="I679" s="80" t="s">
        <v>163</v>
      </c>
      <c r="J679" s="357" t="s">
        <v>663</v>
      </c>
      <c r="K679" s="357" t="s">
        <v>163</v>
      </c>
      <c r="L679" s="357" t="s">
        <v>663</v>
      </c>
      <c r="M679" s="357" t="s">
        <v>663</v>
      </c>
      <c r="N679" s="80" t="s">
        <v>1108</v>
      </c>
      <c r="O679" s="80" t="s">
        <v>1108</v>
      </c>
      <c r="P679" s="80" t="s">
        <v>1108</v>
      </c>
      <c r="Q679" s="79" t="s">
        <v>1108</v>
      </c>
      <c r="R679" s="79" t="s">
        <v>1108</v>
      </c>
      <c r="S679" s="80" t="s">
        <v>1108</v>
      </c>
      <c r="T679" s="357" t="s">
        <v>1108</v>
      </c>
      <c r="U679" s="80"/>
      <c r="V679" s="87"/>
      <c r="W679" s="87"/>
      <c r="X679" s="87"/>
      <c r="Y679" s="87"/>
      <c r="Z679" s="356" t="s">
        <v>1331</v>
      </c>
      <c r="AA679" s="98"/>
    </row>
    <row r="680" spans="1:27" ht="36" hidden="1">
      <c r="A680" s="475"/>
      <c r="B680" s="352">
        <v>23</v>
      </c>
      <c r="C680" s="353" t="s">
        <v>1524</v>
      </c>
      <c r="D680" s="422">
        <v>3256.0515999999998</v>
      </c>
      <c r="E680" s="422" t="s">
        <v>2269</v>
      </c>
      <c r="F680" s="80" t="s">
        <v>163</v>
      </c>
      <c r="G680" s="357" t="s">
        <v>663</v>
      </c>
      <c r="H680" s="357" t="s">
        <v>663</v>
      </c>
      <c r="I680" s="80" t="s">
        <v>163</v>
      </c>
      <c r="J680" s="357" t="s">
        <v>663</v>
      </c>
      <c r="K680" s="357" t="s">
        <v>163</v>
      </c>
      <c r="L680" s="357" t="s">
        <v>663</v>
      </c>
      <c r="M680" s="357" t="s">
        <v>663</v>
      </c>
      <c r="N680" s="80" t="s">
        <v>1108</v>
      </c>
      <c r="O680" s="80" t="s">
        <v>1108</v>
      </c>
      <c r="P680" s="80" t="s">
        <v>1108</v>
      </c>
      <c r="Q680" s="79" t="s">
        <v>1108</v>
      </c>
      <c r="R680" s="79" t="s">
        <v>1108</v>
      </c>
      <c r="S680" s="80" t="s">
        <v>1108</v>
      </c>
      <c r="T680" s="357" t="s">
        <v>1108</v>
      </c>
      <c r="U680" s="80"/>
      <c r="V680" s="87"/>
      <c r="W680" s="87"/>
      <c r="X680" s="87"/>
      <c r="Y680" s="87"/>
      <c r="Z680" s="356" t="s">
        <v>1331</v>
      </c>
      <c r="AA680" s="98"/>
    </row>
    <row r="681" spans="1:27" hidden="1">
      <c r="A681" s="475"/>
      <c r="B681" s="355">
        <v>24</v>
      </c>
      <c r="C681" s="353" t="s">
        <v>1525</v>
      </c>
      <c r="D681" s="119">
        <v>4100</v>
      </c>
      <c r="E681" s="119" t="s">
        <v>2270</v>
      </c>
      <c r="F681" s="80" t="s">
        <v>163</v>
      </c>
      <c r="G681" s="357" t="s">
        <v>663</v>
      </c>
      <c r="H681" s="357" t="s">
        <v>663</v>
      </c>
      <c r="I681" s="80" t="s">
        <v>163</v>
      </c>
      <c r="J681" s="357" t="s">
        <v>663</v>
      </c>
      <c r="K681" s="357" t="s">
        <v>163</v>
      </c>
      <c r="L681" s="357" t="s">
        <v>663</v>
      </c>
      <c r="M681" s="357" t="s">
        <v>663</v>
      </c>
      <c r="N681" s="80" t="s">
        <v>1108</v>
      </c>
      <c r="O681" s="80" t="s">
        <v>1108</v>
      </c>
      <c r="P681" s="80" t="s">
        <v>1108</v>
      </c>
      <c r="Q681" s="79" t="s">
        <v>1108</v>
      </c>
      <c r="R681" s="79" t="s">
        <v>1108</v>
      </c>
      <c r="S681" s="80" t="s">
        <v>1108</v>
      </c>
      <c r="T681" s="357" t="s">
        <v>1108</v>
      </c>
      <c r="U681" s="80"/>
      <c r="V681" s="87"/>
      <c r="W681" s="87"/>
      <c r="X681" s="87"/>
      <c r="Y681" s="87"/>
      <c r="Z681" s="356" t="s">
        <v>506</v>
      </c>
      <c r="AA681" s="98"/>
    </row>
    <row r="682" spans="1:27" ht="24" hidden="1">
      <c r="A682" s="475" t="s">
        <v>1708</v>
      </c>
      <c r="B682" s="800">
        <v>1</v>
      </c>
      <c r="C682" s="803" t="s">
        <v>1527</v>
      </c>
      <c r="D682" s="806">
        <v>41400.51</v>
      </c>
      <c r="E682" s="809" t="s">
        <v>2271</v>
      </c>
      <c r="F682" s="803" t="s">
        <v>1528</v>
      </c>
      <c r="G682" s="812">
        <f>8915422.08/10000/4</f>
        <v>222.88555199999999</v>
      </c>
      <c r="H682" s="813"/>
      <c r="I682" s="803" t="s">
        <v>1529</v>
      </c>
      <c r="J682" s="626">
        <f>1467060/10000</f>
        <v>146.70599999999999</v>
      </c>
      <c r="K682" s="626"/>
      <c r="L682" s="626"/>
      <c r="M682" s="626">
        <f>SUM(G682,J682)</f>
        <v>369.59155199999998</v>
      </c>
      <c r="N682" s="94" t="s">
        <v>1530</v>
      </c>
      <c r="O682" s="93" t="s">
        <v>1531</v>
      </c>
      <c r="P682" s="76" t="s">
        <v>36</v>
      </c>
      <c r="Q682" s="347">
        <v>20.484949</v>
      </c>
      <c r="R682" s="347">
        <v>20.484949</v>
      </c>
      <c r="S682" s="342" t="s">
        <v>1532</v>
      </c>
      <c r="T682" s="325">
        <v>14.046113</v>
      </c>
      <c r="U682" s="231">
        <f>T682/Q682</f>
        <v>0.68567966656885504</v>
      </c>
      <c r="V682" s="835">
        <f>SUM(Q682:Q697)</f>
        <v>77.455189999999988</v>
      </c>
      <c r="W682" s="835">
        <f>SUM(T682:T697)</f>
        <v>31.750457999999998</v>
      </c>
      <c r="X682" s="632">
        <f>W682/V682</f>
        <v>0.40992034232954566</v>
      </c>
      <c r="Y682" s="632">
        <f>W682/M682</f>
        <v>8.5906882417052646E-2</v>
      </c>
      <c r="Z682" s="342" t="s">
        <v>1533</v>
      </c>
      <c r="AA682" s="98"/>
    </row>
    <row r="683" spans="1:27" ht="84" hidden="1">
      <c r="A683" s="475"/>
      <c r="B683" s="801"/>
      <c r="C683" s="804"/>
      <c r="D683" s="807"/>
      <c r="E683" s="810"/>
      <c r="F683" s="804"/>
      <c r="G683" s="814"/>
      <c r="H683" s="815"/>
      <c r="I683" s="804"/>
      <c r="J683" s="627"/>
      <c r="K683" s="627"/>
      <c r="L683" s="627"/>
      <c r="M683" s="627"/>
      <c r="N683" s="94" t="s">
        <v>1534</v>
      </c>
      <c r="O683" s="93" t="s">
        <v>1535</v>
      </c>
      <c r="P683" s="76" t="s">
        <v>36</v>
      </c>
      <c r="Q683" s="95">
        <v>24.2212</v>
      </c>
      <c r="R683" s="95">
        <v>40</v>
      </c>
      <c r="S683" s="342" t="s">
        <v>1536</v>
      </c>
      <c r="T683" s="136">
        <v>16.729099999999999</v>
      </c>
      <c r="U683" s="231">
        <f t="shared" ref="U683:U695" si="59">T683/Q683</f>
        <v>0.69068006539725524</v>
      </c>
      <c r="V683" s="630"/>
      <c r="W683" s="630"/>
      <c r="X683" s="633"/>
      <c r="Y683" s="633"/>
      <c r="Z683" s="342" t="s">
        <v>1533</v>
      </c>
      <c r="AA683" s="98"/>
    </row>
    <row r="684" spans="1:27" ht="72">
      <c r="A684" s="475"/>
      <c r="B684" s="801"/>
      <c r="C684" s="804"/>
      <c r="D684" s="807"/>
      <c r="E684" s="810"/>
      <c r="F684" s="804"/>
      <c r="G684" s="814"/>
      <c r="H684" s="815"/>
      <c r="I684" s="804"/>
      <c r="J684" s="627"/>
      <c r="K684" s="627"/>
      <c r="L684" s="627"/>
      <c r="M684" s="627"/>
      <c r="N684" s="94" t="s">
        <v>1537</v>
      </c>
      <c r="O684" s="93" t="s">
        <v>1538</v>
      </c>
      <c r="P684" s="76" t="s">
        <v>27</v>
      </c>
      <c r="Q684" s="95">
        <v>0.54549700000000001</v>
      </c>
      <c r="R684" s="95">
        <v>0.54549700000000001</v>
      </c>
      <c r="S684" s="94" t="s">
        <v>1191</v>
      </c>
      <c r="T684" s="136">
        <v>0.19384599999999999</v>
      </c>
      <c r="U684" s="231">
        <f t="shared" si="59"/>
        <v>0.35535667473881616</v>
      </c>
      <c r="V684" s="630"/>
      <c r="W684" s="630"/>
      <c r="X684" s="633"/>
      <c r="Y684" s="633"/>
      <c r="Z684" s="342" t="s">
        <v>1533</v>
      </c>
      <c r="AA684" s="98"/>
    </row>
    <row r="685" spans="1:27" ht="84">
      <c r="A685" s="475"/>
      <c r="B685" s="801"/>
      <c r="C685" s="804"/>
      <c r="D685" s="807"/>
      <c r="E685" s="810"/>
      <c r="F685" s="804"/>
      <c r="G685" s="814"/>
      <c r="H685" s="815"/>
      <c r="I685" s="804"/>
      <c r="J685" s="627"/>
      <c r="K685" s="627"/>
      <c r="L685" s="627"/>
      <c r="M685" s="627"/>
      <c r="N685" s="94" t="s">
        <v>670</v>
      </c>
      <c r="O685" s="93" t="s">
        <v>1539</v>
      </c>
      <c r="P685" s="76" t="s">
        <v>27</v>
      </c>
      <c r="Q685" s="95">
        <v>2.2503580000000003</v>
      </c>
      <c r="R685" s="95">
        <v>2.2503580000000003</v>
      </c>
      <c r="S685" s="94"/>
      <c r="T685" s="136"/>
      <c r="U685" s="231"/>
      <c r="V685" s="630"/>
      <c r="W685" s="630"/>
      <c r="X685" s="633"/>
      <c r="Y685" s="633"/>
      <c r="Z685" s="342" t="s">
        <v>1533</v>
      </c>
      <c r="AA685" s="98"/>
    </row>
    <row r="686" spans="1:27" ht="60">
      <c r="A686" s="475"/>
      <c r="B686" s="801"/>
      <c r="C686" s="804"/>
      <c r="D686" s="807"/>
      <c r="E686" s="810"/>
      <c r="F686" s="804"/>
      <c r="G686" s="814"/>
      <c r="H686" s="815"/>
      <c r="I686" s="804"/>
      <c r="J686" s="627"/>
      <c r="K686" s="627"/>
      <c r="L686" s="627"/>
      <c r="M686" s="627"/>
      <c r="N686" s="94" t="s">
        <v>1540</v>
      </c>
      <c r="O686" s="93" t="s">
        <v>1541</v>
      </c>
      <c r="P686" s="76" t="s">
        <v>27</v>
      </c>
      <c r="Q686" s="95">
        <v>0.44422899999999998</v>
      </c>
      <c r="R686" s="95">
        <v>0.44422899999999998</v>
      </c>
      <c r="S686" s="94"/>
      <c r="T686" s="136"/>
      <c r="U686" s="231"/>
      <c r="V686" s="630"/>
      <c r="W686" s="630"/>
      <c r="X686" s="633"/>
      <c r="Y686" s="633"/>
      <c r="Z686" s="342" t="s">
        <v>1533</v>
      </c>
      <c r="AA686" s="98"/>
    </row>
    <row r="687" spans="1:27" ht="96">
      <c r="A687" s="475"/>
      <c r="B687" s="801"/>
      <c r="C687" s="804"/>
      <c r="D687" s="807"/>
      <c r="E687" s="810"/>
      <c r="F687" s="804"/>
      <c r="G687" s="814"/>
      <c r="H687" s="815"/>
      <c r="I687" s="804"/>
      <c r="J687" s="627"/>
      <c r="K687" s="627"/>
      <c r="L687" s="627"/>
      <c r="M687" s="627"/>
      <c r="N687" s="94" t="s">
        <v>1542</v>
      </c>
      <c r="O687" s="93" t="s">
        <v>1543</v>
      </c>
      <c r="P687" s="76" t="s">
        <v>27</v>
      </c>
      <c r="Q687" s="95">
        <v>18.716947000000001</v>
      </c>
      <c r="R687" s="95">
        <v>18.716947000000001</v>
      </c>
      <c r="S687" s="94"/>
      <c r="T687" s="136"/>
      <c r="U687" s="231"/>
      <c r="V687" s="630"/>
      <c r="W687" s="630"/>
      <c r="X687" s="633"/>
      <c r="Y687" s="633"/>
      <c r="Z687" s="342" t="s">
        <v>1533</v>
      </c>
      <c r="AA687" s="98"/>
    </row>
    <row r="688" spans="1:27" ht="36">
      <c r="A688" s="475"/>
      <c r="B688" s="801"/>
      <c r="C688" s="804"/>
      <c r="D688" s="807"/>
      <c r="E688" s="810"/>
      <c r="F688" s="804"/>
      <c r="G688" s="814"/>
      <c r="H688" s="815"/>
      <c r="I688" s="804"/>
      <c r="J688" s="627"/>
      <c r="K688" s="627"/>
      <c r="L688" s="627"/>
      <c r="M688" s="627"/>
      <c r="N688" s="94" t="s">
        <v>1544</v>
      </c>
      <c r="O688" s="93" t="s">
        <v>1545</v>
      </c>
      <c r="P688" s="76" t="s">
        <v>27</v>
      </c>
      <c r="Q688" s="95">
        <v>7.3602000000000001E-2</v>
      </c>
      <c r="R688" s="95">
        <v>7.3602000000000001E-2</v>
      </c>
      <c r="S688" s="94" t="s">
        <v>1546</v>
      </c>
      <c r="T688" s="136">
        <v>5.1401999999999996E-2</v>
      </c>
      <c r="U688" s="231">
        <f t="shared" si="59"/>
        <v>0.69837776147387298</v>
      </c>
      <c r="V688" s="630"/>
      <c r="W688" s="630"/>
      <c r="X688" s="633"/>
      <c r="Y688" s="633"/>
      <c r="Z688" s="342" t="s">
        <v>1533</v>
      </c>
      <c r="AA688" s="98"/>
    </row>
    <row r="689" spans="1:27" ht="24">
      <c r="A689" s="475"/>
      <c r="B689" s="801"/>
      <c r="C689" s="804"/>
      <c r="D689" s="807"/>
      <c r="E689" s="810"/>
      <c r="F689" s="804"/>
      <c r="G689" s="814"/>
      <c r="H689" s="815"/>
      <c r="I689" s="804"/>
      <c r="J689" s="627"/>
      <c r="K689" s="627"/>
      <c r="L689" s="627"/>
      <c r="M689" s="627"/>
      <c r="N689" s="94" t="s">
        <v>1547</v>
      </c>
      <c r="O689" s="93" t="s">
        <v>1548</v>
      </c>
      <c r="P689" s="76" t="s">
        <v>27</v>
      </c>
      <c r="Q689" s="95">
        <v>2.2878119999999997</v>
      </c>
      <c r="R689" s="95">
        <v>2.2878119999999997</v>
      </c>
      <c r="S689" s="94"/>
      <c r="T689" s="136"/>
      <c r="U689" s="231"/>
      <c r="V689" s="630"/>
      <c r="W689" s="630"/>
      <c r="X689" s="633"/>
      <c r="Y689" s="633"/>
      <c r="Z689" s="342" t="s">
        <v>1533</v>
      </c>
      <c r="AA689" s="98"/>
    </row>
    <row r="690" spans="1:27" ht="24">
      <c r="A690" s="475"/>
      <c r="B690" s="801"/>
      <c r="C690" s="804"/>
      <c r="D690" s="807"/>
      <c r="E690" s="810"/>
      <c r="F690" s="804"/>
      <c r="G690" s="814"/>
      <c r="H690" s="815"/>
      <c r="I690" s="804"/>
      <c r="J690" s="627"/>
      <c r="K690" s="627"/>
      <c r="L690" s="627"/>
      <c r="M690" s="627"/>
      <c r="N690" s="94" t="s">
        <v>123</v>
      </c>
      <c r="O690" s="93" t="s">
        <v>1549</v>
      </c>
      <c r="P690" s="76" t="s">
        <v>27</v>
      </c>
      <c r="Q690" s="95">
        <v>1.425411</v>
      </c>
      <c r="R690" s="95">
        <v>1.425411</v>
      </c>
      <c r="S690" s="94"/>
      <c r="T690" s="136"/>
      <c r="U690" s="231"/>
      <c r="V690" s="630"/>
      <c r="W690" s="630"/>
      <c r="X690" s="633"/>
      <c r="Y690" s="633"/>
      <c r="Z690" s="342" t="s">
        <v>1533</v>
      </c>
      <c r="AA690" s="98"/>
    </row>
    <row r="691" spans="1:27" ht="24">
      <c r="A691" s="475"/>
      <c r="B691" s="801"/>
      <c r="C691" s="804"/>
      <c r="D691" s="807"/>
      <c r="E691" s="810"/>
      <c r="F691" s="804"/>
      <c r="G691" s="814"/>
      <c r="H691" s="815"/>
      <c r="I691" s="804"/>
      <c r="J691" s="627"/>
      <c r="K691" s="627"/>
      <c r="L691" s="627"/>
      <c r="M691" s="627"/>
      <c r="N691" s="94" t="s">
        <v>123</v>
      </c>
      <c r="O691" s="93" t="s">
        <v>1550</v>
      </c>
      <c r="P691" s="76" t="s">
        <v>27</v>
      </c>
      <c r="Q691" s="95">
        <v>1.986148</v>
      </c>
      <c r="R691" s="95">
        <v>1.986148</v>
      </c>
      <c r="S691" s="94"/>
      <c r="T691" s="136"/>
      <c r="U691" s="231"/>
      <c r="V691" s="630"/>
      <c r="W691" s="630"/>
      <c r="X691" s="633"/>
      <c r="Y691" s="633"/>
      <c r="Z691" s="342" t="s">
        <v>1533</v>
      </c>
      <c r="AA691" s="98"/>
    </row>
    <row r="692" spans="1:27" ht="24">
      <c r="A692" s="475"/>
      <c r="B692" s="801"/>
      <c r="C692" s="804"/>
      <c r="D692" s="807"/>
      <c r="E692" s="810"/>
      <c r="F692" s="804"/>
      <c r="G692" s="814"/>
      <c r="H692" s="815"/>
      <c r="I692" s="804"/>
      <c r="J692" s="627"/>
      <c r="K692" s="627"/>
      <c r="L692" s="627"/>
      <c r="M692" s="627"/>
      <c r="N692" s="94" t="s">
        <v>1551</v>
      </c>
      <c r="O692" s="93" t="s">
        <v>1552</v>
      </c>
      <c r="P692" s="76" t="s">
        <v>27</v>
      </c>
      <c r="Q692" s="95">
        <v>0.31994600000000001</v>
      </c>
      <c r="R692" s="95">
        <v>0.31994600000000001</v>
      </c>
      <c r="S692" s="94" t="s">
        <v>249</v>
      </c>
      <c r="T692" s="136">
        <v>0.23242800000000002</v>
      </c>
      <c r="U692" s="231">
        <f t="shared" si="59"/>
        <v>0.72646009014021118</v>
      </c>
      <c r="V692" s="630"/>
      <c r="W692" s="630"/>
      <c r="X692" s="633"/>
      <c r="Y692" s="633"/>
      <c r="Z692" s="342" t="s">
        <v>1533</v>
      </c>
      <c r="AA692" s="98"/>
    </row>
    <row r="693" spans="1:27" ht="24">
      <c r="A693" s="475"/>
      <c r="B693" s="801"/>
      <c r="C693" s="804"/>
      <c r="D693" s="807"/>
      <c r="E693" s="810"/>
      <c r="F693" s="804"/>
      <c r="G693" s="814"/>
      <c r="H693" s="815"/>
      <c r="I693" s="804"/>
      <c r="J693" s="627"/>
      <c r="K693" s="627"/>
      <c r="L693" s="627"/>
      <c r="M693" s="627"/>
      <c r="N693" s="94" t="s">
        <v>1553</v>
      </c>
      <c r="O693" s="93" t="s">
        <v>1554</v>
      </c>
      <c r="P693" s="76" t="s">
        <v>27</v>
      </c>
      <c r="Q693" s="95">
        <v>1.586595</v>
      </c>
      <c r="R693" s="95">
        <v>1.586595</v>
      </c>
      <c r="S693" s="94"/>
      <c r="T693" s="136"/>
      <c r="U693" s="231"/>
      <c r="V693" s="630"/>
      <c r="W693" s="630"/>
      <c r="X693" s="633"/>
      <c r="Y693" s="633"/>
      <c r="Z693" s="342" t="s">
        <v>1533</v>
      </c>
      <c r="AA693" s="98"/>
    </row>
    <row r="694" spans="1:27" ht="24">
      <c r="A694" s="475"/>
      <c r="B694" s="801"/>
      <c r="C694" s="804"/>
      <c r="D694" s="807"/>
      <c r="E694" s="810"/>
      <c r="F694" s="804"/>
      <c r="G694" s="814"/>
      <c r="H694" s="815"/>
      <c r="I694" s="804"/>
      <c r="J694" s="627"/>
      <c r="K694" s="627"/>
      <c r="L694" s="627"/>
      <c r="M694" s="627"/>
      <c r="N694" s="326" t="s">
        <v>1555</v>
      </c>
      <c r="O694" s="348" t="s">
        <v>1556</v>
      </c>
      <c r="P694" s="76" t="s">
        <v>27</v>
      </c>
      <c r="Q694" s="95">
        <v>0.62602999999999998</v>
      </c>
      <c r="R694" s="95">
        <v>0.62602999999999998</v>
      </c>
      <c r="S694" s="326" t="s">
        <v>249</v>
      </c>
      <c r="T694" s="323">
        <v>0.45265500000000003</v>
      </c>
      <c r="U694" s="231">
        <f t="shared" si="59"/>
        <v>0.7230564030477773</v>
      </c>
      <c r="V694" s="630"/>
      <c r="W694" s="630"/>
      <c r="X694" s="633"/>
      <c r="Y694" s="633"/>
      <c r="Z694" s="359" t="s">
        <v>1533</v>
      </c>
      <c r="AA694" s="98"/>
    </row>
    <row r="695" spans="1:27" ht="24">
      <c r="A695" s="475"/>
      <c r="B695" s="801"/>
      <c r="C695" s="804"/>
      <c r="D695" s="807"/>
      <c r="E695" s="810"/>
      <c r="F695" s="804"/>
      <c r="G695" s="814"/>
      <c r="H695" s="815"/>
      <c r="I695" s="804"/>
      <c r="J695" s="627"/>
      <c r="K695" s="627"/>
      <c r="L695" s="627"/>
      <c r="M695" s="627"/>
      <c r="N695" s="326" t="s">
        <v>726</v>
      </c>
      <c r="O695" s="348" t="s">
        <v>1557</v>
      </c>
      <c r="P695" s="76" t="s">
        <v>27</v>
      </c>
      <c r="Q695" s="95">
        <v>5.935E-2</v>
      </c>
      <c r="R695" s="95">
        <v>5.935E-2</v>
      </c>
      <c r="S695" s="326" t="s">
        <v>249</v>
      </c>
      <c r="T695" s="323">
        <v>4.4913999999999996E-2</v>
      </c>
      <c r="U695" s="231">
        <f t="shared" si="59"/>
        <v>0.75676495366470087</v>
      </c>
      <c r="V695" s="630"/>
      <c r="W695" s="630"/>
      <c r="X695" s="633"/>
      <c r="Y695" s="633"/>
      <c r="Z695" s="359" t="s">
        <v>1533</v>
      </c>
      <c r="AA695" s="98"/>
    </row>
    <row r="696" spans="1:27" ht="36">
      <c r="A696" s="475"/>
      <c r="B696" s="801"/>
      <c r="C696" s="804"/>
      <c r="D696" s="807"/>
      <c r="E696" s="810"/>
      <c r="F696" s="804"/>
      <c r="G696" s="814"/>
      <c r="H696" s="815"/>
      <c r="I696" s="804"/>
      <c r="J696" s="627"/>
      <c r="K696" s="627"/>
      <c r="L696" s="627"/>
      <c r="M696" s="627"/>
      <c r="N696" s="264" t="s">
        <v>1558</v>
      </c>
      <c r="O696" s="265" t="s">
        <v>1559</v>
      </c>
      <c r="P696" s="76" t="s">
        <v>27</v>
      </c>
      <c r="Q696" s="105">
        <v>2.0740660000000002</v>
      </c>
      <c r="R696" s="105">
        <v>2.2120660000000001</v>
      </c>
      <c r="S696" s="264"/>
      <c r="T696" s="303"/>
      <c r="U696" s="112"/>
      <c r="V696" s="630"/>
      <c r="W696" s="630"/>
      <c r="X696" s="633"/>
      <c r="Y696" s="633"/>
      <c r="Z696" s="359" t="s">
        <v>1533</v>
      </c>
      <c r="AA696" s="98"/>
    </row>
    <row r="697" spans="1:27" ht="60">
      <c r="A697" s="475"/>
      <c r="B697" s="802"/>
      <c r="C697" s="805"/>
      <c r="D697" s="808"/>
      <c r="E697" s="811"/>
      <c r="F697" s="805"/>
      <c r="G697" s="816"/>
      <c r="H697" s="817"/>
      <c r="I697" s="805"/>
      <c r="J697" s="628"/>
      <c r="K697" s="628"/>
      <c r="L697" s="628"/>
      <c r="M697" s="628"/>
      <c r="N697" s="337" t="s">
        <v>1560</v>
      </c>
      <c r="O697" s="114" t="s">
        <v>1561</v>
      </c>
      <c r="P697" s="76" t="s">
        <v>27</v>
      </c>
      <c r="Q697" s="105">
        <v>0.35304999999999997</v>
      </c>
      <c r="R697" s="105">
        <v>6.3530499999999996</v>
      </c>
      <c r="S697" s="337"/>
      <c r="T697" s="104"/>
      <c r="U697" s="112"/>
      <c r="V697" s="631"/>
      <c r="W697" s="631"/>
      <c r="X697" s="634"/>
      <c r="Y697" s="634"/>
      <c r="Z697" s="359" t="s">
        <v>1533</v>
      </c>
      <c r="AA697" s="98"/>
    </row>
    <row r="698" spans="1:27" ht="144">
      <c r="A698" s="475"/>
      <c r="B698" s="800">
        <v>2</v>
      </c>
      <c r="C698" s="803" t="s">
        <v>1562</v>
      </c>
      <c r="D698" s="836">
        <f>47521.0257-3504.6334</f>
        <v>44016.3923</v>
      </c>
      <c r="E698" s="839" t="s">
        <v>2272</v>
      </c>
      <c r="F698" s="803" t="s">
        <v>1563</v>
      </c>
      <c r="G698" s="812">
        <f>924.648867/3</f>
        <v>308.21628900000002</v>
      </c>
      <c r="H698" s="813"/>
      <c r="I698" s="803" t="s">
        <v>1564</v>
      </c>
      <c r="J698" s="832">
        <f>569.8525/3</f>
        <v>189.95083333333332</v>
      </c>
      <c r="K698" s="832"/>
      <c r="L698" s="832"/>
      <c r="M698" s="626">
        <f>SUM(G698,H698,J698,L698)</f>
        <v>498.16712233333334</v>
      </c>
      <c r="N698" s="342" t="s">
        <v>1565</v>
      </c>
      <c r="O698" s="340" t="s">
        <v>1566</v>
      </c>
      <c r="P698" s="76" t="s">
        <v>27</v>
      </c>
      <c r="Q698" s="347">
        <v>12.831</v>
      </c>
      <c r="R698" s="347">
        <v>12.831</v>
      </c>
      <c r="S698" s="89"/>
      <c r="T698" s="297"/>
      <c r="U698" s="18"/>
      <c r="V698" s="822">
        <f>SUM(Q698:Q713)</f>
        <v>268.86099999999999</v>
      </c>
      <c r="W698" s="822">
        <f>SUM(T698:T713)</f>
        <v>91.92</v>
      </c>
      <c r="X698" s="822">
        <f>W698/V698</f>
        <v>0.34188669981886555</v>
      </c>
      <c r="Y698" s="822"/>
      <c r="Z698" s="342" t="s">
        <v>43</v>
      </c>
      <c r="AA698" s="98"/>
    </row>
    <row r="699" spans="1:27" ht="216">
      <c r="A699" s="475"/>
      <c r="B699" s="801"/>
      <c r="C699" s="804"/>
      <c r="D699" s="837"/>
      <c r="E699" s="840"/>
      <c r="F699" s="842"/>
      <c r="G699" s="814"/>
      <c r="H699" s="815"/>
      <c r="I699" s="804"/>
      <c r="J699" s="833"/>
      <c r="K699" s="833"/>
      <c r="L699" s="833"/>
      <c r="M699" s="627"/>
      <c r="N699" s="342" t="s">
        <v>1567</v>
      </c>
      <c r="O699" s="340" t="s">
        <v>1568</v>
      </c>
      <c r="P699" s="76" t="s">
        <v>27</v>
      </c>
      <c r="Q699" s="347">
        <v>15.3</v>
      </c>
      <c r="R699" s="347">
        <v>15.3</v>
      </c>
      <c r="S699" s="89"/>
      <c r="T699" s="297"/>
      <c r="U699" s="18"/>
      <c r="V699" s="576"/>
      <c r="W699" s="576"/>
      <c r="X699" s="576"/>
      <c r="Y699" s="576"/>
      <c r="Z699" s="342" t="s">
        <v>43</v>
      </c>
      <c r="AA699" s="98"/>
    </row>
    <row r="700" spans="1:27" ht="144">
      <c r="A700" s="475"/>
      <c r="B700" s="801"/>
      <c r="C700" s="804"/>
      <c r="D700" s="837"/>
      <c r="E700" s="840"/>
      <c r="F700" s="842"/>
      <c r="G700" s="814"/>
      <c r="H700" s="815"/>
      <c r="I700" s="804"/>
      <c r="J700" s="833"/>
      <c r="K700" s="833"/>
      <c r="L700" s="833"/>
      <c r="M700" s="627"/>
      <c r="N700" s="342" t="s">
        <v>1229</v>
      </c>
      <c r="O700" s="340" t="s">
        <v>1569</v>
      </c>
      <c r="P700" s="76" t="s">
        <v>27</v>
      </c>
      <c r="Q700" s="347">
        <v>13.65</v>
      </c>
      <c r="R700" s="347">
        <v>13.65</v>
      </c>
      <c r="S700" s="90"/>
      <c r="T700" s="325"/>
      <c r="U700" s="18"/>
      <c r="V700" s="576"/>
      <c r="W700" s="576"/>
      <c r="X700" s="576"/>
      <c r="Y700" s="576"/>
      <c r="Z700" s="342" t="s">
        <v>43</v>
      </c>
      <c r="AA700" s="98"/>
    </row>
    <row r="701" spans="1:27" ht="144">
      <c r="A701" s="475"/>
      <c r="B701" s="801"/>
      <c r="C701" s="804"/>
      <c r="D701" s="837"/>
      <c r="E701" s="840"/>
      <c r="F701" s="842"/>
      <c r="G701" s="814"/>
      <c r="H701" s="815"/>
      <c r="I701" s="804"/>
      <c r="J701" s="833"/>
      <c r="K701" s="833"/>
      <c r="L701" s="833"/>
      <c r="M701" s="627"/>
      <c r="N701" s="342" t="s">
        <v>107</v>
      </c>
      <c r="O701" s="340" t="s">
        <v>1570</v>
      </c>
      <c r="P701" s="76" t="s">
        <v>27</v>
      </c>
      <c r="Q701" s="347">
        <v>5</v>
      </c>
      <c r="R701" s="347">
        <v>5</v>
      </c>
      <c r="S701" s="90" t="s">
        <v>1571</v>
      </c>
      <c r="T701" s="325">
        <v>0.66</v>
      </c>
      <c r="U701" s="18">
        <f>T701/Q701</f>
        <v>0.13200000000000001</v>
      </c>
      <c r="V701" s="576"/>
      <c r="W701" s="576"/>
      <c r="X701" s="576"/>
      <c r="Y701" s="576"/>
      <c r="Z701" s="342" t="s">
        <v>43</v>
      </c>
      <c r="AA701" s="98"/>
    </row>
    <row r="702" spans="1:27" ht="120">
      <c r="A702" s="475"/>
      <c r="B702" s="801"/>
      <c r="C702" s="804"/>
      <c r="D702" s="837"/>
      <c r="E702" s="840"/>
      <c r="F702" s="842"/>
      <c r="G702" s="814"/>
      <c r="H702" s="815"/>
      <c r="I702" s="804"/>
      <c r="J702" s="833"/>
      <c r="K702" s="833"/>
      <c r="L702" s="833"/>
      <c r="M702" s="627"/>
      <c r="N702" s="91" t="s">
        <v>1572</v>
      </c>
      <c r="O702" s="340" t="s">
        <v>1573</v>
      </c>
      <c r="P702" s="76" t="s">
        <v>27</v>
      </c>
      <c r="Q702" s="347">
        <v>12</v>
      </c>
      <c r="R702" s="347">
        <v>12</v>
      </c>
      <c r="S702" s="90"/>
      <c r="T702" s="325"/>
      <c r="U702" s="18"/>
      <c r="V702" s="576"/>
      <c r="W702" s="576"/>
      <c r="X702" s="576"/>
      <c r="Y702" s="576"/>
      <c r="Z702" s="342" t="s">
        <v>43</v>
      </c>
      <c r="AA702" s="98"/>
    </row>
    <row r="703" spans="1:27" ht="132">
      <c r="A703" s="475"/>
      <c r="B703" s="801"/>
      <c r="C703" s="804"/>
      <c r="D703" s="837"/>
      <c r="E703" s="840"/>
      <c r="F703" s="842"/>
      <c r="G703" s="814"/>
      <c r="H703" s="815"/>
      <c r="I703" s="804"/>
      <c r="J703" s="833"/>
      <c r="K703" s="833"/>
      <c r="L703" s="833"/>
      <c r="M703" s="627"/>
      <c r="N703" s="91" t="s">
        <v>1574</v>
      </c>
      <c r="O703" s="340" t="s">
        <v>1575</v>
      </c>
      <c r="P703" s="76" t="s">
        <v>27</v>
      </c>
      <c r="Q703" s="347">
        <v>7.22</v>
      </c>
      <c r="R703" s="347">
        <v>7.22</v>
      </c>
      <c r="S703" s="89"/>
      <c r="T703" s="325"/>
      <c r="U703" s="18"/>
      <c r="V703" s="576"/>
      <c r="W703" s="576"/>
      <c r="X703" s="576"/>
      <c r="Y703" s="576"/>
      <c r="Z703" s="342" t="s">
        <v>43</v>
      </c>
      <c r="AA703" s="98"/>
    </row>
    <row r="704" spans="1:27" ht="120">
      <c r="A704" s="475"/>
      <c r="B704" s="801"/>
      <c r="C704" s="804"/>
      <c r="D704" s="837"/>
      <c r="E704" s="840"/>
      <c r="F704" s="842"/>
      <c r="G704" s="814"/>
      <c r="H704" s="815"/>
      <c r="I704" s="804"/>
      <c r="J704" s="833"/>
      <c r="K704" s="833"/>
      <c r="L704" s="833"/>
      <c r="M704" s="627"/>
      <c r="N704" s="342" t="s">
        <v>1576</v>
      </c>
      <c r="O704" s="340" t="s">
        <v>1577</v>
      </c>
      <c r="P704" s="76" t="s">
        <v>27</v>
      </c>
      <c r="Q704" s="347">
        <v>3</v>
      </c>
      <c r="R704" s="347">
        <v>3</v>
      </c>
      <c r="S704" s="90"/>
      <c r="T704" s="325"/>
      <c r="U704" s="18"/>
      <c r="V704" s="576"/>
      <c r="W704" s="576"/>
      <c r="X704" s="576"/>
      <c r="Y704" s="576"/>
      <c r="Z704" s="342" t="s">
        <v>43</v>
      </c>
      <c r="AA704" s="98"/>
    </row>
    <row r="705" spans="1:27" ht="120">
      <c r="A705" s="475"/>
      <c r="B705" s="801"/>
      <c r="C705" s="804"/>
      <c r="D705" s="837"/>
      <c r="E705" s="840"/>
      <c r="F705" s="842"/>
      <c r="G705" s="814"/>
      <c r="H705" s="815"/>
      <c r="I705" s="804"/>
      <c r="J705" s="833"/>
      <c r="K705" s="833"/>
      <c r="L705" s="833"/>
      <c r="M705" s="627"/>
      <c r="N705" s="342" t="s">
        <v>1578</v>
      </c>
      <c r="O705" s="340" t="s">
        <v>1579</v>
      </c>
      <c r="P705" s="76" t="s">
        <v>27</v>
      </c>
      <c r="Q705" s="347">
        <v>7.76</v>
      </c>
      <c r="R705" s="347">
        <v>7.76</v>
      </c>
      <c r="S705" s="90"/>
      <c r="T705" s="325"/>
      <c r="U705" s="18"/>
      <c r="V705" s="576"/>
      <c r="W705" s="576"/>
      <c r="X705" s="576"/>
      <c r="Y705" s="576"/>
      <c r="Z705" s="342" t="s">
        <v>43</v>
      </c>
      <c r="AA705" s="98"/>
    </row>
    <row r="706" spans="1:27" ht="144">
      <c r="A706" s="475"/>
      <c r="B706" s="801"/>
      <c r="C706" s="804"/>
      <c r="D706" s="837"/>
      <c r="E706" s="840"/>
      <c r="F706" s="842"/>
      <c r="G706" s="814"/>
      <c r="H706" s="815"/>
      <c r="I706" s="804"/>
      <c r="J706" s="833"/>
      <c r="K706" s="833"/>
      <c r="L706" s="833"/>
      <c r="M706" s="627"/>
      <c r="N706" s="342" t="s">
        <v>682</v>
      </c>
      <c r="O706" s="340" t="s">
        <v>1580</v>
      </c>
      <c r="P706" s="76" t="s">
        <v>27</v>
      </c>
      <c r="Q706" s="347">
        <v>60</v>
      </c>
      <c r="R706" s="347">
        <v>60</v>
      </c>
      <c r="S706" s="90" t="s">
        <v>1581</v>
      </c>
      <c r="T706" s="325">
        <v>60</v>
      </c>
      <c r="U706" s="18">
        <v>1</v>
      </c>
      <c r="V706" s="576"/>
      <c r="W706" s="576"/>
      <c r="X706" s="576"/>
      <c r="Y706" s="576"/>
      <c r="Z706" s="342" t="s">
        <v>43</v>
      </c>
      <c r="AA706" s="98"/>
    </row>
    <row r="707" spans="1:27" ht="180">
      <c r="A707" s="475"/>
      <c r="B707" s="801"/>
      <c r="C707" s="804"/>
      <c r="D707" s="837"/>
      <c r="E707" s="840"/>
      <c r="F707" s="842"/>
      <c r="G707" s="814"/>
      <c r="H707" s="815"/>
      <c r="I707" s="804"/>
      <c r="J707" s="833"/>
      <c r="K707" s="833"/>
      <c r="L707" s="833"/>
      <c r="M707" s="627"/>
      <c r="N707" s="342" t="s">
        <v>679</v>
      </c>
      <c r="O707" s="340" t="s">
        <v>1582</v>
      </c>
      <c r="P707" s="76" t="s">
        <v>27</v>
      </c>
      <c r="Q707" s="347">
        <v>10</v>
      </c>
      <c r="R707" s="347">
        <v>10</v>
      </c>
      <c r="S707" s="90"/>
      <c r="T707" s="325"/>
      <c r="U707" s="18"/>
      <c r="V707" s="576"/>
      <c r="W707" s="576"/>
      <c r="X707" s="576"/>
      <c r="Y707" s="576"/>
      <c r="Z707" s="342" t="s">
        <v>43</v>
      </c>
      <c r="AA707" s="98"/>
    </row>
    <row r="708" spans="1:27" ht="132">
      <c r="A708" s="475"/>
      <c r="B708" s="801"/>
      <c r="C708" s="804"/>
      <c r="D708" s="837"/>
      <c r="E708" s="840"/>
      <c r="F708" s="842"/>
      <c r="G708" s="814"/>
      <c r="H708" s="815"/>
      <c r="I708" s="804"/>
      <c r="J708" s="833"/>
      <c r="K708" s="833"/>
      <c r="L708" s="833"/>
      <c r="M708" s="627"/>
      <c r="N708" s="342" t="s">
        <v>1583</v>
      </c>
      <c r="O708" s="340" t="s">
        <v>1584</v>
      </c>
      <c r="P708" s="76" t="s">
        <v>27</v>
      </c>
      <c r="Q708" s="347">
        <v>8.7200000000000006</v>
      </c>
      <c r="R708" s="347">
        <v>8.7200000000000006</v>
      </c>
      <c r="S708" s="90"/>
      <c r="T708" s="325"/>
      <c r="U708" s="18"/>
      <c r="V708" s="576"/>
      <c r="W708" s="576"/>
      <c r="X708" s="576"/>
      <c r="Y708" s="576"/>
      <c r="Z708" s="342" t="s">
        <v>43</v>
      </c>
      <c r="AA708" s="98"/>
    </row>
    <row r="709" spans="1:27" ht="156">
      <c r="A709" s="475"/>
      <c r="B709" s="801"/>
      <c r="C709" s="804"/>
      <c r="D709" s="837"/>
      <c r="E709" s="840"/>
      <c r="F709" s="842"/>
      <c r="G709" s="814"/>
      <c r="H709" s="815"/>
      <c r="I709" s="804"/>
      <c r="J709" s="833"/>
      <c r="K709" s="833"/>
      <c r="L709" s="833"/>
      <c r="M709" s="627"/>
      <c r="N709" s="342" t="s">
        <v>1585</v>
      </c>
      <c r="O709" s="340" t="s">
        <v>1586</v>
      </c>
      <c r="P709" s="76" t="s">
        <v>27</v>
      </c>
      <c r="Q709" s="347">
        <v>19.5</v>
      </c>
      <c r="R709" s="347">
        <v>19.5</v>
      </c>
      <c r="S709" s="90"/>
      <c r="T709" s="325"/>
      <c r="U709" s="18"/>
      <c r="V709" s="576"/>
      <c r="W709" s="576"/>
      <c r="X709" s="576"/>
      <c r="Y709" s="576"/>
      <c r="Z709" s="342" t="s">
        <v>43</v>
      </c>
      <c r="AA709" s="98"/>
    </row>
    <row r="710" spans="1:27" ht="228">
      <c r="A710" s="475"/>
      <c r="B710" s="801"/>
      <c r="C710" s="804"/>
      <c r="D710" s="837"/>
      <c r="E710" s="840"/>
      <c r="F710" s="842"/>
      <c r="G710" s="814"/>
      <c r="H710" s="815"/>
      <c r="I710" s="804"/>
      <c r="J710" s="833"/>
      <c r="K710" s="833"/>
      <c r="L710" s="833"/>
      <c r="M710" s="627"/>
      <c r="N710" s="342" t="s">
        <v>1192</v>
      </c>
      <c r="O710" s="340" t="s">
        <v>1587</v>
      </c>
      <c r="P710" s="76" t="s">
        <v>27</v>
      </c>
      <c r="Q710" s="347">
        <v>16.600000000000001</v>
      </c>
      <c r="R710" s="347">
        <v>16.600000000000001</v>
      </c>
      <c r="S710" s="90" t="s">
        <v>1588</v>
      </c>
      <c r="T710" s="325">
        <v>12</v>
      </c>
      <c r="U710" s="18">
        <v>0.72299999999999998</v>
      </c>
      <c r="V710" s="576"/>
      <c r="W710" s="576"/>
      <c r="X710" s="576"/>
      <c r="Y710" s="576"/>
      <c r="Z710" s="342" t="s">
        <v>43</v>
      </c>
      <c r="AA710" s="98"/>
    </row>
    <row r="711" spans="1:27" ht="132">
      <c r="A711" s="475"/>
      <c r="B711" s="801"/>
      <c r="C711" s="804"/>
      <c r="D711" s="837"/>
      <c r="E711" s="840"/>
      <c r="F711" s="842"/>
      <c r="G711" s="814"/>
      <c r="H711" s="815"/>
      <c r="I711" s="804"/>
      <c r="J711" s="833"/>
      <c r="K711" s="833"/>
      <c r="L711" s="833"/>
      <c r="M711" s="627"/>
      <c r="N711" s="92" t="s">
        <v>1589</v>
      </c>
      <c r="O711" s="93" t="s">
        <v>1590</v>
      </c>
      <c r="P711" s="76" t="s">
        <v>27</v>
      </c>
      <c r="Q711" s="95">
        <v>4.5</v>
      </c>
      <c r="R711" s="95">
        <v>4.5</v>
      </c>
      <c r="S711" s="96" t="s">
        <v>1571</v>
      </c>
      <c r="T711" s="136">
        <v>0.26</v>
      </c>
      <c r="U711" s="18">
        <v>5.7777777777777782E-2</v>
      </c>
      <c r="V711" s="576"/>
      <c r="W711" s="576"/>
      <c r="X711" s="576"/>
      <c r="Y711" s="576"/>
      <c r="Z711" s="94" t="s">
        <v>43</v>
      </c>
      <c r="AA711" s="98"/>
    </row>
    <row r="712" spans="1:27" ht="24" hidden="1">
      <c r="A712" s="475"/>
      <c r="B712" s="801"/>
      <c r="C712" s="804"/>
      <c r="D712" s="837"/>
      <c r="E712" s="840"/>
      <c r="F712" s="842"/>
      <c r="G712" s="814"/>
      <c r="H712" s="815"/>
      <c r="I712" s="804"/>
      <c r="J712" s="833"/>
      <c r="K712" s="833"/>
      <c r="L712" s="833"/>
      <c r="M712" s="627"/>
      <c r="N712" s="92" t="s">
        <v>1591</v>
      </c>
      <c r="O712" s="93" t="s">
        <v>1592</v>
      </c>
      <c r="P712" s="76" t="s">
        <v>36</v>
      </c>
      <c r="Q712" s="95">
        <v>65</v>
      </c>
      <c r="R712" s="95">
        <v>65</v>
      </c>
      <c r="S712" s="96">
        <v>2014.09</v>
      </c>
      <c r="T712" s="136">
        <v>16</v>
      </c>
      <c r="U712" s="18">
        <v>0.24615384615384617</v>
      </c>
      <c r="V712" s="576"/>
      <c r="W712" s="576"/>
      <c r="X712" s="576"/>
      <c r="Y712" s="576"/>
      <c r="Z712" s="94" t="s">
        <v>43</v>
      </c>
      <c r="AA712" s="98"/>
    </row>
    <row r="713" spans="1:27" hidden="1">
      <c r="A713" s="475"/>
      <c r="B713" s="802"/>
      <c r="C713" s="805"/>
      <c r="D713" s="838"/>
      <c r="E713" s="841"/>
      <c r="F713" s="843"/>
      <c r="G713" s="816"/>
      <c r="H713" s="817"/>
      <c r="I713" s="805"/>
      <c r="J713" s="834"/>
      <c r="K713" s="834"/>
      <c r="L713" s="834"/>
      <c r="M713" s="628"/>
      <c r="N713" s="92" t="s">
        <v>1593</v>
      </c>
      <c r="O713" s="93" t="s">
        <v>1594</v>
      </c>
      <c r="P713" s="76" t="s">
        <v>36</v>
      </c>
      <c r="Q713" s="95">
        <v>7.78</v>
      </c>
      <c r="R713" s="95">
        <v>7.78</v>
      </c>
      <c r="S713" s="94">
        <v>2014.09</v>
      </c>
      <c r="T713" s="136">
        <v>3</v>
      </c>
      <c r="U713" s="18">
        <v>0.38560411311053983</v>
      </c>
      <c r="V713" s="577"/>
      <c r="W713" s="577"/>
      <c r="X713" s="577"/>
      <c r="Y713" s="577"/>
      <c r="Z713" s="94" t="s">
        <v>43</v>
      </c>
      <c r="AA713" s="98"/>
    </row>
    <row r="714" spans="1:27" ht="108">
      <c r="A714" s="475"/>
      <c r="B714" s="823">
        <v>3</v>
      </c>
      <c r="C714" s="826" t="s">
        <v>1595</v>
      </c>
      <c r="D714" s="424"/>
      <c r="E714" s="424"/>
      <c r="F714" s="826" t="s">
        <v>1563</v>
      </c>
      <c r="G714" s="812">
        <f>924.648867/3</f>
        <v>308.21628900000002</v>
      </c>
      <c r="H714" s="813"/>
      <c r="I714" s="803" t="s">
        <v>1564</v>
      </c>
      <c r="J714" s="829">
        <f>569.85/3</f>
        <v>189.95000000000002</v>
      </c>
      <c r="K714" s="829"/>
      <c r="L714" s="829"/>
      <c r="M714" s="626">
        <f>G714+J714</f>
        <v>498.16628900000001</v>
      </c>
      <c r="N714" s="92" t="s">
        <v>1596</v>
      </c>
      <c r="O714" s="93" t="s">
        <v>1597</v>
      </c>
      <c r="P714" s="76" t="s">
        <v>27</v>
      </c>
      <c r="Q714" s="95">
        <v>7.0265500000000003</v>
      </c>
      <c r="R714" s="95">
        <v>7.0265500000000003</v>
      </c>
      <c r="S714" s="94" t="s">
        <v>1004</v>
      </c>
      <c r="T714" s="136">
        <v>7.1406000000000001</v>
      </c>
      <c r="U714" s="18">
        <v>1.0162312941628537</v>
      </c>
      <c r="V714" s="822">
        <f>SUM(Q714:Q732)</f>
        <v>456.09299800000002</v>
      </c>
      <c r="W714" s="822">
        <f>SUM(T714:T732)</f>
        <v>130.38566800000001</v>
      </c>
      <c r="X714" s="578">
        <f>W714/V714</f>
        <v>0.28587518021927627</v>
      </c>
      <c r="Y714" s="578">
        <f>W714/M714</f>
        <v>0.26173121481530037</v>
      </c>
      <c r="Z714" s="94" t="s">
        <v>43</v>
      </c>
      <c r="AA714" s="98"/>
    </row>
    <row r="715" spans="1:27" ht="264">
      <c r="A715" s="475"/>
      <c r="B715" s="824"/>
      <c r="C715" s="827"/>
      <c r="D715" s="425"/>
      <c r="E715" s="425"/>
      <c r="F715" s="827"/>
      <c r="G715" s="814"/>
      <c r="H715" s="815"/>
      <c r="I715" s="804"/>
      <c r="J715" s="830"/>
      <c r="K715" s="830"/>
      <c r="L715" s="830"/>
      <c r="M715" s="627"/>
      <c r="N715" s="92" t="s">
        <v>1598</v>
      </c>
      <c r="O715" s="93" t="s">
        <v>1599</v>
      </c>
      <c r="P715" s="76" t="s">
        <v>27</v>
      </c>
      <c r="Q715" s="95">
        <v>60</v>
      </c>
      <c r="R715" s="95">
        <v>68</v>
      </c>
      <c r="S715" s="94" t="s">
        <v>1600</v>
      </c>
      <c r="T715" s="136">
        <v>60</v>
      </c>
      <c r="U715" s="18">
        <v>1</v>
      </c>
      <c r="V715" s="576"/>
      <c r="W715" s="576"/>
      <c r="X715" s="579"/>
      <c r="Y715" s="579"/>
      <c r="Z715" s="94" t="s">
        <v>43</v>
      </c>
      <c r="AA715" s="98"/>
    </row>
    <row r="716" spans="1:27" ht="84">
      <c r="A716" s="475"/>
      <c r="B716" s="824"/>
      <c r="C716" s="827"/>
      <c r="D716" s="425"/>
      <c r="E716" s="425"/>
      <c r="F716" s="827"/>
      <c r="G716" s="814"/>
      <c r="H716" s="815"/>
      <c r="I716" s="804"/>
      <c r="J716" s="830"/>
      <c r="K716" s="830"/>
      <c r="L716" s="830"/>
      <c r="M716" s="627"/>
      <c r="N716" s="92" t="s">
        <v>1601</v>
      </c>
      <c r="O716" s="93" t="s">
        <v>1602</v>
      </c>
      <c r="P716" s="76" t="s">
        <v>27</v>
      </c>
      <c r="Q716" s="95">
        <v>68</v>
      </c>
      <c r="R716" s="95">
        <v>68</v>
      </c>
      <c r="S716" s="94" t="s">
        <v>1588</v>
      </c>
      <c r="T716" s="136">
        <v>60</v>
      </c>
      <c r="U716" s="18">
        <v>0.88235294117647056</v>
      </c>
      <c r="V716" s="576"/>
      <c r="W716" s="576"/>
      <c r="X716" s="579"/>
      <c r="Y716" s="579"/>
      <c r="Z716" s="94" t="s">
        <v>43</v>
      </c>
      <c r="AA716" s="98"/>
    </row>
    <row r="717" spans="1:27" ht="60">
      <c r="A717" s="475"/>
      <c r="B717" s="824"/>
      <c r="C717" s="827"/>
      <c r="D717" s="837">
        <f>55250.8336+3504.6334+5337.2731</f>
        <v>64092.740099999995</v>
      </c>
      <c r="E717" s="840" t="s">
        <v>2272</v>
      </c>
      <c r="F717" s="827"/>
      <c r="G717" s="814"/>
      <c r="H717" s="815"/>
      <c r="I717" s="804"/>
      <c r="J717" s="830"/>
      <c r="K717" s="830"/>
      <c r="L717" s="830"/>
      <c r="M717" s="627"/>
      <c r="N717" s="92" t="s">
        <v>1603</v>
      </c>
      <c r="O717" s="93" t="s">
        <v>1604</v>
      </c>
      <c r="P717" s="76" t="s">
        <v>27</v>
      </c>
      <c r="Q717" s="95">
        <v>6.3975610000000005</v>
      </c>
      <c r="R717" s="95">
        <v>12.5</v>
      </c>
      <c r="S717" s="94"/>
      <c r="T717" s="136"/>
      <c r="U717" s="18"/>
      <c r="V717" s="576"/>
      <c r="W717" s="576"/>
      <c r="X717" s="579"/>
      <c r="Y717" s="579"/>
      <c r="Z717" s="94" t="s">
        <v>43</v>
      </c>
      <c r="AA717" s="98"/>
    </row>
    <row r="718" spans="1:27" ht="48">
      <c r="A718" s="475"/>
      <c r="B718" s="824"/>
      <c r="C718" s="827"/>
      <c r="D718" s="837"/>
      <c r="E718" s="840"/>
      <c r="F718" s="827"/>
      <c r="G718" s="814"/>
      <c r="H718" s="815"/>
      <c r="I718" s="804"/>
      <c r="J718" s="830"/>
      <c r="K718" s="830"/>
      <c r="L718" s="830"/>
      <c r="M718" s="627"/>
      <c r="N718" s="92" t="s">
        <v>1605</v>
      </c>
      <c r="O718" s="93" t="s">
        <v>1606</v>
      </c>
      <c r="P718" s="76" t="s">
        <v>27</v>
      </c>
      <c r="Q718" s="95">
        <v>9.827064</v>
      </c>
      <c r="R718" s="95">
        <v>12.5</v>
      </c>
      <c r="S718" s="94"/>
      <c r="T718" s="136"/>
      <c r="U718" s="18"/>
      <c r="V718" s="576"/>
      <c r="W718" s="576"/>
      <c r="X718" s="579"/>
      <c r="Y718" s="579"/>
      <c r="Z718" s="94" t="s">
        <v>43</v>
      </c>
      <c r="AA718" s="98"/>
    </row>
    <row r="719" spans="1:27" ht="48">
      <c r="A719" s="475"/>
      <c r="B719" s="824"/>
      <c r="C719" s="827"/>
      <c r="D719" s="837"/>
      <c r="E719" s="840"/>
      <c r="F719" s="827"/>
      <c r="G719" s="814"/>
      <c r="H719" s="815"/>
      <c r="I719" s="804"/>
      <c r="J719" s="830"/>
      <c r="K719" s="830"/>
      <c r="L719" s="830"/>
      <c r="M719" s="627"/>
      <c r="N719" s="92" t="s">
        <v>1607</v>
      </c>
      <c r="O719" s="93" t="s">
        <v>1608</v>
      </c>
      <c r="P719" s="76" t="s">
        <v>27</v>
      </c>
      <c r="Q719" s="95">
        <v>2.6</v>
      </c>
      <c r="R719" s="95">
        <v>2.6</v>
      </c>
      <c r="S719" s="94"/>
      <c r="T719" s="136"/>
      <c r="U719" s="18"/>
      <c r="V719" s="576"/>
      <c r="W719" s="576"/>
      <c r="X719" s="579"/>
      <c r="Y719" s="579"/>
      <c r="Z719" s="327" t="s">
        <v>43</v>
      </c>
      <c r="AA719" s="98"/>
    </row>
    <row r="720" spans="1:27" ht="192">
      <c r="A720" s="475"/>
      <c r="B720" s="824"/>
      <c r="C720" s="827"/>
      <c r="D720" s="837"/>
      <c r="E720" s="840"/>
      <c r="F720" s="827"/>
      <c r="G720" s="814"/>
      <c r="H720" s="815"/>
      <c r="I720" s="804"/>
      <c r="J720" s="830"/>
      <c r="K720" s="830"/>
      <c r="L720" s="830"/>
      <c r="M720" s="627"/>
      <c r="N720" s="92" t="s">
        <v>915</v>
      </c>
      <c r="O720" s="93" t="s">
        <v>1609</v>
      </c>
      <c r="P720" s="76" t="s">
        <v>27</v>
      </c>
      <c r="Q720" s="95"/>
      <c r="R720" s="95"/>
      <c r="S720" s="94"/>
      <c r="T720" s="136"/>
      <c r="U720" s="18"/>
      <c r="V720" s="576"/>
      <c r="W720" s="576"/>
      <c r="X720" s="579"/>
      <c r="Y720" s="579"/>
      <c r="Z720" s="94" t="s">
        <v>43</v>
      </c>
      <c r="AA720" s="98"/>
    </row>
    <row r="721" spans="1:27" ht="96">
      <c r="A721" s="475"/>
      <c r="B721" s="824"/>
      <c r="C721" s="827"/>
      <c r="D721" s="837"/>
      <c r="E721" s="840"/>
      <c r="F721" s="827"/>
      <c r="G721" s="814"/>
      <c r="H721" s="815"/>
      <c r="I721" s="804"/>
      <c r="J721" s="830"/>
      <c r="K721" s="830"/>
      <c r="L721" s="830"/>
      <c r="M721" s="627"/>
      <c r="N721" s="342" t="s">
        <v>1610</v>
      </c>
      <c r="O721" s="340" t="s">
        <v>1611</v>
      </c>
      <c r="P721" s="76" t="s">
        <v>27</v>
      </c>
      <c r="Q721" s="347"/>
      <c r="R721" s="347"/>
      <c r="S721" s="94"/>
      <c r="T721" s="325"/>
      <c r="U721" s="18"/>
      <c r="V721" s="576"/>
      <c r="W721" s="576"/>
      <c r="X721" s="579"/>
      <c r="Y721" s="579"/>
      <c r="Z721" s="342" t="s">
        <v>43</v>
      </c>
      <c r="AA721" s="98"/>
    </row>
    <row r="722" spans="1:27" ht="72">
      <c r="A722" s="475"/>
      <c r="B722" s="824"/>
      <c r="C722" s="827"/>
      <c r="D722" s="837"/>
      <c r="E722" s="840"/>
      <c r="F722" s="827"/>
      <c r="G722" s="814"/>
      <c r="H722" s="815"/>
      <c r="I722" s="804"/>
      <c r="J722" s="830"/>
      <c r="K722" s="830"/>
      <c r="L722" s="830"/>
      <c r="M722" s="627"/>
      <c r="N722" s="342" t="s">
        <v>86</v>
      </c>
      <c r="O722" s="340" t="s">
        <v>1612</v>
      </c>
      <c r="P722" s="76" t="s">
        <v>27</v>
      </c>
      <c r="Q722" s="347"/>
      <c r="R722" s="347"/>
      <c r="S722" s="94"/>
      <c r="T722" s="325"/>
      <c r="U722" s="18"/>
      <c r="V722" s="576"/>
      <c r="W722" s="576"/>
      <c r="X722" s="579"/>
      <c r="Y722" s="579"/>
      <c r="Z722" s="342" t="s">
        <v>43</v>
      </c>
      <c r="AA722" s="98"/>
    </row>
    <row r="723" spans="1:27" ht="96">
      <c r="A723" s="475"/>
      <c r="B723" s="824"/>
      <c r="C723" s="827"/>
      <c r="D723" s="837"/>
      <c r="E723" s="840"/>
      <c r="F723" s="827"/>
      <c r="G723" s="814"/>
      <c r="H723" s="815"/>
      <c r="I723" s="804"/>
      <c r="J723" s="830"/>
      <c r="K723" s="830"/>
      <c r="L723" s="830"/>
      <c r="M723" s="627"/>
      <c r="N723" s="342" t="s">
        <v>1613</v>
      </c>
      <c r="O723" s="340" t="s">
        <v>1614</v>
      </c>
      <c r="P723" s="76" t="s">
        <v>27</v>
      </c>
      <c r="Q723" s="347"/>
      <c r="R723" s="347"/>
      <c r="S723" s="94"/>
      <c r="T723" s="325"/>
      <c r="U723" s="18"/>
      <c r="V723" s="576"/>
      <c r="W723" s="576"/>
      <c r="X723" s="579"/>
      <c r="Y723" s="579"/>
      <c r="Z723" s="342" t="s">
        <v>43</v>
      </c>
      <c r="AA723" s="98"/>
    </row>
    <row r="724" spans="1:27" ht="72">
      <c r="A724" s="475"/>
      <c r="B724" s="824"/>
      <c r="C724" s="827"/>
      <c r="D724" s="837"/>
      <c r="E724" s="840"/>
      <c r="F724" s="827"/>
      <c r="G724" s="814"/>
      <c r="H724" s="815"/>
      <c r="I724" s="804"/>
      <c r="J724" s="830"/>
      <c r="K724" s="830"/>
      <c r="L724" s="830"/>
      <c r="M724" s="627"/>
      <c r="N724" s="91" t="s">
        <v>1615</v>
      </c>
      <c r="O724" s="340" t="s">
        <v>1616</v>
      </c>
      <c r="P724" s="76" t="s">
        <v>27</v>
      </c>
      <c r="Q724" s="347"/>
      <c r="R724" s="347"/>
      <c r="S724" s="94"/>
      <c r="T724" s="325"/>
      <c r="U724" s="18"/>
      <c r="V724" s="576"/>
      <c r="W724" s="576"/>
      <c r="X724" s="579"/>
      <c r="Y724" s="579"/>
      <c r="Z724" s="342" t="s">
        <v>43</v>
      </c>
      <c r="AA724" s="98"/>
    </row>
    <row r="725" spans="1:27" ht="72">
      <c r="A725" s="475"/>
      <c r="B725" s="824"/>
      <c r="C725" s="827"/>
      <c r="D725" s="837"/>
      <c r="E725" s="840"/>
      <c r="F725" s="827"/>
      <c r="G725" s="814"/>
      <c r="H725" s="815"/>
      <c r="I725" s="804"/>
      <c r="J725" s="830"/>
      <c r="K725" s="830"/>
      <c r="L725" s="830"/>
      <c r="M725" s="627"/>
      <c r="N725" s="342" t="s">
        <v>1617</v>
      </c>
      <c r="O725" s="340" t="s">
        <v>1618</v>
      </c>
      <c r="P725" s="76" t="s">
        <v>27</v>
      </c>
      <c r="Q725" s="347">
        <v>4.4274430000000002</v>
      </c>
      <c r="R725" s="347">
        <v>4.4274430000000002</v>
      </c>
      <c r="S725" s="94"/>
      <c r="T725" s="325"/>
      <c r="U725" s="18"/>
      <c r="V725" s="576"/>
      <c r="W725" s="576"/>
      <c r="X725" s="579"/>
      <c r="Y725" s="579"/>
      <c r="Z725" s="342" t="s">
        <v>43</v>
      </c>
      <c r="AA725" s="98"/>
    </row>
    <row r="726" spans="1:27" ht="72">
      <c r="A726" s="475"/>
      <c r="B726" s="824"/>
      <c r="C726" s="827"/>
      <c r="D726" s="837"/>
      <c r="E726" s="840"/>
      <c r="F726" s="827"/>
      <c r="G726" s="814"/>
      <c r="H726" s="815"/>
      <c r="I726" s="804"/>
      <c r="J726" s="830"/>
      <c r="K726" s="830"/>
      <c r="L726" s="830"/>
      <c r="M726" s="627"/>
      <c r="N726" s="342" t="s">
        <v>1619</v>
      </c>
      <c r="O726" s="340" t="s">
        <v>1620</v>
      </c>
      <c r="P726" s="76" t="s">
        <v>27</v>
      </c>
      <c r="Q726" s="347"/>
      <c r="R726" s="347"/>
      <c r="S726" s="94"/>
      <c r="T726" s="325"/>
      <c r="U726" s="18"/>
      <c r="V726" s="576"/>
      <c r="W726" s="576"/>
      <c r="X726" s="579"/>
      <c r="Y726" s="579"/>
      <c r="Z726" s="342" t="s">
        <v>43</v>
      </c>
      <c r="AA726" s="98"/>
    </row>
    <row r="727" spans="1:27" ht="96" hidden="1">
      <c r="A727" s="475"/>
      <c r="B727" s="824"/>
      <c r="C727" s="827"/>
      <c r="D727" s="837"/>
      <c r="E727" s="840"/>
      <c r="F727" s="827"/>
      <c r="G727" s="814"/>
      <c r="H727" s="815"/>
      <c r="I727" s="804"/>
      <c r="J727" s="830"/>
      <c r="K727" s="830"/>
      <c r="L727" s="830"/>
      <c r="M727" s="627"/>
      <c r="N727" s="342" t="s">
        <v>648</v>
      </c>
      <c r="O727" s="340" t="s">
        <v>1621</v>
      </c>
      <c r="P727" s="76" t="s">
        <v>36</v>
      </c>
      <c r="Q727" s="347">
        <v>16.835999999999999</v>
      </c>
      <c r="R727" s="347">
        <v>16.835999999999999</v>
      </c>
      <c r="S727" s="94"/>
      <c r="T727" s="325"/>
      <c r="U727" s="18"/>
      <c r="V727" s="576"/>
      <c r="W727" s="576"/>
      <c r="X727" s="579"/>
      <c r="Y727" s="579"/>
      <c r="Z727" s="342" t="s">
        <v>43</v>
      </c>
      <c r="AA727" s="98"/>
    </row>
    <row r="728" spans="1:27" ht="60" hidden="1">
      <c r="A728" s="475"/>
      <c r="B728" s="824"/>
      <c r="C728" s="827"/>
      <c r="D728" s="837"/>
      <c r="E728" s="840"/>
      <c r="F728" s="827"/>
      <c r="G728" s="814"/>
      <c r="H728" s="815"/>
      <c r="I728" s="804"/>
      <c r="J728" s="830"/>
      <c r="K728" s="830"/>
      <c r="L728" s="830"/>
      <c r="M728" s="627"/>
      <c r="N728" s="342" t="s">
        <v>1622</v>
      </c>
      <c r="O728" s="340" t="s">
        <v>1623</v>
      </c>
      <c r="P728" s="76" t="s">
        <v>36</v>
      </c>
      <c r="Q728" s="347">
        <v>7.49</v>
      </c>
      <c r="R728" s="347">
        <v>7.49</v>
      </c>
      <c r="S728" s="94"/>
      <c r="T728" s="325"/>
      <c r="U728" s="18"/>
      <c r="V728" s="576"/>
      <c r="W728" s="576"/>
      <c r="X728" s="579"/>
      <c r="Y728" s="579"/>
      <c r="Z728" s="342" t="s">
        <v>43</v>
      </c>
      <c r="AA728" s="98"/>
    </row>
    <row r="729" spans="1:27" ht="60" hidden="1">
      <c r="A729" s="475"/>
      <c r="B729" s="824"/>
      <c r="C729" s="827"/>
      <c r="D729" s="837"/>
      <c r="E729" s="840"/>
      <c r="F729" s="827"/>
      <c r="G729" s="814"/>
      <c r="H729" s="815"/>
      <c r="I729" s="804"/>
      <c r="J729" s="830"/>
      <c r="K729" s="830"/>
      <c r="L729" s="830"/>
      <c r="M729" s="627"/>
      <c r="N729" s="342" t="s">
        <v>1624</v>
      </c>
      <c r="O729" s="340" t="s">
        <v>1625</v>
      </c>
      <c r="P729" s="76" t="s">
        <v>36</v>
      </c>
      <c r="Q729" s="347">
        <v>44.801580000000001</v>
      </c>
      <c r="R729" s="347">
        <v>44.801580000000001</v>
      </c>
      <c r="S729" s="94" t="s">
        <v>1226</v>
      </c>
      <c r="T729" s="325">
        <f>32450.68/10000</f>
        <v>3.2450679999999998</v>
      </c>
      <c r="U729" s="18">
        <f>T729/Q729</f>
        <v>7.2431999050033502E-2</v>
      </c>
      <c r="V729" s="576"/>
      <c r="W729" s="576"/>
      <c r="X729" s="579"/>
      <c r="Y729" s="579"/>
      <c r="Z729" s="342" t="s">
        <v>43</v>
      </c>
      <c r="AA729" s="98"/>
    </row>
    <row r="730" spans="1:27" ht="48" hidden="1">
      <c r="A730" s="475"/>
      <c r="B730" s="824"/>
      <c r="C730" s="827"/>
      <c r="D730" s="837"/>
      <c r="E730" s="840"/>
      <c r="F730" s="827"/>
      <c r="G730" s="814"/>
      <c r="H730" s="815"/>
      <c r="I730" s="804"/>
      <c r="J730" s="830"/>
      <c r="K730" s="830"/>
      <c r="L730" s="830"/>
      <c r="M730" s="627"/>
      <c r="N730" s="342" t="s">
        <v>1626</v>
      </c>
      <c r="O730" s="340" t="s">
        <v>1627</v>
      </c>
      <c r="P730" s="76" t="s">
        <v>36</v>
      </c>
      <c r="Q730" s="347">
        <v>17.566800000000001</v>
      </c>
      <c r="R730" s="347">
        <v>17.566800000000001</v>
      </c>
      <c r="S730" s="94"/>
      <c r="T730" s="325"/>
      <c r="U730" s="18"/>
      <c r="V730" s="576"/>
      <c r="W730" s="576"/>
      <c r="X730" s="579"/>
      <c r="Y730" s="579"/>
      <c r="Z730" s="342" t="s">
        <v>43</v>
      </c>
      <c r="AA730" s="98"/>
    </row>
    <row r="731" spans="1:27" ht="132" hidden="1">
      <c r="A731" s="475"/>
      <c r="B731" s="824"/>
      <c r="C731" s="827"/>
      <c r="D731" s="837"/>
      <c r="E731" s="840"/>
      <c r="F731" s="827"/>
      <c r="G731" s="814"/>
      <c r="H731" s="815"/>
      <c r="I731" s="804"/>
      <c r="J731" s="830"/>
      <c r="K731" s="830"/>
      <c r="L731" s="830"/>
      <c r="M731" s="627"/>
      <c r="N731" s="342" t="s">
        <v>1622</v>
      </c>
      <c r="O731" s="340" t="s">
        <v>1628</v>
      </c>
      <c r="P731" s="76" t="s">
        <v>36</v>
      </c>
      <c r="Q731" s="347">
        <v>79.819999999999993</v>
      </c>
      <c r="R731" s="347">
        <v>79.819999999999993</v>
      </c>
      <c r="S731" s="342"/>
      <c r="T731" s="325"/>
      <c r="U731" s="18"/>
      <c r="V731" s="576"/>
      <c r="W731" s="576"/>
      <c r="X731" s="579"/>
      <c r="Y731" s="579"/>
      <c r="Z731" s="342" t="s">
        <v>43</v>
      </c>
      <c r="AA731" s="98"/>
    </row>
    <row r="732" spans="1:27" ht="120" hidden="1">
      <c r="A732" s="475"/>
      <c r="B732" s="825"/>
      <c r="C732" s="828"/>
      <c r="D732" s="838"/>
      <c r="E732" s="841"/>
      <c r="F732" s="828"/>
      <c r="G732" s="816"/>
      <c r="H732" s="817"/>
      <c r="I732" s="805"/>
      <c r="J732" s="831"/>
      <c r="K732" s="831"/>
      <c r="L732" s="831"/>
      <c r="M732" s="628"/>
      <c r="N732" s="342" t="s">
        <v>1622</v>
      </c>
      <c r="O732" s="340" t="s">
        <v>1629</v>
      </c>
      <c r="P732" s="76" t="s">
        <v>36</v>
      </c>
      <c r="Q732" s="347">
        <v>131.30000000000001</v>
      </c>
      <c r="R732" s="347">
        <v>131.30000000000001</v>
      </c>
      <c r="S732" s="342"/>
      <c r="T732" s="325"/>
      <c r="U732" s="18"/>
      <c r="V732" s="577"/>
      <c r="W732" s="577"/>
      <c r="X732" s="580"/>
      <c r="Y732" s="580"/>
      <c r="Z732" s="342" t="s">
        <v>43</v>
      </c>
      <c r="AA732" s="98"/>
    </row>
    <row r="733" spans="1:27" hidden="1">
      <c r="A733" s="475"/>
      <c r="B733" s="800">
        <v>4</v>
      </c>
      <c r="C733" s="803" t="s">
        <v>1630</v>
      </c>
      <c r="D733" s="844">
        <v>69005</v>
      </c>
      <c r="E733" s="839" t="s">
        <v>2273</v>
      </c>
      <c r="F733" s="647" t="s">
        <v>39</v>
      </c>
      <c r="G733" s="626">
        <v>199.11</v>
      </c>
      <c r="H733" s="626">
        <v>9.98</v>
      </c>
      <c r="I733" s="647" t="s">
        <v>783</v>
      </c>
      <c r="J733" s="626">
        <v>60.88</v>
      </c>
      <c r="K733" s="626"/>
      <c r="L733" s="626"/>
      <c r="M733" s="626">
        <f>J733+H733+G733</f>
        <v>269.97000000000003</v>
      </c>
      <c r="N733" s="94" t="s">
        <v>1631</v>
      </c>
      <c r="O733" s="94" t="s">
        <v>1632</v>
      </c>
      <c r="P733" s="76" t="s">
        <v>36</v>
      </c>
      <c r="Q733" s="95">
        <v>17</v>
      </c>
      <c r="R733" s="95">
        <v>30</v>
      </c>
      <c r="S733" s="647" t="s">
        <v>1633</v>
      </c>
      <c r="T733" s="626">
        <v>32.520000000000003</v>
      </c>
      <c r="U733" s="860">
        <f>T733/(Q733+Q734+Q735)</f>
        <v>0.60222222222222233</v>
      </c>
      <c r="V733" s="835">
        <f>SUM(Q733:Q736)</f>
        <v>72</v>
      </c>
      <c r="W733" s="835">
        <f>SUM(T733:T736)</f>
        <v>32.520000000000003</v>
      </c>
      <c r="X733" s="632">
        <f>W733/V733</f>
        <v>0.45166666666666672</v>
      </c>
      <c r="Y733" s="632">
        <f>W733/M733</f>
        <v>0.12045782864762751</v>
      </c>
      <c r="Z733" s="363" t="s">
        <v>548</v>
      </c>
      <c r="AA733" s="98"/>
    </row>
    <row r="734" spans="1:27" hidden="1">
      <c r="A734" s="475"/>
      <c r="B734" s="801"/>
      <c r="C734" s="804"/>
      <c r="D734" s="845"/>
      <c r="E734" s="840"/>
      <c r="F734" s="648"/>
      <c r="G734" s="627"/>
      <c r="H734" s="627"/>
      <c r="I734" s="648"/>
      <c r="J734" s="627"/>
      <c r="K734" s="627"/>
      <c r="L734" s="627"/>
      <c r="M734" s="627"/>
      <c r="N734" s="94" t="s">
        <v>1634</v>
      </c>
      <c r="O734" s="94" t="s">
        <v>1632</v>
      </c>
      <c r="P734" s="76" t="s">
        <v>36</v>
      </c>
      <c r="Q734" s="95">
        <v>22</v>
      </c>
      <c r="R734" s="95">
        <v>35</v>
      </c>
      <c r="S734" s="648"/>
      <c r="T734" s="627"/>
      <c r="U734" s="861"/>
      <c r="V734" s="630"/>
      <c r="W734" s="630"/>
      <c r="X734" s="633"/>
      <c r="Y734" s="633"/>
      <c r="Z734" s="363" t="s">
        <v>548</v>
      </c>
      <c r="AA734" s="98"/>
    </row>
    <row r="735" spans="1:27" hidden="1">
      <c r="A735" s="475"/>
      <c r="B735" s="801"/>
      <c r="C735" s="804"/>
      <c r="D735" s="845"/>
      <c r="E735" s="840"/>
      <c r="F735" s="648"/>
      <c r="G735" s="627"/>
      <c r="H735" s="627"/>
      <c r="I735" s="648"/>
      <c r="J735" s="627"/>
      <c r="K735" s="627"/>
      <c r="L735" s="627"/>
      <c r="M735" s="627"/>
      <c r="N735" s="94" t="s">
        <v>1635</v>
      </c>
      <c r="O735" s="94" t="s">
        <v>1632</v>
      </c>
      <c r="P735" s="76" t="s">
        <v>36</v>
      </c>
      <c r="Q735" s="95">
        <v>15</v>
      </c>
      <c r="R735" s="95">
        <v>30</v>
      </c>
      <c r="S735" s="649"/>
      <c r="T735" s="628"/>
      <c r="U735" s="862"/>
      <c r="V735" s="630"/>
      <c r="W735" s="630"/>
      <c r="X735" s="633"/>
      <c r="Y735" s="633"/>
      <c r="Z735" s="363" t="s">
        <v>548</v>
      </c>
      <c r="AA735" s="98"/>
    </row>
    <row r="736" spans="1:27">
      <c r="A736" s="475"/>
      <c r="B736" s="802"/>
      <c r="C736" s="805"/>
      <c r="D736" s="846"/>
      <c r="E736" s="841"/>
      <c r="F736" s="649"/>
      <c r="G736" s="628"/>
      <c r="H736" s="628"/>
      <c r="I736" s="649"/>
      <c r="J736" s="628"/>
      <c r="K736" s="628"/>
      <c r="L736" s="628"/>
      <c r="M736" s="628"/>
      <c r="N736" s="94" t="s">
        <v>1555</v>
      </c>
      <c r="O736" s="94" t="s">
        <v>1636</v>
      </c>
      <c r="P736" s="76" t="s">
        <v>27</v>
      </c>
      <c r="Q736" s="95">
        <v>18</v>
      </c>
      <c r="R736" s="95">
        <v>18</v>
      </c>
      <c r="S736" s="327"/>
      <c r="T736" s="324"/>
      <c r="U736" s="363"/>
      <c r="V736" s="631"/>
      <c r="W736" s="631"/>
      <c r="X736" s="634"/>
      <c r="Y736" s="634"/>
      <c r="Z736" s="363" t="s">
        <v>548</v>
      </c>
      <c r="AA736" s="98"/>
    </row>
    <row r="737" spans="1:27" ht="84">
      <c r="A737" s="475"/>
      <c r="B737" s="800">
        <v>5</v>
      </c>
      <c r="C737" s="803" t="s">
        <v>1637</v>
      </c>
      <c r="D737" s="844">
        <v>50917.5</v>
      </c>
      <c r="E737" s="839" t="s">
        <v>2273</v>
      </c>
      <c r="F737" s="803" t="s">
        <v>1638</v>
      </c>
      <c r="G737" s="832">
        <v>146.67410000000001</v>
      </c>
      <c r="H737" s="832">
        <v>9.9760000000000009</v>
      </c>
      <c r="I737" s="610" t="s">
        <v>783</v>
      </c>
      <c r="J737" s="832">
        <v>44.895606000000001</v>
      </c>
      <c r="K737" s="832"/>
      <c r="L737" s="832"/>
      <c r="M737" s="832">
        <f t="shared" ref="M737" si="60">SUM(G737,H737,J737,L737)</f>
        <v>201.545706</v>
      </c>
      <c r="N737" s="342" t="s">
        <v>1639</v>
      </c>
      <c r="O737" s="342" t="s">
        <v>1640</v>
      </c>
      <c r="P737" s="76" t="s">
        <v>27</v>
      </c>
      <c r="Q737" s="347">
        <v>2</v>
      </c>
      <c r="R737" s="347">
        <v>4</v>
      </c>
      <c r="S737" s="137"/>
      <c r="T737" s="129"/>
      <c r="U737" s="266"/>
      <c r="V737" s="855">
        <f>SUM(Q737:Q749)</f>
        <v>255.36849999999998</v>
      </c>
      <c r="W737" s="855">
        <f>SUM(T737:T749)</f>
        <v>9.5185999999999993</v>
      </c>
      <c r="X737" s="847">
        <f>W737/V737</f>
        <v>3.7273978583889554E-2</v>
      </c>
      <c r="Y737" s="847">
        <f>W737/M737</f>
        <v>4.7227997008281584E-2</v>
      </c>
      <c r="Z737" s="363" t="s">
        <v>548</v>
      </c>
      <c r="AA737" s="98"/>
    </row>
    <row r="738" spans="1:27" ht="72">
      <c r="A738" s="475"/>
      <c r="B738" s="801"/>
      <c r="C738" s="804"/>
      <c r="D738" s="845"/>
      <c r="E738" s="840"/>
      <c r="F738" s="804"/>
      <c r="G738" s="833"/>
      <c r="H738" s="833"/>
      <c r="I738" s="858"/>
      <c r="J738" s="833"/>
      <c r="K738" s="833"/>
      <c r="L738" s="833"/>
      <c r="M738" s="833"/>
      <c r="N738" s="267" t="s">
        <v>1641</v>
      </c>
      <c r="O738" s="342" t="s">
        <v>1642</v>
      </c>
      <c r="P738" s="76" t="s">
        <v>27</v>
      </c>
      <c r="Q738" s="347">
        <v>2</v>
      </c>
      <c r="R738" s="347">
        <v>4</v>
      </c>
      <c r="S738" s="137"/>
      <c r="T738" s="129"/>
      <c r="U738" s="266"/>
      <c r="V738" s="856"/>
      <c r="W738" s="856"/>
      <c r="X738" s="848"/>
      <c r="Y738" s="848"/>
      <c r="Z738" s="94" t="s">
        <v>548</v>
      </c>
      <c r="AA738" s="98"/>
    </row>
    <row r="739" spans="1:27" ht="84" hidden="1">
      <c r="A739" s="475"/>
      <c r="B739" s="801"/>
      <c r="C739" s="804"/>
      <c r="D739" s="845"/>
      <c r="E739" s="840"/>
      <c r="F739" s="804"/>
      <c r="G739" s="833"/>
      <c r="H739" s="833"/>
      <c r="I739" s="858"/>
      <c r="J739" s="833"/>
      <c r="K739" s="833"/>
      <c r="L739" s="833"/>
      <c r="M739" s="833"/>
      <c r="N739" s="267" t="s">
        <v>1641</v>
      </c>
      <c r="O739" s="342" t="s">
        <v>1643</v>
      </c>
      <c r="P739" s="76" t="s">
        <v>36</v>
      </c>
      <c r="Q739" s="347">
        <v>16</v>
      </c>
      <c r="R739" s="347">
        <v>20</v>
      </c>
      <c r="S739" s="95"/>
      <c r="T739" s="136"/>
      <c r="U739" s="231"/>
      <c r="V739" s="856"/>
      <c r="W739" s="856"/>
      <c r="X739" s="848"/>
      <c r="Y739" s="848"/>
      <c r="Z739" s="94" t="s">
        <v>548</v>
      </c>
      <c r="AA739" s="98"/>
    </row>
    <row r="740" spans="1:27" ht="36">
      <c r="A740" s="475"/>
      <c r="B740" s="801"/>
      <c r="C740" s="804"/>
      <c r="D740" s="845"/>
      <c r="E740" s="840"/>
      <c r="F740" s="804"/>
      <c r="G740" s="833"/>
      <c r="H740" s="833"/>
      <c r="I740" s="858"/>
      <c r="J740" s="833"/>
      <c r="K740" s="833"/>
      <c r="L740" s="833"/>
      <c r="M740" s="833"/>
      <c r="N740" s="342" t="s">
        <v>1158</v>
      </c>
      <c r="O740" s="342" t="s">
        <v>1644</v>
      </c>
      <c r="P740" s="76" t="s">
        <v>27</v>
      </c>
      <c r="Q740" s="347">
        <v>16.77</v>
      </c>
      <c r="R740" s="347">
        <v>20</v>
      </c>
      <c r="S740" s="95"/>
      <c r="T740" s="136"/>
      <c r="U740" s="231"/>
      <c r="V740" s="856"/>
      <c r="W740" s="856"/>
      <c r="X740" s="848"/>
      <c r="Y740" s="848"/>
      <c r="Z740" s="94" t="s">
        <v>548</v>
      </c>
      <c r="AA740" s="98"/>
    </row>
    <row r="741" spans="1:27" ht="72">
      <c r="A741" s="475"/>
      <c r="B741" s="801"/>
      <c r="C741" s="804"/>
      <c r="D741" s="845"/>
      <c r="E741" s="840"/>
      <c r="F741" s="804"/>
      <c r="G741" s="833"/>
      <c r="H741" s="833"/>
      <c r="I741" s="858"/>
      <c r="J741" s="833"/>
      <c r="K741" s="833"/>
      <c r="L741" s="833"/>
      <c r="M741" s="833"/>
      <c r="N741" s="342" t="s">
        <v>1645</v>
      </c>
      <c r="O741" s="342" t="s">
        <v>1646</v>
      </c>
      <c r="P741" s="76" t="s">
        <v>27</v>
      </c>
      <c r="Q741" s="347">
        <v>4</v>
      </c>
      <c r="R741" s="347">
        <v>10</v>
      </c>
      <c r="S741" s="95"/>
      <c r="T741" s="136"/>
      <c r="U741" s="231"/>
      <c r="V741" s="856"/>
      <c r="W741" s="856"/>
      <c r="X741" s="848"/>
      <c r="Y741" s="848"/>
      <c r="Z741" s="94" t="s">
        <v>548</v>
      </c>
      <c r="AA741" s="98"/>
    </row>
    <row r="742" spans="1:27" ht="48">
      <c r="A742" s="475"/>
      <c r="B742" s="801"/>
      <c r="C742" s="804"/>
      <c r="D742" s="845"/>
      <c r="E742" s="840"/>
      <c r="F742" s="804"/>
      <c r="G742" s="833"/>
      <c r="H742" s="833"/>
      <c r="I742" s="858"/>
      <c r="J742" s="833"/>
      <c r="K742" s="833"/>
      <c r="L742" s="833"/>
      <c r="M742" s="833"/>
      <c r="N742" s="268" t="s">
        <v>1647</v>
      </c>
      <c r="O742" s="342" t="s">
        <v>1648</v>
      </c>
      <c r="P742" s="76" t="s">
        <v>27</v>
      </c>
      <c r="Q742" s="347">
        <v>0.2</v>
      </c>
      <c r="R742" s="347">
        <v>2</v>
      </c>
      <c r="S742" s="95"/>
      <c r="T742" s="136"/>
      <c r="U742" s="231"/>
      <c r="V742" s="856"/>
      <c r="W742" s="856"/>
      <c r="X742" s="848"/>
      <c r="Y742" s="848"/>
      <c r="Z742" s="94" t="s">
        <v>548</v>
      </c>
      <c r="AA742" s="98"/>
    </row>
    <row r="743" spans="1:27" ht="48">
      <c r="A743" s="475"/>
      <c r="B743" s="801"/>
      <c r="C743" s="804"/>
      <c r="D743" s="845"/>
      <c r="E743" s="840"/>
      <c r="F743" s="804"/>
      <c r="G743" s="833"/>
      <c r="H743" s="833"/>
      <c r="I743" s="858"/>
      <c r="J743" s="833"/>
      <c r="K743" s="833"/>
      <c r="L743" s="833"/>
      <c r="M743" s="833"/>
      <c r="N743" s="359" t="s">
        <v>1649</v>
      </c>
      <c r="O743" s="359" t="s">
        <v>1650</v>
      </c>
      <c r="P743" s="76" t="s">
        <v>27</v>
      </c>
      <c r="Q743" s="347">
        <v>1.5</v>
      </c>
      <c r="R743" s="347">
        <v>3.5</v>
      </c>
      <c r="S743" s="95"/>
      <c r="T743" s="136"/>
      <c r="U743" s="231"/>
      <c r="V743" s="856"/>
      <c r="W743" s="856"/>
      <c r="X743" s="848"/>
      <c r="Y743" s="848"/>
      <c r="Z743" s="94" t="s">
        <v>548</v>
      </c>
      <c r="AA743" s="98"/>
    </row>
    <row r="744" spans="1:27" ht="60">
      <c r="A744" s="475"/>
      <c r="B744" s="801"/>
      <c r="C744" s="804"/>
      <c r="D744" s="845"/>
      <c r="E744" s="840"/>
      <c r="F744" s="804"/>
      <c r="G744" s="833"/>
      <c r="H744" s="833"/>
      <c r="I744" s="858"/>
      <c r="J744" s="833"/>
      <c r="K744" s="833"/>
      <c r="L744" s="833"/>
      <c r="M744" s="833"/>
      <c r="N744" s="342" t="s">
        <v>1235</v>
      </c>
      <c r="O744" s="342" t="s">
        <v>1651</v>
      </c>
      <c r="P744" s="76" t="s">
        <v>27</v>
      </c>
      <c r="Q744" s="347">
        <v>12.69</v>
      </c>
      <c r="R744" s="347">
        <v>10</v>
      </c>
      <c r="S744" s="95"/>
      <c r="T744" s="136"/>
      <c r="U744" s="231"/>
      <c r="V744" s="856"/>
      <c r="W744" s="856"/>
      <c r="X744" s="848"/>
      <c r="Y744" s="848"/>
      <c r="Z744" s="94" t="s">
        <v>548</v>
      </c>
      <c r="AA744" s="98"/>
    </row>
    <row r="745" spans="1:27" ht="36" hidden="1">
      <c r="A745" s="475"/>
      <c r="B745" s="801"/>
      <c r="C745" s="804"/>
      <c r="D745" s="845"/>
      <c r="E745" s="840"/>
      <c r="F745" s="804"/>
      <c r="G745" s="833"/>
      <c r="H745" s="833"/>
      <c r="I745" s="858"/>
      <c r="J745" s="833"/>
      <c r="K745" s="833"/>
      <c r="L745" s="833"/>
      <c r="M745" s="833"/>
      <c r="N745" s="342" t="s">
        <v>1652</v>
      </c>
      <c r="O745" s="342" t="s">
        <v>1653</v>
      </c>
      <c r="P745" s="76" t="s">
        <v>36</v>
      </c>
      <c r="Q745" s="347">
        <v>45</v>
      </c>
      <c r="R745" s="347">
        <v>45</v>
      </c>
      <c r="S745" s="95" t="s">
        <v>85</v>
      </c>
      <c r="T745" s="136">
        <v>3.0188999999999999</v>
      </c>
      <c r="U745" s="231">
        <v>6.7086666666666697E-2</v>
      </c>
      <c r="V745" s="856"/>
      <c r="W745" s="856"/>
      <c r="X745" s="848"/>
      <c r="Y745" s="848"/>
      <c r="Z745" s="94" t="s">
        <v>548</v>
      </c>
      <c r="AA745" s="98"/>
    </row>
    <row r="746" spans="1:27" ht="48" hidden="1">
      <c r="A746" s="475"/>
      <c r="B746" s="801"/>
      <c r="C746" s="804"/>
      <c r="D746" s="845"/>
      <c r="E746" s="840"/>
      <c r="F746" s="804"/>
      <c r="G746" s="833"/>
      <c r="H746" s="833"/>
      <c r="I746" s="858"/>
      <c r="J746" s="833"/>
      <c r="K746" s="833"/>
      <c r="L746" s="833"/>
      <c r="M746" s="833"/>
      <c r="N746" s="342" t="s">
        <v>1654</v>
      </c>
      <c r="O746" s="342" t="s">
        <v>1655</v>
      </c>
      <c r="P746" s="76" t="s">
        <v>36</v>
      </c>
      <c r="Q746" s="347">
        <v>1.9597</v>
      </c>
      <c r="R746" s="347">
        <v>10</v>
      </c>
      <c r="S746" s="95" t="s">
        <v>789</v>
      </c>
      <c r="T746" s="136">
        <v>0.70830000000000004</v>
      </c>
      <c r="U746" s="231">
        <v>0.36143287237842497</v>
      </c>
      <c r="V746" s="856"/>
      <c r="W746" s="856"/>
      <c r="X746" s="848"/>
      <c r="Y746" s="848"/>
      <c r="Z746" s="94" t="s">
        <v>548</v>
      </c>
      <c r="AA746" s="98"/>
    </row>
    <row r="747" spans="1:27" ht="24" hidden="1">
      <c r="A747" s="475"/>
      <c r="B747" s="801"/>
      <c r="C747" s="804"/>
      <c r="D747" s="845"/>
      <c r="E747" s="840"/>
      <c r="F747" s="804"/>
      <c r="G747" s="833"/>
      <c r="H747" s="833"/>
      <c r="I747" s="858"/>
      <c r="J747" s="833"/>
      <c r="K747" s="833"/>
      <c r="L747" s="833"/>
      <c r="M747" s="833"/>
      <c r="N747" s="342" t="s">
        <v>1656</v>
      </c>
      <c r="O747" s="342" t="s">
        <v>1657</v>
      </c>
      <c r="P747" s="76" t="s">
        <v>36</v>
      </c>
      <c r="Q747" s="347">
        <v>2.2187999999999999</v>
      </c>
      <c r="R747" s="347">
        <v>10</v>
      </c>
      <c r="S747" s="95" t="s">
        <v>789</v>
      </c>
      <c r="T747" s="136">
        <v>5.7914000000000003</v>
      </c>
      <c r="U747" s="231">
        <v>2.6101496304308598</v>
      </c>
      <c r="V747" s="856"/>
      <c r="W747" s="856"/>
      <c r="X747" s="848"/>
      <c r="Y747" s="848"/>
      <c r="Z747" s="94" t="s">
        <v>548</v>
      </c>
      <c r="AA747" s="98"/>
    </row>
    <row r="748" spans="1:27" ht="72">
      <c r="A748" s="475"/>
      <c r="B748" s="801"/>
      <c r="C748" s="804"/>
      <c r="D748" s="845"/>
      <c r="E748" s="840"/>
      <c r="F748" s="804"/>
      <c r="G748" s="833"/>
      <c r="H748" s="833"/>
      <c r="I748" s="858"/>
      <c r="J748" s="833"/>
      <c r="K748" s="833"/>
      <c r="L748" s="833"/>
      <c r="M748" s="833"/>
      <c r="N748" s="269" t="s">
        <v>831</v>
      </c>
      <c r="O748" s="332" t="s">
        <v>1658</v>
      </c>
      <c r="P748" s="76" t="s">
        <v>27</v>
      </c>
      <c r="Q748" s="102">
        <v>1.03</v>
      </c>
      <c r="R748" s="102">
        <v>4</v>
      </c>
      <c r="S748" s="105"/>
      <c r="T748" s="104"/>
      <c r="U748" s="112"/>
      <c r="V748" s="856"/>
      <c r="W748" s="856"/>
      <c r="X748" s="848"/>
      <c r="Y748" s="848"/>
      <c r="Z748" s="94" t="s">
        <v>548</v>
      </c>
      <c r="AA748" s="98"/>
    </row>
    <row r="749" spans="1:27" ht="36">
      <c r="A749" s="475"/>
      <c r="B749" s="802"/>
      <c r="C749" s="805"/>
      <c r="D749" s="846"/>
      <c r="E749" s="841"/>
      <c r="F749" s="805"/>
      <c r="G749" s="834"/>
      <c r="H749" s="834"/>
      <c r="I749" s="859"/>
      <c r="J749" s="834"/>
      <c r="K749" s="834"/>
      <c r="L749" s="834"/>
      <c r="M749" s="834"/>
      <c r="N749" s="269" t="s">
        <v>1659</v>
      </c>
      <c r="O749" s="332" t="s">
        <v>1660</v>
      </c>
      <c r="P749" s="76" t="s">
        <v>27</v>
      </c>
      <c r="Q749" s="102">
        <v>150</v>
      </c>
      <c r="R749" s="102">
        <v>60</v>
      </c>
      <c r="S749" s="105"/>
      <c r="T749" s="104"/>
      <c r="U749" s="112"/>
      <c r="V749" s="857"/>
      <c r="W749" s="857"/>
      <c r="X749" s="849"/>
      <c r="Y749" s="849"/>
      <c r="Z749" s="94" t="s">
        <v>548</v>
      </c>
      <c r="AA749" s="98"/>
    </row>
    <row r="750" spans="1:27" hidden="1">
      <c r="A750" s="475"/>
      <c r="B750" s="270">
        <v>6</v>
      </c>
      <c r="C750" s="342" t="s">
        <v>1661</v>
      </c>
      <c r="D750" s="426">
        <v>34500</v>
      </c>
      <c r="E750" s="427" t="s">
        <v>2274</v>
      </c>
      <c r="F750" s="342" t="s">
        <v>242</v>
      </c>
      <c r="G750" s="850"/>
      <c r="H750" s="851"/>
      <c r="I750" s="342" t="s">
        <v>255</v>
      </c>
      <c r="J750" s="325">
        <v>34.5</v>
      </c>
      <c r="K750" s="325"/>
      <c r="L750" s="325"/>
      <c r="M750" s="325">
        <f>SUM(G750,H750,J750,L750)</f>
        <v>34.5</v>
      </c>
      <c r="N750" s="342" t="s">
        <v>1662</v>
      </c>
      <c r="O750" s="342" t="s">
        <v>1663</v>
      </c>
      <c r="P750" s="76" t="s">
        <v>36</v>
      </c>
      <c r="Q750" s="347">
        <v>52.9</v>
      </c>
      <c r="R750" s="347">
        <v>52.9</v>
      </c>
      <c r="S750" s="342">
        <v>2015.04</v>
      </c>
      <c r="T750" s="325">
        <v>11.37</v>
      </c>
      <c r="U750" s="18">
        <f>T750/Q750</f>
        <v>0.21493383742911151</v>
      </c>
      <c r="V750" s="11">
        <f>Q750</f>
        <v>52.9</v>
      </c>
      <c r="W750" s="11">
        <f>T750</f>
        <v>11.37</v>
      </c>
      <c r="X750" s="46">
        <f>W750/V750</f>
        <v>0.21493383742911151</v>
      </c>
      <c r="Y750" s="46">
        <f>W750/M750</f>
        <v>0.32956521739130434</v>
      </c>
      <c r="Z750" s="342" t="s">
        <v>381</v>
      </c>
      <c r="AA750" s="98"/>
    </row>
    <row r="751" spans="1:27" ht="24" hidden="1">
      <c r="A751" s="475"/>
      <c r="B751" s="271">
        <v>7</v>
      </c>
      <c r="C751" s="134" t="s">
        <v>1664</v>
      </c>
      <c r="D751" s="426">
        <v>17600</v>
      </c>
      <c r="E751" s="427" t="s">
        <v>2275</v>
      </c>
      <c r="F751" s="134" t="s">
        <v>372</v>
      </c>
      <c r="G751" s="135">
        <v>34.6066</v>
      </c>
      <c r="H751" s="135">
        <v>0.35</v>
      </c>
      <c r="I751" s="134" t="s">
        <v>1665</v>
      </c>
      <c r="J751" s="135">
        <v>27.38</v>
      </c>
      <c r="K751" s="135"/>
      <c r="L751" s="135"/>
      <c r="M751" s="135">
        <f>SUM(G751,H751,J751,L751)</f>
        <v>62.336600000000004</v>
      </c>
      <c r="N751" s="134"/>
      <c r="O751" s="134"/>
      <c r="P751" s="134"/>
      <c r="Q751" s="255"/>
      <c r="R751" s="255"/>
      <c r="S751" s="134"/>
      <c r="T751" s="135"/>
      <c r="U751" s="272"/>
      <c r="V751" s="273"/>
      <c r="W751" s="273"/>
      <c r="X751" s="273"/>
      <c r="Y751" s="273"/>
      <c r="Z751" s="134" t="s">
        <v>1021</v>
      </c>
      <c r="AA751" s="98"/>
    </row>
    <row r="752" spans="1:27" ht="36" hidden="1">
      <c r="A752" s="475"/>
      <c r="B752" s="801">
        <v>8</v>
      </c>
      <c r="C752" s="804" t="s">
        <v>2025</v>
      </c>
      <c r="D752" s="852">
        <v>61658.04</v>
      </c>
      <c r="E752" s="839" t="s">
        <v>2276</v>
      </c>
      <c r="F752" s="804" t="s">
        <v>1666</v>
      </c>
      <c r="G752" s="814">
        <v>270.27</v>
      </c>
      <c r="H752" s="815"/>
      <c r="I752" s="804" t="s">
        <v>1667</v>
      </c>
      <c r="J752" s="833">
        <v>75</v>
      </c>
      <c r="K752" s="833"/>
      <c r="L752" s="833"/>
      <c r="M752" s="833">
        <f>G752+J752</f>
        <v>345.27</v>
      </c>
      <c r="N752" s="274" t="s">
        <v>137</v>
      </c>
      <c r="O752" s="359" t="s">
        <v>1668</v>
      </c>
      <c r="P752" s="76" t="s">
        <v>36</v>
      </c>
      <c r="Q752" s="347">
        <v>11</v>
      </c>
      <c r="R752" s="347">
        <v>107.7</v>
      </c>
      <c r="S752" s="11"/>
      <c r="T752" s="325"/>
      <c r="U752" s="18"/>
      <c r="V752" s="822">
        <f>SUM(Q752:Q758)</f>
        <v>712.45</v>
      </c>
      <c r="W752" s="822">
        <f>SUM(T752:T758)</f>
        <v>62</v>
      </c>
      <c r="X752" s="578">
        <f>W752/V752</f>
        <v>8.702365078251105E-2</v>
      </c>
      <c r="Y752" s="578">
        <f>W752/M752</f>
        <v>0.17956961218756337</v>
      </c>
      <c r="Z752" s="342" t="s">
        <v>671</v>
      </c>
      <c r="AA752" s="98"/>
    </row>
    <row r="753" spans="1:27" ht="48" hidden="1">
      <c r="A753" s="475"/>
      <c r="B753" s="801"/>
      <c r="C753" s="804"/>
      <c r="D753" s="853"/>
      <c r="E753" s="840"/>
      <c r="F753" s="804"/>
      <c r="G753" s="814"/>
      <c r="H753" s="815"/>
      <c r="I753" s="804"/>
      <c r="J753" s="833"/>
      <c r="K753" s="833"/>
      <c r="L753" s="833"/>
      <c r="M753" s="833"/>
      <c r="N753" s="274" t="s">
        <v>1132</v>
      </c>
      <c r="O753" s="359" t="s">
        <v>1669</v>
      </c>
      <c r="P753" s="76" t="s">
        <v>36</v>
      </c>
      <c r="Q753" s="347">
        <v>50</v>
      </c>
      <c r="R753" s="347">
        <v>460.6</v>
      </c>
      <c r="S753" s="11"/>
      <c r="T753" s="325"/>
      <c r="U753" s="18"/>
      <c r="V753" s="576"/>
      <c r="W753" s="576"/>
      <c r="X753" s="579"/>
      <c r="Y753" s="579"/>
      <c r="Z753" s="342" t="s">
        <v>671</v>
      </c>
      <c r="AA753" s="98"/>
    </row>
    <row r="754" spans="1:27" ht="48" hidden="1">
      <c r="A754" s="475"/>
      <c r="B754" s="801"/>
      <c r="C754" s="804"/>
      <c r="D754" s="853"/>
      <c r="E754" s="840"/>
      <c r="F754" s="804"/>
      <c r="G754" s="814"/>
      <c r="H754" s="815"/>
      <c r="I754" s="804"/>
      <c r="J754" s="833"/>
      <c r="K754" s="833"/>
      <c r="L754" s="833"/>
      <c r="M754" s="833"/>
      <c r="N754" s="274" t="s">
        <v>1670</v>
      </c>
      <c r="O754" s="359" t="s">
        <v>1671</v>
      </c>
      <c r="P754" s="76" t="s">
        <v>36</v>
      </c>
      <c r="Q754" s="347">
        <v>600</v>
      </c>
      <c r="R754" s="347">
        <v>600</v>
      </c>
      <c r="S754" s="11"/>
      <c r="T754" s="325"/>
      <c r="U754" s="18"/>
      <c r="V754" s="576"/>
      <c r="W754" s="576"/>
      <c r="X754" s="579"/>
      <c r="Y754" s="579"/>
      <c r="Z754" s="342" t="s">
        <v>671</v>
      </c>
      <c r="AA754" s="98"/>
    </row>
    <row r="755" spans="1:27" ht="24">
      <c r="A755" s="475"/>
      <c r="B755" s="801"/>
      <c r="C755" s="804"/>
      <c r="D755" s="853"/>
      <c r="E755" s="840"/>
      <c r="F755" s="804"/>
      <c r="G755" s="814"/>
      <c r="H755" s="815"/>
      <c r="I755" s="804"/>
      <c r="J755" s="833"/>
      <c r="K755" s="833"/>
      <c r="L755" s="833"/>
      <c r="M755" s="833"/>
      <c r="N755" s="274" t="s">
        <v>751</v>
      </c>
      <c r="O755" s="359" t="s">
        <v>1672</v>
      </c>
      <c r="P755" s="76" t="s">
        <v>27</v>
      </c>
      <c r="Q755" s="347">
        <v>1.25</v>
      </c>
      <c r="R755" s="347">
        <v>3.25</v>
      </c>
      <c r="S755" s="132" t="s">
        <v>1673</v>
      </c>
      <c r="T755" s="325">
        <v>2</v>
      </c>
      <c r="U755" s="18">
        <v>1.6</v>
      </c>
      <c r="V755" s="576"/>
      <c r="W755" s="576"/>
      <c r="X755" s="579"/>
      <c r="Y755" s="579"/>
      <c r="Z755" s="342" t="s">
        <v>671</v>
      </c>
      <c r="AA755" s="98"/>
    </row>
    <row r="756" spans="1:27" ht="36">
      <c r="A756" s="475"/>
      <c r="B756" s="801"/>
      <c r="C756" s="804"/>
      <c r="D756" s="853"/>
      <c r="E756" s="840"/>
      <c r="F756" s="804"/>
      <c r="G756" s="814"/>
      <c r="H756" s="815"/>
      <c r="I756" s="804"/>
      <c r="J756" s="833"/>
      <c r="K756" s="833"/>
      <c r="L756" s="833"/>
      <c r="M756" s="833">
        <f>G756+J756</f>
        <v>0</v>
      </c>
      <c r="N756" s="274" t="s">
        <v>1674</v>
      </c>
      <c r="O756" s="342" t="s">
        <v>1675</v>
      </c>
      <c r="P756" s="76" t="s">
        <v>27</v>
      </c>
      <c r="Q756" s="347">
        <v>50</v>
      </c>
      <c r="R756" s="347">
        <v>60</v>
      </c>
      <c r="S756" s="342" t="s">
        <v>1676</v>
      </c>
      <c r="T756" s="325">
        <v>60</v>
      </c>
      <c r="U756" s="18">
        <v>1.2</v>
      </c>
      <c r="V756" s="576"/>
      <c r="W756" s="576"/>
      <c r="X756" s="579"/>
      <c r="Y756" s="579"/>
      <c r="Z756" s="342" t="s">
        <v>671</v>
      </c>
      <c r="AA756" s="98"/>
    </row>
    <row r="757" spans="1:27" ht="24">
      <c r="A757" s="475"/>
      <c r="B757" s="801"/>
      <c r="C757" s="804"/>
      <c r="D757" s="853"/>
      <c r="E757" s="840"/>
      <c r="F757" s="804"/>
      <c r="G757" s="814"/>
      <c r="H757" s="815"/>
      <c r="I757" s="804"/>
      <c r="J757" s="833"/>
      <c r="K757" s="833"/>
      <c r="L757" s="833"/>
      <c r="M757" s="833">
        <f>G757+J757</f>
        <v>0</v>
      </c>
      <c r="N757" s="274" t="s">
        <v>1677</v>
      </c>
      <c r="O757" s="342" t="s">
        <v>1678</v>
      </c>
      <c r="P757" s="76" t="s">
        <v>27</v>
      </c>
      <c r="Q757" s="347">
        <v>0.2</v>
      </c>
      <c r="R757" s="347">
        <v>0.8</v>
      </c>
      <c r="S757" s="342"/>
      <c r="T757" s="325"/>
      <c r="U757" s="18"/>
      <c r="V757" s="576"/>
      <c r="W757" s="576"/>
      <c r="X757" s="579"/>
      <c r="Y757" s="579"/>
      <c r="Z757" s="342" t="s">
        <v>671</v>
      </c>
      <c r="AA757" s="98"/>
    </row>
    <row r="758" spans="1:27" ht="36" hidden="1">
      <c r="A758" s="475"/>
      <c r="B758" s="802"/>
      <c r="C758" s="805"/>
      <c r="D758" s="854"/>
      <c r="E758" s="841"/>
      <c r="F758" s="805"/>
      <c r="G758" s="816"/>
      <c r="H758" s="817"/>
      <c r="I758" s="805"/>
      <c r="J758" s="834"/>
      <c r="K758" s="834"/>
      <c r="L758" s="834"/>
      <c r="M758" s="834">
        <f>G758+J758</f>
        <v>0</v>
      </c>
      <c r="N758" s="274" t="s">
        <v>1619</v>
      </c>
      <c r="O758" s="360" t="s">
        <v>1679</v>
      </c>
      <c r="P758" s="76" t="s">
        <v>36</v>
      </c>
      <c r="Q758" s="347"/>
      <c r="R758" s="347"/>
      <c r="S758" s="342"/>
      <c r="T758" s="325"/>
      <c r="U758" s="18"/>
      <c r="V758" s="577"/>
      <c r="W758" s="577"/>
      <c r="X758" s="580"/>
      <c r="Y758" s="580"/>
      <c r="Z758" s="342" t="s">
        <v>671</v>
      </c>
      <c r="AA758" s="98"/>
    </row>
    <row r="759" spans="1:27" ht="24">
      <c r="A759" s="475"/>
      <c r="B759" s="800">
        <v>9</v>
      </c>
      <c r="C759" s="803" t="s">
        <v>2026</v>
      </c>
      <c r="D759" s="852">
        <v>63016.618999999999</v>
      </c>
      <c r="E759" s="839" t="s">
        <v>2276</v>
      </c>
      <c r="F759" s="803" t="s">
        <v>457</v>
      </c>
      <c r="G759" s="812">
        <v>277.92306300000001</v>
      </c>
      <c r="H759" s="813"/>
      <c r="I759" s="803" t="s">
        <v>457</v>
      </c>
      <c r="J759" s="832">
        <v>87</v>
      </c>
      <c r="K759" s="832"/>
      <c r="L759" s="832"/>
      <c r="M759" s="832">
        <f>SUM(G759,H759,J759,L759)</f>
        <v>364.92306300000001</v>
      </c>
      <c r="N759" s="342" t="s">
        <v>654</v>
      </c>
      <c r="O759" s="342" t="s">
        <v>1680</v>
      </c>
      <c r="P759" s="76" t="s">
        <v>27</v>
      </c>
      <c r="Q759" s="15">
        <v>2.5238</v>
      </c>
      <c r="R759" s="15">
        <v>3.4054000000000002</v>
      </c>
      <c r="S759" s="342" t="s">
        <v>1681</v>
      </c>
      <c r="T759" s="295">
        <v>2.2077</v>
      </c>
      <c r="U759" s="18">
        <f>T759/Q759</f>
        <v>0.87475235755606628</v>
      </c>
      <c r="V759" s="822">
        <f>SUM(Q759:Q770)</f>
        <v>599.04449999999997</v>
      </c>
      <c r="W759" s="822">
        <f>SUM(T759:T770)</f>
        <v>9.979749</v>
      </c>
      <c r="X759" s="578">
        <f>W759/V759</f>
        <v>1.6659445166427537E-2</v>
      </c>
      <c r="Y759" s="578">
        <f>W759/M759</f>
        <v>2.7347542569541569E-2</v>
      </c>
      <c r="Z759" s="342" t="s">
        <v>1495</v>
      </c>
      <c r="AA759" s="98"/>
    </row>
    <row r="760" spans="1:27" ht="36">
      <c r="A760" s="475"/>
      <c r="B760" s="801"/>
      <c r="C760" s="842"/>
      <c r="D760" s="853"/>
      <c r="E760" s="840"/>
      <c r="F760" s="804"/>
      <c r="G760" s="814"/>
      <c r="H760" s="815"/>
      <c r="I760" s="804"/>
      <c r="J760" s="833"/>
      <c r="K760" s="833"/>
      <c r="L760" s="833"/>
      <c r="M760" s="833"/>
      <c r="N760" s="342" t="s">
        <v>1682</v>
      </c>
      <c r="O760" s="342" t="s">
        <v>1683</v>
      </c>
      <c r="P760" s="76" t="s">
        <v>27</v>
      </c>
      <c r="Q760" s="347">
        <v>2.6360000000000001</v>
      </c>
      <c r="R760" s="347">
        <v>3.0150000000000001</v>
      </c>
      <c r="S760" s="342" t="s">
        <v>651</v>
      </c>
      <c r="T760" s="325">
        <v>2.0360770000000001</v>
      </c>
      <c r="U760" s="18">
        <f>T760/Q760</f>
        <v>0.77241160849772383</v>
      </c>
      <c r="V760" s="576"/>
      <c r="W760" s="576"/>
      <c r="X760" s="579"/>
      <c r="Y760" s="579"/>
      <c r="Z760" s="342" t="s">
        <v>1495</v>
      </c>
      <c r="AA760" s="98"/>
    </row>
    <row r="761" spans="1:27" ht="36">
      <c r="A761" s="475"/>
      <c r="B761" s="801"/>
      <c r="C761" s="842"/>
      <c r="D761" s="853"/>
      <c r="E761" s="840"/>
      <c r="F761" s="804"/>
      <c r="G761" s="814"/>
      <c r="H761" s="815"/>
      <c r="I761" s="804"/>
      <c r="J761" s="833"/>
      <c r="K761" s="833"/>
      <c r="L761" s="833"/>
      <c r="M761" s="833"/>
      <c r="N761" s="342" t="s">
        <v>1684</v>
      </c>
      <c r="O761" s="342" t="s">
        <v>1685</v>
      </c>
      <c r="P761" s="76" t="s">
        <v>27</v>
      </c>
      <c r="Q761" s="347">
        <v>4.6847000000000003</v>
      </c>
      <c r="R761" s="347">
        <v>5.1452</v>
      </c>
      <c r="S761" s="342" t="s">
        <v>1681</v>
      </c>
      <c r="T761" s="325">
        <v>4.4861000000000004</v>
      </c>
      <c r="U761" s="18">
        <f>T761/Q761</f>
        <v>0.95760667705509428</v>
      </c>
      <c r="V761" s="576"/>
      <c r="W761" s="576"/>
      <c r="X761" s="579"/>
      <c r="Y761" s="579"/>
      <c r="Z761" s="342" t="s">
        <v>1495</v>
      </c>
      <c r="AA761" s="98"/>
    </row>
    <row r="762" spans="1:27" ht="24">
      <c r="A762" s="475"/>
      <c r="B762" s="801"/>
      <c r="C762" s="842"/>
      <c r="D762" s="853"/>
      <c r="E762" s="840"/>
      <c r="F762" s="804"/>
      <c r="G762" s="814"/>
      <c r="H762" s="815"/>
      <c r="I762" s="804"/>
      <c r="J762" s="833"/>
      <c r="K762" s="833"/>
      <c r="L762" s="833"/>
      <c r="M762" s="833"/>
      <c r="N762" s="342" t="s">
        <v>1686</v>
      </c>
      <c r="O762" s="342" t="s">
        <v>1687</v>
      </c>
      <c r="P762" s="76" t="s">
        <v>27</v>
      </c>
      <c r="Q762" s="347">
        <v>1.65</v>
      </c>
      <c r="R762" s="347">
        <v>2.0499999999999998</v>
      </c>
      <c r="S762" s="342" t="s">
        <v>1688</v>
      </c>
      <c r="T762" s="325">
        <v>1.2498720000000001</v>
      </c>
      <c r="U762" s="18">
        <f>T762/Q762</f>
        <v>0.75749818181818196</v>
      </c>
      <c r="V762" s="576"/>
      <c r="W762" s="576"/>
      <c r="X762" s="579"/>
      <c r="Y762" s="579"/>
      <c r="Z762" s="342" t="s">
        <v>1495</v>
      </c>
      <c r="AA762" s="98"/>
    </row>
    <row r="763" spans="1:27" ht="24">
      <c r="A763" s="475"/>
      <c r="B763" s="801"/>
      <c r="C763" s="842"/>
      <c r="D763" s="853"/>
      <c r="E763" s="840"/>
      <c r="F763" s="804"/>
      <c r="G763" s="814"/>
      <c r="H763" s="815"/>
      <c r="I763" s="804"/>
      <c r="J763" s="833"/>
      <c r="K763" s="833"/>
      <c r="L763" s="833"/>
      <c r="M763" s="833"/>
      <c r="N763" s="342" t="s">
        <v>1689</v>
      </c>
      <c r="O763" s="342" t="s">
        <v>1690</v>
      </c>
      <c r="P763" s="76" t="s">
        <v>27</v>
      </c>
      <c r="Q763" s="347"/>
      <c r="R763" s="347"/>
      <c r="S763" s="342"/>
      <c r="T763" s="325"/>
      <c r="U763" s="18"/>
      <c r="V763" s="576"/>
      <c r="W763" s="576"/>
      <c r="X763" s="579"/>
      <c r="Y763" s="579"/>
      <c r="Z763" s="342" t="s">
        <v>1495</v>
      </c>
      <c r="AA763" s="98"/>
    </row>
    <row r="764" spans="1:27" ht="24" hidden="1">
      <c r="A764" s="475"/>
      <c r="B764" s="801"/>
      <c r="C764" s="842"/>
      <c r="D764" s="853"/>
      <c r="E764" s="840"/>
      <c r="F764" s="804"/>
      <c r="G764" s="814"/>
      <c r="H764" s="815"/>
      <c r="I764" s="804"/>
      <c r="J764" s="833"/>
      <c r="K764" s="833"/>
      <c r="L764" s="833"/>
      <c r="M764" s="833"/>
      <c r="N764" s="342" t="s">
        <v>1670</v>
      </c>
      <c r="O764" s="342" t="s">
        <v>1691</v>
      </c>
      <c r="P764" s="76" t="s">
        <v>36</v>
      </c>
      <c r="Q764" s="347">
        <v>587.54999999999995</v>
      </c>
      <c r="R764" s="347">
        <v>587.54570000000001</v>
      </c>
      <c r="S764" s="342"/>
      <c r="T764" s="325"/>
      <c r="U764" s="18"/>
      <c r="V764" s="576"/>
      <c r="W764" s="576"/>
      <c r="X764" s="579"/>
      <c r="Y764" s="579"/>
      <c r="Z764" s="342" t="s">
        <v>1495</v>
      </c>
      <c r="AA764" s="98"/>
    </row>
    <row r="765" spans="1:27" ht="48">
      <c r="A765" s="475"/>
      <c r="B765" s="801"/>
      <c r="C765" s="842"/>
      <c r="D765" s="853"/>
      <c r="E765" s="840"/>
      <c r="F765" s="804"/>
      <c r="G765" s="814"/>
      <c r="H765" s="815"/>
      <c r="I765" s="804"/>
      <c r="J765" s="833"/>
      <c r="K765" s="833"/>
      <c r="L765" s="833"/>
      <c r="M765" s="833"/>
      <c r="N765" s="342" t="s">
        <v>1692</v>
      </c>
      <c r="O765" s="342" t="s">
        <v>1693</v>
      </c>
      <c r="P765" s="76" t="s">
        <v>27</v>
      </c>
      <c r="Q765" s="347"/>
      <c r="R765" s="347"/>
      <c r="S765" s="342"/>
      <c r="T765" s="325"/>
      <c r="U765" s="18"/>
      <c r="V765" s="576"/>
      <c r="W765" s="576"/>
      <c r="X765" s="579"/>
      <c r="Y765" s="579"/>
      <c r="Z765" s="342" t="s">
        <v>1495</v>
      </c>
      <c r="AA765" s="98"/>
    </row>
    <row r="766" spans="1:27" ht="84">
      <c r="A766" s="475"/>
      <c r="B766" s="801"/>
      <c r="C766" s="842"/>
      <c r="D766" s="853"/>
      <c r="E766" s="840"/>
      <c r="F766" s="804"/>
      <c r="G766" s="814"/>
      <c r="H766" s="815"/>
      <c r="I766" s="804"/>
      <c r="J766" s="833"/>
      <c r="K766" s="833"/>
      <c r="L766" s="833"/>
      <c r="M766" s="833"/>
      <c r="N766" s="342" t="s">
        <v>461</v>
      </c>
      <c r="O766" s="342" t="s">
        <v>1694</v>
      </c>
      <c r="P766" s="76" t="s">
        <v>27</v>
      </c>
      <c r="Q766" s="347"/>
      <c r="R766" s="347"/>
      <c r="S766" s="342"/>
      <c r="T766" s="325"/>
      <c r="U766" s="18"/>
      <c r="V766" s="576"/>
      <c r="W766" s="576"/>
      <c r="X766" s="579"/>
      <c r="Y766" s="579"/>
      <c r="Z766" s="342" t="s">
        <v>1495</v>
      </c>
      <c r="AA766" s="98"/>
    </row>
    <row r="767" spans="1:27" ht="48">
      <c r="A767" s="475"/>
      <c r="B767" s="801"/>
      <c r="C767" s="842"/>
      <c r="D767" s="853"/>
      <c r="E767" s="840"/>
      <c r="F767" s="804"/>
      <c r="G767" s="814"/>
      <c r="H767" s="815"/>
      <c r="I767" s="804"/>
      <c r="J767" s="833"/>
      <c r="K767" s="833"/>
      <c r="L767" s="833"/>
      <c r="M767" s="833"/>
      <c r="N767" s="342" t="s">
        <v>1695</v>
      </c>
      <c r="O767" s="342" t="s">
        <v>1696</v>
      </c>
      <c r="P767" s="76" t="s">
        <v>27</v>
      </c>
      <c r="Q767" s="347"/>
      <c r="R767" s="347"/>
      <c r="S767" s="342"/>
      <c r="T767" s="325"/>
      <c r="U767" s="18"/>
      <c r="V767" s="576"/>
      <c r="W767" s="576"/>
      <c r="X767" s="579"/>
      <c r="Y767" s="579"/>
      <c r="Z767" s="342" t="s">
        <v>1495</v>
      </c>
      <c r="AA767" s="98"/>
    </row>
    <row r="768" spans="1:27" ht="48">
      <c r="A768" s="475"/>
      <c r="B768" s="801"/>
      <c r="C768" s="842"/>
      <c r="D768" s="853"/>
      <c r="E768" s="840"/>
      <c r="F768" s="804"/>
      <c r="G768" s="814"/>
      <c r="H768" s="815"/>
      <c r="I768" s="804"/>
      <c r="J768" s="833"/>
      <c r="K768" s="833"/>
      <c r="L768" s="833"/>
      <c r="M768" s="833"/>
      <c r="N768" s="342" t="s">
        <v>298</v>
      </c>
      <c r="O768" s="342" t="s">
        <v>1697</v>
      </c>
      <c r="P768" s="76" t="s">
        <v>27</v>
      </c>
      <c r="Q768" s="347"/>
      <c r="R768" s="347"/>
      <c r="S768" s="342"/>
      <c r="T768" s="325"/>
      <c r="U768" s="18"/>
      <c r="V768" s="576"/>
      <c r="W768" s="576"/>
      <c r="X768" s="579"/>
      <c r="Y768" s="579"/>
      <c r="Z768" s="342" t="s">
        <v>1495</v>
      </c>
      <c r="AA768" s="98"/>
    </row>
    <row r="769" spans="1:27" ht="48">
      <c r="A769" s="475"/>
      <c r="B769" s="801"/>
      <c r="C769" s="842"/>
      <c r="D769" s="853"/>
      <c r="E769" s="840"/>
      <c r="F769" s="804"/>
      <c r="G769" s="814"/>
      <c r="H769" s="815"/>
      <c r="I769" s="804"/>
      <c r="J769" s="833"/>
      <c r="K769" s="833"/>
      <c r="L769" s="833"/>
      <c r="M769" s="833"/>
      <c r="N769" s="342" t="s">
        <v>1698</v>
      </c>
      <c r="O769" s="342" t="s">
        <v>1697</v>
      </c>
      <c r="P769" s="76" t="s">
        <v>27</v>
      </c>
      <c r="Q769" s="347"/>
      <c r="R769" s="347"/>
      <c r="S769" s="342"/>
      <c r="T769" s="325"/>
      <c r="U769" s="18"/>
      <c r="V769" s="576"/>
      <c r="W769" s="576"/>
      <c r="X769" s="579"/>
      <c r="Y769" s="579"/>
      <c r="Z769" s="342" t="s">
        <v>1495</v>
      </c>
      <c r="AA769" s="98"/>
    </row>
    <row r="770" spans="1:27" ht="24" hidden="1">
      <c r="A770" s="475"/>
      <c r="B770" s="801"/>
      <c r="C770" s="843"/>
      <c r="D770" s="854"/>
      <c r="E770" s="841"/>
      <c r="F770" s="805"/>
      <c r="G770" s="816"/>
      <c r="H770" s="817"/>
      <c r="I770" s="805"/>
      <c r="J770" s="834"/>
      <c r="K770" s="834"/>
      <c r="L770" s="834"/>
      <c r="M770" s="834"/>
      <c r="N770" s="342" t="s">
        <v>1698</v>
      </c>
      <c r="O770" s="342" t="s">
        <v>1691</v>
      </c>
      <c r="P770" s="76" t="s">
        <v>36</v>
      </c>
      <c r="Q770" s="347"/>
      <c r="R770" s="347" t="s">
        <v>1699</v>
      </c>
      <c r="S770" s="342"/>
      <c r="T770" s="295"/>
      <c r="U770" s="18"/>
      <c r="V770" s="577"/>
      <c r="W770" s="577"/>
      <c r="X770" s="580"/>
      <c r="Y770" s="580"/>
      <c r="Z770" s="342" t="s">
        <v>1495</v>
      </c>
      <c r="AA770" s="98"/>
    </row>
    <row r="771" spans="1:27" ht="48">
      <c r="A771" s="475"/>
      <c r="B771" s="275">
        <v>10</v>
      </c>
      <c r="C771" s="359" t="s">
        <v>1700</v>
      </c>
      <c r="D771" s="426">
        <v>18634.212599999999</v>
      </c>
      <c r="E771" s="428" t="s">
        <v>2277</v>
      </c>
      <c r="F771" s="326" t="s">
        <v>1701</v>
      </c>
      <c r="G771" s="874">
        <v>46.585532000000001</v>
      </c>
      <c r="H771" s="875"/>
      <c r="I771" s="326" t="s">
        <v>1702</v>
      </c>
      <c r="J771" s="323">
        <v>28.8</v>
      </c>
      <c r="K771" s="323"/>
      <c r="L771" s="323"/>
      <c r="M771" s="323">
        <v>75.385531999999998</v>
      </c>
      <c r="N771" s="326" t="s">
        <v>1184</v>
      </c>
      <c r="O771" s="326" t="s">
        <v>1703</v>
      </c>
      <c r="P771" s="76" t="s">
        <v>27</v>
      </c>
      <c r="Q771" s="318">
        <v>60</v>
      </c>
      <c r="R771" s="318">
        <v>60</v>
      </c>
      <c r="S771" s="326"/>
      <c r="T771" s="323"/>
      <c r="U771" s="362"/>
      <c r="V771" s="317">
        <f>Q771</f>
        <v>60</v>
      </c>
      <c r="W771" s="317">
        <f>T771</f>
        <v>0</v>
      </c>
      <c r="X771" s="317"/>
      <c r="Y771" s="317"/>
      <c r="Z771" s="359" t="s">
        <v>671</v>
      </c>
      <c r="AA771" s="98"/>
    </row>
    <row r="772" spans="1:27" ht="36" hidden="1">
      <c r="A772" s="475"/>
      <c r="B772" s="270">
        <v>11</v>
      </c>
      <c r="C772" s="342" t="s">
        <v>1704</v>
      </c>
      <c r="D772" s="429">
        <v>14127.9668</v>
      </c>
      <c r="E772" s="430" t="s">
        <v>2278</v>
      </c>
      <c r="F772" s="342" t="s">
        <v>1705</v>
      </c>
      <c r="G772" s="850">
        <v>33.246281000000003</v>
      </c>
      <c r="H772" s="851"/>
      <c r="I772" s="342" t="s">
        <v>1705</v>
      </c>
      <c r="J772" s="325">
        <v>23.49</v>
      </c>
      <c r="K772" s="144"/>
      <c r="L772" s="144"/>
      <c r="M772" s="325">
        <f>SUM(G772,J772,L772)</f>
        <v>56.736281000000005</v>
      </c>
      <c r="N772" s="138"/>
      <c r="O772" s="138"/>
      <c r="P772" s="138"/>
      <c r="Q772" s="139"/>
      <c r="R772" s="139"/>
      <c r="S772" s="138"/>
      <c r="T772" s="144"/>
      <c r="U772" s="276"/>
      <c r="V772" s="140"/>
      <c r="W772" s="140"/>
      <c r="X772" s="140"/>
      <c r="Y772" s="140"/>
      <c r="Z772" s="342" t="s">
        <v>1706</v>
      </c>
      <c r="AA772" s="98"/>
    </row>
    <row r="773" spans="1:27" hidden="1">
      <c r="A773" s="475"/>
      <c r="B773" s="270">
        <v>12</v>
      </c>
      <c r="C773" s="342" t="s">
        <v>2027</v>
      </c>
      <c r="D773" s="429">
        <v>9881.94</v>
      </c>
      <c r="E773" s="431" t="s">
        <v>2279</v>
      </c>
      <c r="F773" s="342" t="s">
        <v>1707</v>
      </c>
      <c r="G773" s="325">
        <v>34.272742999999998</v>
      </c>
      <c r="H773" s="325">
        <v>0.35</v>
      </c>
      <c r="I773" s="342"/>
      <c r="J773" s="325"/>
      <c r="K773" s="325"/>
      <c r="L773" s="325"/>
      <c r="M773" s="325">
        <f>SUM(G773,H773,J773,L773)</f>
        <v>34.622743</v>
      </c>
      <c r="N773" s="342"/>
      <c r="O773" s="130"/>
      <c r="P773" s="130"/>
      <c r="Q773" s="137"/>
      <c r="R773" s="137"/>
      <c r="S773" s="130"/>
      <c r="T773" s="129"/>
      <c r="U773" s="266"/>
      <c r="V773" s="277"/>
      <c r="W773" s="277"/>
      <c r="X773" s="277"/>
      <c r="Y773" s="277"/>
      <c r="Z773" s="342" t="s">
        <v>540</v>
      </c>
      <c r="AA773" s="98"/>
    </row>
    <row r="774" spans="1:27" ht="24">
      <c r="A774" s="475" t="s">
        <v>1827</v>
      </c>
      <c r="B774" s="866">
        <v>1</v>
      </c>
      <c r="C774" s="868" t="s">
        <v>2309</v>
      </c>
      <c r="D774" s="868">
        <v>55879.785400000001</v>
      </c>
      <c r="E774" s="868" t="s">
        <v>2310</v>
      </c>
      <c r="F774" s="868" t="s">
        <v>1513</v>
      </c>
      <c r="G774" s="832">
        <v>114.57664200000001</v>
      </c>
      <c r="H774" s="832"/>
      <c r="I774" s="868" t="s">
        <v>245</v>
      </c>
      <c r="J774" s="868">
        <v>40</v>
      </c>
      <c r="K774" s="868" t="s">
        <v>162</v>
      </c>
      <c r="L774" s="868">
        <v>16.2804</v>
      </c>
      <c r="M774" s="868">
        <f>SUM(G774,H774,J774,L774)</f>
        <v>170.85704199999998</v>
      </c>
      <c r="N774" s="356" t="s">
        <v>1710</v>
      </c>
      <c r="O774" s="356" t="s">
        <v>2311</v>
      </c>
      <c r="P774" s="76" t="s">
        <v>27</v>
      </c>
      <c r="Q774" s="434">
        <v>1.7862</v>
      </c>
      <c r="R774" s="434">
        <v>3.0015000000000001</v>
      </c>
      <c r="S774" s="356" t="s">
        <v>2312</v>
      </c>
      <c r="T774" s="432">
        <v>1.7862</v>
      </c>
      <c r="U774" s="5">
        <f>T774/Q774</f>
        <v>1</v>
      </c>
      <c r="V774" s="873">
        <f>SUM(Q774:Q795)</f>
        <v>109.06193100000002</v>
      </c>
      <c r="W774" s="873">
        <f>SUM(T774:T795)</f>
        <v>108.82043100000001</v>
      </c>
      <c r="X774" s="589">
        <f>W774/V774</f>
        <v>0.99778566179980799</v>
      </c>
      <c r="Y774" s="589">
        <f>W774/M774</f>
        <v>0.63690925305847224</v>
      </c>
      <c r="Z774" s="863" t="s">
        <v>2313</v>
      </c>
      <c r="AA774" s="98"/>
    </row>
    <row r="775" spans="1:27" ht="24">
      <c r="A775" s="475"/>
      <c r="B775" s="876"/>
      <c r="C775" s="872"/>
      <c r="D775" s="872"/>
      <c r="E775" s="872"/>
      <c r="F775" s="872"/>
      <c r="G775" s="833"/>
      <c r="H775" s="833"/>
      <c r="I775" s="872"/>
      <c r="J775" s="872"/>
      <c r="K775" s="872"/>
      <c r="L775" s="872"/>
      <c r="M775" s="872"/>
      <c r="N775" s="356" t="s">
        <v>1711</v>
      </c>
      <c r="O775" s="356" t="s">
        <v>2314</v>
      </c>
      <c r="P775" s="76" t="s">
        <v>27</v>
      </c>
      <c r="Q775" s="434">
        <v>0.05</v>
      </c>
      <c r="R775" s="434">
        <v>0.1226</v>
      </c>
      <c r="S775" s="356" t="s">
        <v>2315</v>
      </c>
      <c r="T775" s="432">
        <v>0.05</v>
      </c>
      <c r="U775" s="5">
        <f t="shared" ref="U775:U795" si="61">T775/Q775</f>
        <v>1</v>
      </c>
      <c r="V775" s="591"/>
      <c r="W775" s="591"/>
      <c r="X775" s="592"/>
      <c r="Y775" s="592"/>
      <c r="Z775" s="864"/>
      <c r="AA775" s="98"/>
    </row>
    <row r="776" spans="1:27" ht="24">
      <c r="A776" s="475"/>
      <c r="B776" s="876"/>
      <c r="C776" s="872"/>
      <c r="D776" s="872">
        <v>55879.785400000001</v>
      </c>
      <c r="E776" s="872" t="s">
        <v>2280</v>
      </c>
      <c r="F776" s="872"/>
      <c r="G776" s="833"/>
      <c r="H776" s="833"/>
      <c r="I776" s="872"/>
      <c r="J776" s="872"/>
      <c r="K776" s="872"/>
      <c r="L776" s="872"/>
      <c r="M776" s="872"/>
      <c r="N776" s="356" t="s">
        <v>1712</v>
      </c>
      <c r="O776" s="356" t="s">
        <v>2316</v>
      </c>
      <c r="P776" s="76" t="s">
        <v>27</v>
      </c>
      <c r="Q776" s="434">
        <v>3.8100000000000002E-2</v>
      </c>
      <c r="R776" s="434">
        <v>6.0999999999999999E-2</v>
      </c>
      <c r="S776" s="356" t="s">
        <v>2317</v>
      </c>
      <c r="T776" s="432">
        <v>3.8100000000000002E-2</v>
      </c>
      <c r="U776" s="5">
        <f t="shared" si="61"/>
        <v>1</v>
      </c>
      <c r="V776" s="591"/>
      <c r="W776" s="591"/>
      <c r="X776" s="592"/>
      <c r="Y776" s="592"/>
      <c r="Z776" s="864"/>
      <c r="AA776" s="98"/>
    </row>
    <row r="777" spans="1:27" ht="24">
      <c r="A777" s="475"/>
      <c r="B777" s="876"/>
      <c r="C777" s="872"/>
      <c r="D777" s="872"/>
      <c r="E777" s="872"/>
      <c r="F777" s="872"/>
      <c r="G777" s="833"/>
      <c r="H777" s="833"/>
      <c r="I777" s="872"/>
      <c r="J777" s="872"/>
      <c r="K777" s="872"/>
      <c r="L777" s="872"/>
      <c r="M777" s="872"/>
      <c r="N777" s="356" t="s">
        <v>1713</v>
      </c>
      <c r="O777" s="356" t="s">
        <v>1714</v>
      </c>
      <c r="P777" s="76" t="s">
        <v>27</v>
      </c>
      <c r="Q777" s="434">
        <v>0.84130000000000005</v>
      </c>
      <c r="R777" s="434">
        <v>1.3784000000000001</v>
      </c>
      <c r="S777" s="356" t="s">
        <v>2318</v>
      </c>
      <c r="T777" s="432">
        <v>0.84130000000000005</v>
      </c>
      <c r="U777" s="5">
        <f t="shared" si="61"/>
        <v>1</v>
      </c>
      <c r="V777" s="591"/>
      <c r="W777" s="591"/>
      <c r="X777" s="592"/>
      <c r="Y777" s="592"/>
      <c r="Z777" s="864"/>
      <c r="AA777" s="98"/>
    </row>
    <row r="778" spans="1:27">
      <c r="A778" s="475"/>
      <c r="B778" s="876"/>
      <c r="C778" s="872"/>
      <c r="D778" s="872"/>
      <c r="E778" s="872"/>
      <c r="F778" s="872"/>
      <c r="G778" s="833"/>
      <c r="H778" s="833"/>
      <c r="I778" s="872"/>
      <c r="J778" s="872"/>
      <c r="K778" s="872"/>
      <c r="L778" s="872"/>
      <c r="M778" s="872"/>
      <c r="N778" s="356" t="s">
        <v>1715</v>
      </c>
      <c r="O778" s="356" t="s">
        <v>2319</v>
      </c>
      <c r="P778" s="76" t="s">
        <v>27</v>
      </c>
      <c r="Q778" s="434">
        <v>2.8090999999999999</v>
      </c>
      <c r="R778" s="434">
        <v>4.9386999999999999</v>
      </c>
      <c r="S778" s="356" t="s">
        <v>2320</v>
      </c>
      <c r="T778" s="432">
        <v>2.8090999999999999</v>
      </c>
      <c r="U778" s="5">
        <f t="shared" si="61"/>
        <v>1</v>
      </c>
      <c r="V778" s="591"/>
      <c r="W778" s="591"/>
      <c r="X778" s="592"/>
      <c r="Y778" s="592"/>
      <c r="Z778" s="864"/>
      <c r="AA778" s="98"/>
    </row>
    <row r="779" spans="1:27">
      <c r="A779" s="475"/>
      <c r="B779" s="876"/>
      <c r="C779" s="872"/>
      <c r="D779" s="872"/>
      <c r="E779" s="872"/>
      <c r="F779" s="872"/>
      <c r="G779" s="833"/>
      <c r="H779" s="833"/>
      <c r="I779" s="872"/>
      <c r="J779" s="872"/>
      <c r="K779" s="872"/>
      <c r="L779" s="872"/>
      <c r="M779" s="872"/>
      <c r="N779" s="356" t="s">
        <v>1716</v>
      </c>
      <c r="O779" s="356" t="s">
        <v>1717</v>
      </c>
      <c r="P779" s="76" t="s">
        <v>27</v>
      </c>
      <c r="Q779" s="434">
        <v>1.0880000000000001</v>
      </c>
      <c r="R779" s="434">
        <v>1.4237</v>
      </c>
      <c r="S779" s="356" t="s">
        <v>2321</v>
      </c>
      <c r="T779" s="432">
        <v>1.0880000000000001</v>
      </c>
      <c r="U779" s="5">
        <f t="shared" si="61"/>
        <v>1</v>
      </c>
      <c r="V779" s="591"/>
      <c r="W779" s="591"/>
      <c r="X779" s="592"/>
      <c r="Y779" s="592"/>
      <c r="Z779" s="864"/>
      <c r="AA779" s="98"/>
    </row>
    <row r="780" spans="1:27">
      <c r="A780" s="475"/>
      <c r="B780" s="876"/>
      <c r="C780" s="872"/>
      <c r="D780" s="872"/>
      <c r="E780" s="872"/>
      <c r="F780" s="872"/>
      <c r="G780" s="833"/>
      <c r="H780" s="833"/>
      <c r="I780" s="872"/>
      <c r="J780" s="872"/>
      <c r="K780" s="872"/>
      <c r="L780" s="872"/>
      <c r="M780" s="872"/>
      <c r="N780" s="342" t="s">
        <v>1718</v>
      </c>
      <c r="O780" s="342" t="s">
        <v>2322</v>
      </c>
      <c r="P780" s="76" t="s">
        <v>27</v>
      </c>
      <c r="Q780" s="347">
        <v>0.11</v>
      </c>
      <c r="R780" s="347">
        <v>0.14280000000000001</v>
      </c>
      <c r="S780" s="342" t="s">
        <v>2323</v>
      </c>
      <c r="T780" s="433">
        <v>0.11</v>
      </c>
      <c r="U780" s="5">
        <f t="shared" si="61"/>
        <v>1</v>
      </c>
      <c r="V780" s="591"/>
      <c r="W780" s="591"/>
      <c r="X780" s="592"/>
      <c r="Y780" s="592"/>
      <c r="Z780" s="864"/>
      <c r="AA780" s="98"/>
    </row>
    <row r="781" spans="1:27" ht="24">
      <c r="A781" s="475"/>
      <c r="B781" s="876"/>
      <c r="C781" s="872"/>
      <c r="D781" s="872"/>
      <c r="E781" s="872"/>
      <c r="F781" s="872"/>
      <c r="G781" s="833"/>
      <c r="H781" s="833"/>
      <c r="I781" s="872"/>
      <c r="J781" s="872"/>
      <c r="K781" s="872"/>
      <c r="L781" s="872"/>
      <c r="M781" s="872"/>
      <c r="N781" s="356" t="s">
        <v>2324</v>
      </c>
      <c r="O781" s="356" t="s">
        <v>2325</v>
      </c>
      <c r="P781" s="76" t="s">
        <v>27</v>
      </c>
      <c r="Q781" s="434">
        <v>1.4603999999999999</v>
      </c>
      <c r="R781" s="434">
        <v>1.8257000000000001</v>
      </c>
      <c r="S781" s="356" t="s">
        <v>407</v>
      </c>
      <c r="T781" s="432">
        <v>1.4603999999999999</v>
      </c>
      <c r="U781" s="5">
        <f t="shared" si="61"/>
        <v>1</v>
      </c>
      <c r="V781" s="591"/>
      <c r="W781" s="591"/>
      <c r="X781" s="592"/>
      <c r="Y781" s="592"/>
      <c r="Z781" s="864"/>
      <c r="AA781" s="98"/>
    </row>
    <row r="782" spans="1:27">
      <c r="A782" s="475"/>
      <c r="B782" s="876"/>
      <c r="C782" s="872"/>
      <c r="D782" s="872"/>
      <c r="E782" s="872"/>
      <c r="F782" s="872"/>
      <c r="G782" s="833"/>
      <c r="H782" s="833"/>
      <c r="I782" s="872"/>
      <c r="J782" s="872"/>
      <c r="K782" s="872"/>
      <c r="L782" s="872"/>
      <c r="M782" s="872"/>
      <c r="N782" s="356" t="s">
        <v>2326</v>
      </c>
      <c r="O782" s="356" t="s">
        <v>2327</v>
      </c>
      <c r="P782" s="76" t="s">
        <v>27</v>
      </c>
      <c r="Q782" s="434">
        <v>0.2356</v>
      </c>
      <c r="R782" s="434">
        <v>0.90229999999999999</v>
      </c>
      <c r="S782" s="356" t="s">
        <v>2328</v>
      </c>
      <c r="T782" s="432">
        <v>0.2356</v>
      </c>
      <c r="U782" s="5">
        <f t="shared" si="61"/>
        <v>1</v>
      </c>
      <c r="V782" s="591"/>
      <c r="W782" s="591"/>
      <c r="X782" s="592"/>
      <c r="Y782" s="592"/>
      <c r="Z782" s="864"/>
      <c r="AA782" s="98"/>
    </row>
    <row r="783" spans="1:27" ht="24">
      <c r="A783" s="475"/>
      <c r="B783" s="876"/>
      <c r="C783" s="872"/>
      <c r="D783" s="872"/>
      <c r="E783" s="872"/>
      <c r="F783" s="872"/>
      <c r="G783" s="833"/>
      <c r="H783" s="833"/>
      <c r="I783" s="872"/>
      <c r="J783" s="872"/>
      <c r="K783" s="872"/>
      <c r="L783" s="872"/>
      <c r="M783" s="872"/>
      <c r="N783" s="356" t="s">
        <v>2329</v>
      </c>
      <c r="O783" s="356" t="s">
        <v>2330</v>
      </c>
      <c r="P783" s="76" t="s">
        <v>27</v>
      </c>
      <c r="Q783" s="434">
        <v>0.1183</v>
      </c>
      <c r="R783" s="434">
        <v>0.17460000000000001</v>
      </c>
      <c r="S783" s="356" t="s">
        <v>2331</v>
      </c>
      <c r="T783" s="432">
        <v>0.1183</v>
      </c>
      <c r="U783" s="5">
        <f t="shared" si="61"/>
        <v>1</v>
      </c>
      <c r="V783" s="591"/>
      <c r="W783" s="591"/>
      <c r="X783" s="592"/>
      <c r="Y783" s="592"/>
      <c r="Z783" s="864"/>
      <c r="AA783" s="98"/>
    </row>
    <row r="784" spans="1:27">
      <c r="A784" s="475"/>
      <c r="B784" s="876"/>
      <c r="C784" s="872"/>
      <c r="D784" s="872"/>
      <c r="E784" s="872"/>
      <c r="F784" s="872"/>
      <c r="G784" s="833"/>
      <c r="H784" s="833"/>
      <c r="I784" s="872"/>
      <c r="J784" s="872"/>
      <c r="K784" s="872"/>
      <c r="L784" s="872"/>
      <c r="M784" s="872"/>
      <c r="N784" s="356" t="s">
        <v>2332</v>
      </c>
      <c r="O784" s="356" t="s">
        <v>2333</v>
      </c>
      <c r="P784" s="76" t="s">
        <v>27</v>
      </c>
      <c r="Q784" s="434">
        <v>3.3597000000000001</v>
      </c>
      <c r="R784" s="434">
        <v>4.3772000000000002</v>
      </c>
      <c r="S784" s="356" t="s">
        <v>2334</v>
      </c>
      <c r="T784" s="432">
        <v>3.3597000000000001</v>
      </c>
      <c r="U784" s="5">
        <f t="shared" si="61"/>
        <v>1</v>
      </c>
      <c r="V784" s="591"/>
      <c r="W784" s="591"/>
      <c r="X784" s="592"/>
      <c r="Y784" s="592"/>
      <c r="Z784" s="864"/>
      <c r="AA784" s="98"/>
    </row>
    <row r="785" spans="1:27" ht="24">
      <c r="A785" s="475"/>
      <c r="B785" s="876"/>
      <c r="C785" s="872"/>
      <c r="D785" s="872"/>
      <c r="E785" s="872"/>
      <c r="F785" s="872"/>
      <c r="G785" s="833"/>
      <c r="H785" s="833"/>
      <c r="I785" s="872"/>
      <c r="J785" s="872"/>
      <c r="K785" s="872"/>
      <c r="L785" s="872"/>
      <c r="M785" s="872"/>
      <c r="N785" s="356" t="s">
        <v>2335</v>
      </c>
      <c r="O785" s="356" t="s">
        <v>2336</v>
      </c>
      <c r="P785" s="76" t="s">
        <v>27</v>
      </c>
      <c r="Q785" s="434">
        <v>4.3788309999999999</v>
      </c>
      <c r="R785" s="434">
        <v>4.5148999999999999</v>
      </c>
      <c r="S785" s="356" t="s">
        <v>321</v>
      </c>
      <c r="T785" s="432">
        <v>4.3788309999999999</v>
      </c>
      <c r="U785" s="5">
        <f t="shared" si="61"/>
        <v>1</v>
      </c>
      <c r="V785" s="591"/>
      <c r="W785" s="591"/>
      <c r="X785" s="592"/>
      <c r="Y785" s="592"/>
      <c r="Z785" s="864"/>
      <c r="AA785" s="98"/>
    </row>
    <row r="786" spans="1:27" ht="24">
      <c r="A786" s="475"/>
      <c r="B786" s="876"/>
      <c r="C786" s="872"/>
      <c r="D786" s="872"/>
      <c r="E786" s="872"/>
      <c r="F786" s="872"/>
      <c r="G786" s="833"/>
      <c r="H786" s="833"/>
      <c r="I786" s="872"/>
      <c r="J786" s="872"/>
      <c r="K786" s="872"/>
      <c r="L786" s="872"/>
      <c r="M786" s="872"/>
      <c r="N786" s="356" t="s">
        <v>2337</v>
      </c>
      <c r="O786" s="356" t="s">
        <v>2338</v>
      </c>
      <c r="P786" s="76" t="s">
        <v>27</v>
      </c>
      <c r="Q786" s="434">
        <v>0.05</v>
      </c>
      <c r="R786" s="434">
        <v>0.1244</v>
      </c>
      <c r="S786" s="356" t="s">
        <v>561</v>
      </c>
      <c r="T786" s="432">
        <v>0.05</v>
      </c>
      <c r="U786" s="5">
        <f t="shared" si="61"/>
        <v>1</v>
      </c>
      <c r="V786" s="591"/>
      <c r="W786" s="591"/>
      <c r="X786" s="592"/>
      <c r="Y786" s="592"/>
      <c r="Z786" s="864"/>
      <c r="AA786" s="98"/>
    </row>
    <row r="787" spans="1:27" ht="24">
      <c r="A787" s="475"/>
      <c r="B787" s="876"/>
      <c r="C787" s="872"/>
      <c r="D787" s="872"/>
      <c r="E787" s="872"/>
      <c r="F787" s="872"/>
      <c r="G787" s="833"/>
      <c r="H787" s="833"/>
      <c r="I787" s="872"/>
      <c r="J787" s="872"/>
      <c r="K787" s="872"/>
      <c r="L787" s="872"/>
      <c r="M787" s="872"/>
      <c r="N787" s="356" t="s">
        <v>2339</v>
      </c>
      <c r="O787" s="356" t="s">
        <v>2340</v>
      </c>
      <c r="P787" s="76" t="s">
        <v>27</v>
      </c>
      <c r="Q787" s="434">
        <v>0.85050000000000003</v>
      </c>
      <c r="R787" s="434">
        <v>1.2302</v>
      </c>
      <c r="S787" s="356" t="s">
        <v>2341</v>
      </c>
      <c r="T787" s="432">
        <v>0.85050000000000003</v>
      </c>
      <c r="U787" s="5">
        <f t="shared" si="61"/>
        <v>1</v>
      </c>
      <c r="V787" s="591"/>
      <c r="W787" s="591"/>
      <c r="X787" s="592"/>
      <c r="Y787" s="592"/>
      <c r="Z787" s="864"/>
      <c r="AA787" s="98"/>
    </row>
    <row r="788" spans="1:27" ht="24">
      <c r="A788" s="475"/>
      <c r="B788" s="876"/>
      <c r="C788" s="872"/>
      <c r="D788" s="872"/>
      <c r="E788" s="872"/>
      <c r="F788" s="872"/>
      <c r="G788" s="833"/>
      <c r="H788" s="833"/>
      <c r="I788" s="872"/>
      <c r="J788" s="872"/>
      <c r="K788" s="872"/>
      <c r="L788" s="872"/>
      <c r="M788" s="872"/>
      <c r="N788" s="356" t="s">
        <v>2342</v>
      </c>
      <c r="O788" s="356" t="s">
        <v>2343</v>
      </c>
      <c r="P788" s="76" t="s">
        <v>27</v>
      </c>
      <c r="Q788" s="434">
        <v>9.7799999999999994</v>
      </c>
      <c r="R788" s="434">
        <v>10.445399999999999</v>
      </c>
      <c r="S788" s="356" t="s">
        <v>2344</v>
      </c>
      <c r="T788" s="432">
        <v>9.7799999999999994</v>
      </c>
      <c r="U788" s="5">
        <f t="shared" si="61"/>
        <v>1</v>
      </c>
      <c r="V788" s="591"/>
      <c r="W788" s="591"/>
      <c r="X788" s="592"/>
      <c r="Y788" s="592"/>
      <c r="Z788" s="864"/>
      <c r="AA788" s="98"/>
    </row>
    <row r="789" spans="1:27" ht="24">
      <c r="A789" s="475"/>
      <c r="B789" s="876"/>
      <c r="C789" s="872"/>
      <c r="D789" s="872"/>
      <c r="E789" s="872"/>
      <c r="F789" s="872"/>
      <c r="G789" s="833"/>
      <c r="H789" s="833"/>
      <c r="I789" s="872"/>
      <c r="J789" s="872"/>
      <c r="K789" s="872"/>
      <c r="L789" s="872"/>
      <c r="M789" s="872"/>
      <c r="N789" s="356" t="s">
        <v>2345</v>
      </c>
      <c r="O789" s="356" t="s">
        <v>2346</v>
      </c>
      <c r="P789" s="76" t="s">
        <v>27</v>
      </c>
      <c r="Q789" s="434">
        <v>1.3171999999999999</v>
      </c>
      <c r="R789" s="434">
        <v>1.7746999999999999</v>
      </c>
      <c r="S789" s="356" t="s">
        <v>2347</v>
      </c>
      <c r="T789" s="432">
        <v>1.3171999999999999</v>
      </c>
      <c r="U789" s="5">
        <f t="shared" si="61"/>
        <v>1</v>
      </c>
      <c r="V789" s="591"/>
      <c r="W789" s="591"/>
      <c r="X789" s="592"/>
      <c r="Y789" s="592"/>
      <c r="Z789" s="864"/>
      <c r="AA789" s="98"/>
    </row>
    <row r="790" spans="1:27" ht="24">
      <c r="A790" s="475"/>
      <c r="B790" s="876"/>
      <c r="C790" s="872"/>
      <c r="D790" s="872"/>
      <c r="E790" s="872"/>
      <c r="F790" s="872"/>
      <c r="G790" s="833"/>
      <c r="H790" s="833"/>
      <c r="I790" s="872"/>
      <c r="J790" s="872"/>
      <c r="K790" s="872"/>
      <c r="L790" s="872"/>
      <c r="M790" s="872"/>
      <c r="N790" s="356" t="s">
        <v>2348</v>
      </c>
      <c r="O790" s="356" t="s">
        <v>2349</v>
      </c>
      <c r="P790" s="76" t="s">
        <v>27</v>
      </c>
      <c r="Q790" s="434">
        <v>0.63</v>
      </c>
      <c r="R790" s="434">
        <v>0.8548</v>
      </c>
      <c r="S790" s="356" t="s">
        <v>2350</v>
      </c>
      <c r="T790" s="432">
        <v>0.63</v>
      </c>
      <c r="U790" s="5">
        <f t="shared" si="61"/>
        <v>1</v>
      </c>
      <c r="V790" s="591"/>
      <c r="W790" s="591"/>
      <c r="X790" s="592"/>
      <c r="Y790" s="592"/>
      <c r="Z790" s="864"/>
      <c r="AA790" s="98"/>
    </row>
    <row r="791" spans="1:27" ht="24">
      <c r="A791" s="475"/>
      <c r="B791" s="876"/>
      <c r="C791" s="872"/>
      <c r="D791" s="872"/>
      <c r="E791" s="872"/>
      <c r="F791" s="872"/>
      <c r="G791" s="833"/>
      <c r="H791" s="833"/>
      <c r="I791" s="872"/>
      <c r="J791" s="872"/>
      <c r="K791" s="872"/>
      <c r="L791" s="872"/>
      <c r="M791" s="872"/>
      <c r="N791" s="356" t="s">
        <v>335</v>
      </c>
      <c r="O791" s="356" t="s">
        <v>2351</v>
      </c>
      <c r="P791" s="76" t="s">
        <v>27</v>
      </c>
      <c r="Q791" s="434">
        <v>0.51780000000000004</v>
      </c>
      <c r="R791" s="434">
        <v>0.65300000000000002</v>
      </c>
      <c r="S791" s="356" t="s">
        <v>2352</v>
      </c>
      <c r="T791" s="432">
        <v>0.51780000000000004</v>
      </c>
      <c r="U791" s="5">
        <f t="shared" si="61"/>
        <v>1</v>
      </c>
      <c r="V791" s="591"/>
      <c r="W791" s="591"/>
      <c r="X791" s="592"/>
      <c r="Y791" s="592"/>
      <c r="Z791" s="864"/>
      <c r="AA791" s="98"/>
    </row>
    <row r="792" spans="1:27" ht="24">
      <c r="A792" s="475"/>
      <c r="B792" s="876"/>
      <c r="C792" s="872"/>
      <c r="D792" s="872"/>
      <c r="E792" s="872"/>
      <c r="F792" s="872"/>
      <c r="G792" s="833"/>
      <c r="H792" s="833"/>
      <c r="I792" s="872"/>
      <c r="J792" s="872"/>
      <c r="K792" s="872"/>
      <c r="L792" s="872"/>
      <c r="M792" s="872"/>
      <c r="N792" s="356" t="s">
        <v>2353</v>
      </c>
      <c r="O792" s="356" t="s">
        <v>1719</v>
      </c>
      <c r="P792" s="76" t="s">
        <v>27</v>
      </c>
      <c r="Q792" s="434">
        <v>0.50080000000000002</v>
      </c>
      <c r="R792" s="434">
        <v>0.754</v>
      </c>
      <c r="S792" s="356" t="s">
        <v>2354</v>
      </c>
      <c r="T792" s="432">
        <v>0.50080000000000002</v>
      </c>
      <c r="U792" s="5">
        <f t="shared" si="61"/>
        <v>1</v>
      </c>
      <c r="V792" s="591"/>
      <c r="W792" s="591"/>
      <c r="X792" s="592"/>
      <c r="Y792" s="592"/>
      <c r="Z792" s="864"/>
      <c r="AA792" s="98"/>
    </row>
    <row r="793" spans="1:27" ht="24">
      <c r="A793" s="475"/>
      <c r="B793" s="876"/>
      <c r="C793" s="872"/>
      <c r="D793" s="872"/>
      <c r="E793" s="872"/>
      <c r="F793" s="872"/>
      <c r="G793" s="833"/>
      <c r="H793" s="833"/>
      <c r="I793" s="872"/>
      <c r="J793" s="872"/>
      <c r="K793" s="872"/>
      <c r="L793" s="872"/>
      <c r="M793" s="872"/>
      <c r="N793" s="356" t="s">
        <v>2355</v>
      </c>
      <c r="O793" s="356" t="s">
        <v>2356</v>
      </c>
      <c r="P793" s="76" t="s">
        <v>27</v>
      </c>
      <c r="Q793" s="434">
        <v>0.51300000000000001</v>
      </c>
      <c r="R793" s="434">
        <v>0.83550000000000002</v>
      </c>
      <c r="S793" s="356" t="s">
        <v>2357</v>
      </c>
      <c r="T793" s="432">
        <v>0.51300000000000001</v>
      </c>
      <c r="U793" s="5">
        <f t="shared" si="61"/>
        <v>1</v>
      </c>
      <c r="V793" s="591"/>
      <c r="W793" s="591"/>
      <c r="X793" s="592"/>
      <c r="Y793" s="592"/>
      <c r="Z793" s="864"/>
      <c r="AA793" s="98"/>
    </row>
    <row r="794" spans="1:27" ht="36" hidden="1">
      <c r="A794" s="475"/>
      <c r="B794" s="876"/>
      <c r="C794" s="872"/>
      <c r="D794" s="872"/>
      <c r="E794" s="872"/>
      <c r="F794" s="872"/>
      <c r="G794" s="833"/>
      <c r="H794" s="833"/>
      <c r="I794" s="872"/>
      <c r="J794" s="872"/>
      <c r="K794" s="872"/>
      <c r="L794" s="872"/>
      <c r="M794" s="872"/>
      <c r="N794" s="342" t="s">
        <v>2358</v>
      </c>
      <c r="O794" s="356" t="s">
        <v>2359</v>
      </c>
      <c r="P794" s="76" t="s">
        <v>36</v>
      </c>
      <c r="Q794" s="434">
        <v>8.6271000000000004</v>
      </c>
      <c r="R794" s="434">
        <v>19.6417</v>
      </c>
      <c r="S794" s="356" t="s">
        <v>2360</v>
      </c>
      <c r="T794" s="432">
        <v>8.6271000000000004</v>
      </c>
      <c r="U794" s="5">
        <f t="shared" si="61"/>
        <v>1</v>
      </c>
      <c r="V794" s="591"/>
      <c r="W794" s="591"/>
      <c r="X794" s="592"/>
      <c r="Y794" s="592"/>
      <c r="Z794" s="864"/>
      <c r="AA794" s="98"/>
    </row>
    <row r="795" spans="1:27" ht="24" hidden="1">
      <c r="A795" s="475"/>
      <c r="B795" s="867"/>
      <c r="C795" s="869"/>
      <c r="D795" s="869"/>
      <c r="E795" s="869"/>
      <c r="F795" s="869"/>
      <c r="G795" s="834"/>
      <c r="H795" s="834"/>
      <c r="I795" s="869"/>
      <c r="J795" s="869"/>
      <c r="K795" s="869"/>
      <c r="L795" s="869"/>
      <c r="M795" s="869"/>
      <c r="N795" s="342" t="s">
        <v>2361</v>
      </c>
      <c r="O795" s="356" t="s">
        <v>2362</v>
      </c>
      <c r="P795" s="76" t="s">
        <v>36</v>
      </c>
      <c r="Q795" s="434">
        <v>70</v>
      </c>
      <c r="R795" s="434">
        <v>123.70480000000001</v>
      </c>
      <c r="S795" s="356" t="s">
        <v>2358</v>
      </c>
      <c r="T795" s="432">
        <v>69.758499999999998</v>
      </c>
      <c r="U795" s="5">
        <f t="shared" si="61"/>
        <v>0.99654999999999994</v>
      </c>
      <c r="V795" s="588"/>
      <c r="W795" s="588"/>
      <c r="X795" s="590"/>
      <c r="Y795" s="590"/>
      <c r="Z795" s="865"/>
      <c r="AA795" s="98"/>
    </row>
    <row r="796" spans="1:27" ht="24" hidden="1">
      <c r="A796" s="475"/>
      <c r="B796" s="364">
        <f>B774+1</f>
        <v>2</v>
      </c>
      <c r="C796" s="17" t="s">
        <v>2363</v>
      </c>
      <c r="D796" s="17">
        <v>32359.577499999999</v>
      </c>
      <c r="E796" s="17" t="s">
        <v>2364</v>
      </c>
      <c r="F796" s="278" t="s">
        <v>241</v>
      </c>
      <c r="G796" s="313">
        <f>43.5716+176.7127</f>
        <v>220.2843</v>
      </c>
      <c r="H796" s="313">
        <v>0.70250000000000001</v>
      </c>
      <c r="I796" s="279" t="s">
        <v>17</v>
      </c>
      <c r="J796" s="279">
        <v>5.73</v>
      </c>
      <c r="K796" s="279" t="s">
        <v>163</v>
      </c>
      <c r="L796" s="279" t="s">
        <v>163</v>
      </c>
      <c r="M796" s="279">
        <v>29047.767599999999</v>
      </c>
      <c r="N796" s="279" t="s">
        <v>163</v>
      </c>
      <c r="O796" s="279" t="s">
        <v>163</v>
      </c>
      <c r="P796" s="279" t="s">
        <v>163</v>
      </c>
      <c r="Q796" s="434" t="s">
        <v>163</v>
      </c>
      <c r="R796" s="434" t="s">
        <v>163</v>
      </c>
      <c r="S796" s="279" t="s">
        <v>163</v>
      </c>
      <c r="T796" s="279" t="s">
        <v>163</v>
      </c>
      <c r="U796" s="356" t="s">
        <v>163</v>
      </c>
      <c r="V796" s="24"/>
      <c r="W796" s="24"/>
      <c r="X796" s="24"/>
      <c r="Y796" s="24"/>
      <c r="Z796" s="356" t="s">
        <v>1052</v>
      </c>
      <c r="AA796" s="98"/>
    </row>
    <row r="797" spans="1:27" ht="15" hidden="1" customHeight="1">
      <c r="A797" s="475"/>
      <c r="B797" s="866">
        <f>B796+1</f>
        <v>3</v>
      </c>
      <c r="C797" s="868" t="s">
        <v>2365</v>
      </c>
      <c r="D797" s="868">
        <v>64070.645100000002</v>
      </c>
      <c r="E797" s="868" t="s">
        <v>2366</v>
      </c>
      <c r="F797" s="870" t="s">
        <v>1721</v>
      </c>
      <c r="G797" s="597">
        <v>130.29079999999999</v>
      </c>
      <c r="H797" s="597"/>
      <c r="I797" s="877" t="s">
        <v>24</v>
      </c>
      <c r="J797" s="877">
        <v>50.4</v>
      </c>
      <c r="K797" s="877" t="s">
        <v>1722</v>
      </c>
      <c r="L797" s="877">
        <v>54.005299999999998</v>
      </c>
      <c r="M797" s="877">
        <f>SUM(G797,H797,J797,L797)</f>
        <v>234.6961</v>
      </c>
      <c r="N797" s="877" t="s">
        <v>1723</v>
      </c>
      <c r="O797" s="279" t="s">
        <v>1724</v>
      </c>
      <c r="P797" s="76" t="s">
        <v>36</v>
      </c>
      <c r="Q797" s="434">
        <v>15</v>
      </c>
      <c r="R797" s="434">
        <v>86</v>
      </c>
      <c r="S797" s="279" t="s">
        <v>1725</v>
      </c>
      <c r="T797" s="279">
        <v>20</v>
      </c>
      <c r="U797" s="5">
        <f t="shared" ref="U797:U805" si="62">T797/Q797</f>
        <v>1.3333333333333333</v>
      </c>
      <c r="V797" s="877">
        <f>SUM(Q797:Q798)</f>
        <v>65</v>
      </c>
      <c r="W797" s="877">
        <f>SUM(T797:T798)</f>
        <v>90.523820999999998</v>
      </c>
      <c r="X797" s="589">
        <f>W797/V797</f>
        <v>1.3926741692307691</v>
      </c>
      <c r="Y797" s="589">
        <f>W797/M797</f>
        <v>0.38570654135283883</v>
      </c>
      <c r="Z797" s="356" t="s">
        <v>246</v>
      </c>
      <c r="AA797" s="98"/>
    </row>
    <row r="798" spans="1:27" ht="15" customHeight="1">
      <c r="A798" s="475"/>
      <c r="B798" s="867"/>
      <c r="C798" s="869"/>
      <c r="D798" s="869">
        <v>64070.645100000002</v>
      </c>
      <c r="E798" s="869" t="s">
        <v>2281</v>
      </c>
      <c r="F798" s="871"/>
      <c r="G798" s="599"/>
      <c r="H798" s="599"/>
      <c r="I798" s="878"/>
      <c r="J798" s="878"/>
      <c r="K798" s="878"/>
      <c r="L798" s="878"/>
      <c r="M798" s="878"/>
      <c r="N798" s="878"/>
      <c r="O798" s="279" t="s">
        <v>1726</v>
      </c>
      <c r="P798" s="76" t="s">
        <v>27</v>
      </c>
      <c r="Q798" s="434">
        <v>50</v>
      </c>
      <c r="R798" s="434">
        <v>80</v>
      </c>
      <c r="S798" s="279" t="s">
        <v>2367</v>
      </c>
      <c r="T798" s="279">
        <v>70.523820999999998</v>
      </c>
      <c r="U798" s="5">
        <f t="shared" si="62"/>
        <v>1.41047642</v>
      </c>
      <c r="V798" s="588"/>
      <c r="W798" s="588"/>
      <c r="X798" s="590"/>
      <c r="Y798" s="590"/>
      <c r="Z798" s="356" t="s">
        <v>246</v>
      </c>
      <c r="AA798" s="98"/>
    </row>
    <row r="799" spans="1:27" ht="15" hidden="1" customHeight="1">
      <c r="A799" s="475"/>
      <c r="B799" s="866">
        <f>B797+1</f>
        <v>4</v>
      </c>
      <c r="C799" s="868" t="s">
        <v>1727</v>
      </c>
      <c r="D799" s="868">
        <v>61805.727700000003</v>
      </c>
      <c r="E799" s="868" t="s">
        <v>2368</v>
      </c>
      <c r="F799" s="879" t="s">
        <v>1728</v>
      </c>
      <c r="G799" s="832">
        <v>164</v>
      </c>
      <c r="H799" s="832">
        <v>4.2</v>
      </c>
      <c r="I799" s="882" t="s">
        <v>1728</v>
      </c>
      <c r="J799" s="882">
        <v>39.51</v>
      </c>
      <c r="K799" s="882"/>
      <c r="L799" s="882"/>
      <c r="M799" s="882">
        <f t="shared" ref="M799:M805" si="63">SUM(G799,H799,J799,L799)</f>
        <v>207.70999999999998</v>
      </c>
      <c r="N799" s="279" t="s">
        <v>1729</v>
      </c>
      <c r="O799" s="279" t="s">
        <v>1730</v>
      </c>
      <c r="P799" s="76" t="s">
        <v>36</v>
      </c>
      <c r="Q799" s="347">
        <v>13</v>
      </c>
      <c r="R799" s="434">
        <v>13</v>
      </c>
      <c r="S799" s="280" t="s">
        <v>1731</v>
      </c>
      <c r="T799" s="279">
        <v>10.36</v>
      </c>
      <c r="U799" s="16">
        <f t="shared" si="62"/>
        <v>0.79692307692307685</v>
      </c>
      <c r="V799" s="882">
        <f>SUM(Q799:Q803)</f>
        <v>216.4</v>
      </c>
      <c r="W799" s="882">
        <f>SUM(T799:T803)</f>
        <v>193.84</v>
      </c>
      <c r="X799" s="578">
        <f>W799/V799</f>
        <v>0.89574861367837333</v>
      </c>
      <c r="Y799" s="578">
        <f>W799/M799</f>
        <v>0.93322420682682594</v>
      </c>
      <c r="Z799" s="356" t="s">
        <v>21</v>
      </c>
      <c r="AA799" s="98"/>
    </row>
    <row r="800" spans="1:27" hidden="1">
      <c r="A800" s="475"/>
      <c r="B800" s="876"/>
      <c r="C800" s="872"/>
      <c r="D800" s="872">
        <v>61805.727700000003</v>
      </c>
      <c r="E800" s="872" t="s">
        <v>2282</v>
      </c>
      <c r="F800" s="880" t="s">
        <v>1728</v>
      </c>
      <c r="G800" s="833">
        <v>164</v>
      </c>
      <c r="H800" s="833">
        <v>4.2</v>
      </c>
      <c r="I800" s="884" t="s">
        <v>1732</v>
      </c>
      <c r="J800" s="884">
        <v>39.51</v>
      </c>
      <c r="K800" s="884"/>
      <c r="L800" s="884"/>
      <c r="M800" s="884">
        <f t="shared" si="63"/>
        <v>207.70999999999998</v>
      </c>
      <c r="N800" s="279" t="s">
        <v>1729</v>
      </c>
      <c r="O800" s="280" t="s">
        <v>2028</v>
      </c>
      <c r="P800" s="76" t="s">
        <v>36</v>
      </c>
      <c r="Q800" s="434">
        <v>18.5</v>
      </c>
      <c r="R800" s="434">
        <v>18.5</v>
      </c>
      <c r="S800" s="279" t="s">
        <v>1733</v>
      </c>
      <c r="T800" s="279">
        <v>15.54</v>
      </c>
      <c r="U800" s="16">
        <f t="shared" si="62"/>
        <v>0.84</v>
      </c>
      <c r="V800" s="576"/>
      <c r="W800" s="576"/>
      <c r="X800" s="579"/>
      <c r="Y800" s="579"/>
      <c r="Z800" s="356" t="s">
        <v>21</v>
      </c>
      <c r="AA800" s="98"/>
    </row>
    <row r="801" spans="1:27" hidden="1">
      <c r="A801" s="475"/>
      <c r="B801" s="876"/>
      <c r="C801" s="872"/>
      <c r="D801" s="872">
        <v>61805.727700000003</v>
      </c>
      <c r="E801" s="872" t="s">
        <v>2282</v>
      </c>
      <c r="F801" s="880" t="s">
        <v>1728</v>
      </c>
      <c r="G801" s="833">
        <v>164</v>
      </c>
      <c r="H801" s="833">
        <v>4.2</v>
      </c>
      <c r="I801" s="884" t="s">
        <v>1732</v>
      </c>
      <c r="J801" s="884">
        <v>39.51</v>
      </c>
      <c r="K801" s="884"/>
      <c r="L801" s="884"/>
      <c r="M801" s="884">
        <f t="shared" si="63"/>
        <v>207.70999999999998</v>
      </c>
      <c r="N801" s="279" t="s">
        <v>910</v>
      </c>
      <c r="O801" s="279" t="s">
        <v>1734</v>
      </c>
      <c r="P801" s="76" t="s">
        <v>36</v>
      </c>
      <c r="Q801" s="434">
        <v>13</v>
      </c>
      <c r="R801" s="434">
        <v>13</v>
      </c>
      <c r="S801" s="279" t="s">
        <v>1735</v>
      </c>
      <c r="T801" s="279">
        <v>10.23</v>
      </c>
      <c r="U801" s="16">
        <f t="shared" si="62"/>
        <v>0.78692307692307695</v>
      </c>
      <c r="V801" s="576"/>
      <c r="W801" s="576"/>
      <c r="X801" s="579"/>
      <c r="Y801" s="579"/>
      <c r="Z801" s="356" t="s">
        <v>21</v>
      </c>
      <c r="AA801" s="98"/>
    </row>
    <row r="802" spans="1:27" hidden="1">
      <c r="A802" s="475"/>
      <c r="B802" s="876"/>
      <c r="C802" s="872"/>
      <c r="D802" s="872">
        <v>61805.727700000003</v>
      </c>
      <c r="E802" s="872" t="s">
        <v>2282</v>
      </c>
      <c r="F802" s="880" t="s">
        <v>1728</v>
      </c>
      <c r="G802" s="833">
        <v>164</v>
      </c>
      <c r="H802" s="833">
        <v>4.2</v>
      </c>
      <c r="I802" s="884" t="s">
        <v>1732</v>
      </c>
      <c r="J802" s="884">
        <v>39.51</v>
      </c>
      <c r="K802" s="884"/>
      <c r="L802" s="884"/>
      <c r="M802" s="884">
        <f t="shared" si="63"/>
        <v>207.70999999999998</v>
      </c>
      <c r="N802" s="279" t="s">
        <v>1736</v>
      </c>
      <c r="O802" s="279" t="s">
        <v>2029</v>
      </c>
      <c r="P802" s="76" t="s">
        <v>36</v>
      </c>
      <c r="Q802" s="434">
        <v>85.9</v>
      </c>
      <c r="R802" s="434">
        <v>85.9</v>
      </c>
      <c r="S802" s="279" t="s">
        <v>1737</v>
      </c>
      <c r="T802" s="279">
        <v>80.900000000000006</v>
      </c>
      <c r="U802" s="16">
        <f t="shared" si="62"/>
        <v>0.94179278230500585</v>
      </c>
      <c r="V802" s="576"/>
      <c r="W802" s="576"/>
      <c r="X802" s="579"/>
      <c r="Y802" s="579"/>
      <c r="Z802" s="356" t="s">
        <v>21</v>
      </c>
      <c r="AA802" s="98"/>
    </row>
    <row r="803" spans="1:27" hidden="1">
      <c r="A803" s="475"/>
      <c r="B803" s="867"/>
      <c r="C803" s="869"/>
      <c r="D803" s="869">
        <v>61805.727700000003</v>
      </c>
      <c r="E803" s="869" t="s">
        <v>2282</v>
      </c>
      <c r="F803" s="881" t="s">
        <v>1728</v>
      </c>
      <c r="G803" s="834">
        <v>164</v>
      </c>
      <c r="H803" s="834">
        <v>4.2</v>
      </c>
      <c r="I803" s="883" t="s">
        <v>1732</v>
      </c>
      <c r="J803" s="883">
        <v>39.51</v>
      </c>
      <c r="K803" s="883"/>
      <c r="L803" s="883"/>
      <c r="M803" s="883">
        <f t="shared" si="63"/>
        <v>207.70999999999998</v>
      </c>
      <c r="N803" s="279" t="s">
        <v>1738</v>
      </c>
      <c r="O803" s="279" t="s">
        <v>1739</v>
      </c>
      <c r="P803" s="76" t="s">
        <v>36</v>
      </c>
      <c r="Q803" s="434">
        <v>86</v>
      </c>
      <c r="R803" s="434">
        <v>86</v>
      </c>
      <c r="S803" s="279" t="s">
        <v>1740</v>
      </c>
      <c r="T803" s="279">
        <v>76.81</v>
      </c>
      <c r="U803" s="16">
        <f t="shared" si="62"/>
        <v>0.893139534883721</v>
      </c>
      <c r="V803" s="577"/>
      <c r="W803" s="577"/>
      <c r="X803" s="580"/>
      <c r="Y803" s="580"/>
      <c r="Z803" s="356" t="s">
        <v>21</v>
      </c>
      <c r="AA803" s="98"/>
    </row>
    <row r="804" spans="1:27" ht="24" hidden="1">
      <c r="A804" s="475"/>
      <c r="B804" s="866">
        <f>B799+1</f>
        <v>5</v>
      </c>
      <c r="C804" s="868" t="s">
        <v>2369</v>
      </c>
      <c r="D804" s="868">
        <v>53713.190900000001</v>
      </c>
      <c r="E804" s="868" t="s">
        <v>2370</v>
      </c>
      <c r="F804" s="879" t="s">
        <v>466</v>
      </c>
      <c r="G804" s="832">
        <v>259.98</v>
      </c>
      <c r="H804" s="832"/>
      <c r="I804" s="882"/>
      <c r="J804" s="882"/>
      <c r="K804" s="882"/>
      <c r="L804" s="882"/>
      <c r="M804" s="882">
        <f t="shared" si="63"/>
        <v>259.98</v>
      </c>
      <c r="N804" s="279" t="s">
        <v>1742</v>
      </c>
      <c r="O804" s="279" t="s">
        <v>1743</v>
      </c>
      <c r="P804" s="76" t="s">
        <v>36</v>
      </c>
      <c r="Q804" s="434">
        <v>27</v>
      </c>
      <c r="R804" s="434">
        <f>215971.03/10000</f>
        <v>21.597103000000001</v>
      </c>
      <c r="S804" s="279" t="s">
        <v>1744</v>
      </c>
      <c r="T804" s="279">
        <f>215971.03/10000</f>
        <v>21.597103000000001</v>
      </c>
      <c r="U804" s="5">
        <f t="shared" si="62"/>
        <v>0.79989270370370369</v>
      </c>
      <c r="V804" s="877">
        <f>SUM(Q804:Q805)</f>
        <v>79</v>
      </c>
      <c r="W804" s="877">
        <f>SUM(T804:T805)</f>
        <v>61.597103000000004</v>
      </c>
      <c r="X804" s="589">
        <f>W804/V804</f>
        <v>0.77971016455696207</v>
      </c>
      <c r="Y804" s="589">
        <f>W804/M804</f>
        <v>0.23693016001230863</v>
      </c>
      <c r="Z804" s="356" t="s">
        <v>21</v>
      </c>
      <c r="AA804" s="98"/>
    </row>
    <row r="805" spans="1:27" ht="24" hidden="1">
      <c r="A805" s="475"/>
      <c r="B805" s="867"/>
      <c r="C805" s="869"/>
      <c r="D805" s="869">
        <v>53713.190900000001</v>
      </c>
      <c r="E805" s="869" t="s">
        <v>2283</v>
      </c>
      <c r="F805" s="881" t="s">
        <v>31</v>
      </c>
      <c r="G805" s="834"/>
      <c r="H805" s="834"/>
      <c r="I805" s="883"/>
      <c r="J805" s="883"/>
      <c r="K805" s="883"/>
      <c r="L805" s="883"/>
      <c r="M805" s="883">
        <f t="shared" si="63"/>
        <v>0</v>
      </c>
      <c r="N805" s="279" t="s">
        <v>1745</v>
      </c>
      <c r="O805" s="279" t="s">
        <v>1743</v>
      </c>
      <c r="P805" s="76" t="s">
        <v>36</v>
      </c>
      <c r="Q805" s="434">
        <v>52</v>
      </c>
      <c r="R805" s="434">
        <f>400000/10000</f>
        <v>40</v>
      </c>
      <c r="S805" s="279" t="s">
        <v>1746</v>
      </c>
      <c r="T805" s="279">
        <f>400000/10000</f>
        <v>40</v>
      </c>
      <c r="U805" s="5">
        <f t="shared" si="62"/>
        <v>0.76923076923076927</v>
      </c>
      <c r="V805" s="588"/>
      <c r="W805" s="588"/>
      <c r="X805" s="590"/>
      <c r="Y805" s="590"/>
      <c r="Z805" s="356" t="s">
        <v>21</v>
      </c>
      <c r="AA805" s="98"/>
    </row>
    <row r="806" spans="1:27" ht="48" hidden="1">
      <c r="A806" s="475"/>
      <c r="B806" s="364">
        <f>B804+1</f>
        <v>6</v>
      </c>
      <c r="C806" s="17" t="s">
        <v>2371</v>
      </c>
      <c r="D806" s="322">
        <v>35340.696799999998</v>
      </c>
      <c r="E806" s="322" t="s">
        <v>2372</v>
      </c>
      <c r="F806" s="278" t="s">
        <v>1250</v>
      </c>
      <c r="G806" s="313">
        <v>160.0857</v>
      </c>
      <c r="H806" s="313">
        <v>64.034300000000002</v>
      </c>
      <c r="I806" s="279" t="s">
        <v>250</v>
      </c>
      <c r="J806" s="279">
        <v>15</v>
      </c>
      <c r="K806" s="279"/>
      <c r="L806" s="279"/>
      <c r="M806" s="279">
        <f>SUM(G806,H806,J806,L806)</f>
        <v>239.12</v>
      </c>
      <c r="N806" s="279" t="s">
        <v>1747</v>
      </c>
      <c r="O806" s="279" t="s">
        <v>1748</v>
      </c>
      <c r="P806" s="76" t="s">
        <v>36</v>
      </c>
      <c r="Q806" s="434">
        <v>60</v>
      </c>
      <c r="R806" s="434">
        <v>520</v>
      </c>
      <c r="S806" s="279" t="s">
        <v>1749</v>
      </c>
      <c r="T806" s="279">
        <v>53.1</v>
      </c>
      <c r="U806" s="5">
        <f>T806/Q806</f>
        <v>0.88500000000000001</v>
      </c>
      <c r="V806" s="279">
        <f>Q806</f>
        <v>60</v>
      </c>
      <c r="W806" s="279">
        <f>T806</f>
        <v>53.1</v>
      </c>
      <c r="X806" s="27">
        <f>W806/V806</f>
        <v>0.88500000000000001</v>
      </c>
      <c r="Y806" s="27">
        <f>W806/M806</f>
        <v>0.22206423553027768</v>
      </c>
      <c r="Z806" s="356" t="s">
        <v>247</v>
      </c>
      <c r="AA806" s="98"/>
    </row>
    <row r="807" spans="1:27" ht="36" hidden="1">
      <c r="A807" s="475"/>
      <c r="B807" s="364">
        <f t="shared" ref="B807:B811" si="64">B806+1</f>
        <v>7</v>
      </c>
      <c r="C807" s="17" t="s">
        <v>1750</v>
      </c>
      <c r="D807" s="322">
        <v>41773.126600000003</v>
      </c>
      <c r="E807" s="322" t="s">
        <v>2284</v>
      </c>
      <c r="F807" s="278" t="s">
        <v>1751</v>
      </c>
      <c r="G807" s="313">
        <v>229.87549999999999</v>
      </c>
      <c r="H807" s="313">
        <v>4</v>
      </c>
      <c r="I807" s="279" t="s">
        <v>241</v>
      </c>
      <c r="J807" s="279">
        <v>30.8628</v>
      </c>
      <c r="K807" s="279"/>
      <c r="L807" s="279"/>
      <c r="M807" s="279">
        <f>SUM(G807,H807,J807,L807)</f>
        <v>264.73829999999998</v>
      </c>
      <c r="N807" s="283"/>
      <c r="O807" s="283"/>
      <c r="P807" s="283"/>
      <c r="Q807" s="284"/>
      <c r="R807" s="284"/>
      <c r="S807" s="283"/>
      <c r="T807" s="283"/>
      <c r="U807" s="285"/>
      <c r="V807" s="286"/>
      <c r="W807" s="286"/>
      <c r="X807" s="286"/>
      <c r="Y807" s="286"/>
      <c r="Z807" s="285"/>
      <c r="AA807" s="98"/>
    </row>
    <row r="808" spans="1:27" ht="48" hidden="1">
      <c r="A808" s="475"/>
      <c r="B808" s="364">
        <f t="shared" si="64"/>
        <v>8</v>
      </c>
      <c r="C808" s="17" t="s">
        <v>1752</v>
      </c>
      <c r="D808" s="322">
        <v>27777.1806</v>
      </c>
      <c r="E808" s="322" t="s">
        <v>2285</v>
      </c>
      <c r="F808" s="281"/>
      <c r="G808" s="282"/>
      <c r="H808" s="282"/>
      <c r="I808" s="283"/>
      <c r="J808" s="283"/>
      <c r="K808" s="283"/>
      <c r="L808" s="283"/>
      <c r="M808" s="283"/>
      <c r="N808" s="283"/>
      <c r="O808" s="283"/>
      <c r="P808" s="283"/>
      <c r="Q808" s="284"/>
      <c r="R808" s="284"/>
      <c r="S808" s="283"/>
      <c r="T808" s="283"/>
      <c r="U808" s="285"/>
      <c r="V808" s="286"/>
      <c r="W808" s="286"/>
      <c r="X808" s="286"/>
      <c r="Y808" s="286"/>
      <c r="Z808" s="285"/>
      <c r="AA808" s="98"/>
    </row>
    <row r="809" spans="1:27" ht="31.5" hidden="1" customHeight="1">
      <c r="A809" s="475"/>
      <c r="B809" s="364">
        <f t="shared" si="64"/>
        <v>9</v>
      </c>
      <c r="C809" s="17" t="s">
        <v>1753</v>
      </c>
      <c r="D809" s="322">
        <v>25750.178199999998</v>
      </c>
      <c r="E809" s="322" t="s">
        <v>2286</v>
      </c>
      <c r="F809" s="281"/>
      <c r="G809" s="282"/>
      <c r="H809" s="282"/>
      <c r="I809" s="283"/>
      <c r="J809" s="283"/>
      <c r="K809" s="283"/>
      <c r="L809" s="283"/>
      <c r="M809" s="283"/>
      <c r="N809" s="283"/>
      <c r="O809" s="283"/>
      <c r="P809" s="283"/>
      <c r="Q809" s="284"/>
      <c r="R809" s="284"/>
      <c r="S809" s="283"/>
      <c r="T809" s="283"/>
      <c r="U809" s="285"/>
      <c r="V809" s="286"/>
      <c r="W809" s="286"/>
      <c r="X809" s="286"/>
      <c r="Y809" s="286"/>
      <c r="Z809" s="285"/>
      <c r="AA809" s="98"/>
    </row>
    <row r="810" spans="1:27" ht="48" hidden="1">
      <c r="A810" s="475"/>
      <c r="B810" s="364">
        <f t="shared" si="64"/>
        <v>10</v>
      </c>
      <c r="C810" s="17" t="s">
        <v>2373</v>
      </c>
      <c r="D810" s="322">
        <v>24610</v>
      </c>
      <c r="E810" s="322" t="s">
        <v>2287</v>
      </c>
      <c r="F810" s="281"/>
      <c r="G810" s="282"/>
      <c r="H810" s="282"/>
      <c r="I810" s="283"/>
      <c r="J810" s="283"/>
      <c r="K810" s="283"/>
      <c r="L810" s="283"/>
      <c r="M810" s="283"/>
      <c r="N810" s="283"/>
      <c r="O810" s="283"/>
      <c r="P810" s="283"/>
      <c r="Q810" s="284"/>
      <c r="R810" s="284"/>
      <c r="S810" s="283"/>
      <c r="T810" s="283"/>
      <c r="U810" s="285"/>
      <c r="V810" s="286"/>
      <c r="W810" s="286"/>
      <c r="X810" s="286"/>
      <c r="Y810" s="286"/>
      <c r="Z810" s="285"/>
      <c r="AA810" s="98"/>
    </row>
    <row r="811" spans="1:27" ht="96" hidden="1">
      <c r="A811" s="475"/>
      <c r="B811" s="866">
        <f t="shared" si="64"/>
        <v>11</v>
      </c>
      <c r="C811" s="868" t="s">
        <v>2374</v>
      </c>
      <c r="D811" s="868">
        <v>44631.908199999998</v>
      </c>
      <c r="E811" s="868" t="s">
        <v>2375</v>
      </c>
      <c r="F811" s="868" t="s">
        <v>1755</v>
      </c>
      <c r="G811" s="832">
        <v>109.5457</v>
      </c>
      <c r="H811" s="832">
        <v>3.75</v>
      </c>
      <c r="I811" s="868" t="s">
        <v>1756</v>
      </c>
      <c r="J811" s="868">
        <v>44</v>
      </c>
      <c r="K811" s="868"/>
      <c r="L811" s="868"/>
      <c r="M811" s="868">
        <f>G811+H811+J811</f>
        <v>157.29570000000001</v>
      </c>
      <c r="N811" s="279" t="s">
        <v>1757</v>
      </c>
      <c r="O811" s="279" t="s">
        <v>1758</v>
      </c>
      <c r="P811" s="76" t="s">
        <v>36</v>
      </c>
      <c r="Q811" s="434">
        <v>588.0702</v>
      </c>
      <c r="R811" s="434">
        <v>588.0702</v>
      </c>
      <c r="S811" s="279" t="s">
        <v>1759</v>
      </c>
      <c r="T811" s="279">
        <v>145.129278</v>
      </c>
      <c r="U811" s="356">
        <v>0.24678903641095909</v>
      </c>
      <c r="V811" s="877">
        <f>SUM(Q811:Q813)</f>
        <v>924.13151300000004</v>
      </c>
      <c r="W811" s="877">
        <f>SUM(T811:T813)</f>
        <v>175.42561899999998</v>
      </c>
      <c r="X811" s="589">
        <f>W811/V811</f>
        <v>0.18982754784599579</v>
      </c>
      <c r="Y811" s="589">
        <f>W811/M811</f>
        <v>1.1152601056481517</v>
      </c>
      <c r="Z811" s="356" t="s">
        <v>21</v>
      </c>
      <c r="AA811" s="98"/>
    </row>
    <row r="812" spans="1:27" ht="120" hidden="1">
      <c r="A812" s="475"/>
      <c r="B812" s="876"/>
      <c r="C812" s="872"/>
      <c r="D812" s="872">
        <v>44631.908199999998</v>
      </c>
      <c r="E812" s="872" t="s">
        <v>2288</v>
      </c>
      <c r="F812" s="872"/>
      <c r="G812" s="833"/>
      <c r="H812" s="833"/>
      <c r="I812" s="872"/>
      <c r="J812" s="872"/>
      <c r="K812" s="872"/>
      <c r="L812" s="872"/>
      <c r="M812" s="872"/>
      <c r="N812" s="279" t="s">
        <v>1760</v>
      </c>
      <c r="O812" s="279" t="s">
        <v>1761</v>
      </c>
      <c r="P812" s="76" t="s">
        <v>36</v>
      </c>
      <c r="Q812" s="434">
        <v>171.55230499999999</v>
      </c>
      <c r="R812" s="434">
        <v>171.55230499999999</v>
      </c>
      <c r="S812" s="279" t="s">
        <v>1762</v>
      </c>
      <c r="T812" s="279">
        <v>10.699457000000001</v>
      </c>
      <c r="U812" s="356">
        <v>6.2368482895056414E-2</v>
      </c>
      <c r="V812" s="591"/>
      <c r="W812" s="591"/>
      <c r="X812" s="592"/>
      <c r="Y812" s="592"/>
      <c r="Z812" s="356" t="s">
        <v>21</v>
      </c>
      <c r="AA812" s="98"/>
    </row>
    <row r="813" spans="1:27" ht="60" hidden="1">
      <c r="A813" s="475"/>
      <c r="B813" s="867"/>
      <c r="C813" s="869"/>
      <c r="D813" s="869">
        <v>44631.908199999998</v>
      </c>
      <c r="E813" s="869" t="s">
        <v>2288</v>
      </c>
      <c r="F813" s="869"/>
      <c r="G813" s="834"/>
      <c r="H813" s="834"/>
      <c r="I813" s="869"/>
      <c r="J813" s="869"/>
      <c r="K813" s="869"/>
      <c r="L813" s="869"/>
      <c r="M813" s="869"/>
      <c r="N813" s="279" t="s">
        <v>1763</v>
      </c>
      <c r="O813" s="279" t="s">
        <v>1764</v>
      </c>
      <c r="P813" s="76" t="s">
        <v>36</v>
      </c>
      <c r="Q813" s="434">
        <v>164.50900799999999</v>
      </c>
      <c r="R813" s="434">
        <v>164.50900799999999</v>
      </c>
      <c r="S813" s="279" t="s">
        <v>1762</v>
      </c>
      <c r="T813" s="279">
        <v>19.596883999999999</v>
      </c>
      <c r="U813" s="356">
        <v>0.11912347073419834</v>
      </c>
      <c r="V813" s="588"/>
      <c r="W813" s="588"/>
      <c r="X813" s="590"/>
      <c r="Y813" s="590"/>
      <c r="Z813" s="356" t="s">
        <v>21</v>
      </c>
      <c r="AA813" s="98"/>
    </row>
    <row r="814" spans="1:27" ht="36" hidden="1">
      <c r="A814" s="475"/>
      <c r="B814" s="364">
        <f>B811+1</f>
        <v>12</v>
      </c>
      <c r="C814" s="17" t="s">
        <v>2376</v>
      </c>
      <c r="D814" s="322">
        <v>56021.026599999997</v>
      </c>
      <c r="E814" s="322" t="s">
        <v>2377</v>
      </c>
      <c r="F814" s="278" t="s">
        <v>241</v>
      </c>
      <c r="G814" s="313">
        <v>159.4898</v>
      </c>
      <c r="H814" s="313">
        <v>0.9</v>
      </c>
      <c r="I814" s="279" t="s">
        <v>24</v>
      </c>
      <c r="J814" s="279">
        <v>62.954799999999999</v>
      </c>
      <c r="K814" s="279"/>
      <c r="L814" s="279"/>
      <c r="M814" s="279">
        <f>SUM(G814,H814,J814,L814)</f>
        <v>223.34460000000001</v>
      </c>
      <c r="N814" s="279" t="s">
        <v>1765</v>
      </c>
      <c r="O814" s="279" t="s">
        <v>1766</v>
      </c>
      <c r="P814" s="76" t="s">
        <v>36</v>
      </c>
      <c r="Q814" s="434">
        <v>6.0519999999999996</v>
      </c>
      <c r="R814" s="434">
        <v>11.200900000000001</v>
      </c>
      <c r="S814" s="279"/>
      <c r="T814" s="279"/>
      <c r="U814" s="5">
        <f>T814/Q814</f>
        <v>0</v>
      </c>
      <c r="V814" s="279">
        <f>Q814</f>
        <v>6.0519999999999996</v>
      </c>
      <c r="W814" s="279">
        <f>T814</f>
        <v>0</v>
      </c>
      <c r="X814" s="279"/>
      <c r="Y814" s="279"/>
      <c r="Z814" s="356" t="s">
        <v>511</v>
      </c>
      <c r="AA814" s="98"/>
    </row>
    <row r="815" spans="1:27">
      <c r="A815" s="475"/>
      <c r="B815" s="866">
        <f>B814+1</f>
        <v>13</v>
      </c>
      <c r="C815" s="868" t="s">
        <v>2378</v>
      </c>
      <c r="D815" s="868">
        <v>32727.606599999999</v>
      </c>
      <c r="E815" s="868" t="s">
        <v>2289</v>
      </c>
      <c r="F815" s="868" t="s">
        <v>466</v>
      </c>
      <c r="G815" s="832">
        <v>100.8219</v>
      </c>
      <c r="H815" s="832">
        <v>0.9</v>
      </c>
      <c r="I815" s="868" t="s">
        <v>24</v>
      </c>
      <c r="J815" s="868">
        <v>48</v>
      </c>
      <c r="K815" s="868"/>
      <c r="L815" s="868"/>
      <c r="M815" s="868">
        <v>149.72190000000001</v>
      </c>
      <c r="N815" s="279" t="s">
        <v>1767</v>
      </c>
      <c r="O815" s="279" t="s">
        <v>1768</v>
      </c>
      <c r="P815" s="76" t="s">
        <v>27</v>
      </c>
      <c r="Q815" s="434">
        <v>5</v>
      </c>
      <c r="R815" s="434">
        <v>5</v>
      </c>
      <c r="S815" s="279" t="s">
        <v>1769</v>
      </c>
      <c r="T815" s="279">
        <v>5</v>
      </c>
      <c r="U815" s="356">
        <v>1</v>
      </c>
      <c r="V815" s="877">
        <f>SUM(Q815:Q825)</f>
        <v>101.962813</v>
      </c>
      <c r="W815" s="877">
        <f>SUM(T815:T825)</f>
        <v>105.61242799999999</v>
      </c>
      <c r="X815" s="589">
        <f>W815/V815</f>
        <v>1.0357935887861391</v>
      </c>
      <c r="Y815" s="589">
        <f>W815/M815</f>
        <v>0.70539064759397252</v>
      </c>
      <c r="Z815" s="356" t="s">
        <v>21</v>
      </c>
      <c r="AA815" s="98"/>
    </row>
    <row r="816" spans="1:27">
      <c r="A816" s="475"/>
      <c r="B816" s="876"/>
      <c r="C816" s="872"/>
      <c r="D816" s="872">
        <v>32727.606599999999</v>
      </c>
      <c r="E816" s="872" t="s">
        <v>2290</v>
      </c>
      <c r="F816" s="872"/>
      <c r="G816" s="833"/>
      <c r="H816" s="833"/>
      <c r="I816" s="872"/>
      <c r="J816" s="872"/>
      <c r="K816" s="872"/>
      <c r="L816" s="872"/>
      <c r="M816" s="872"/>
      <c r="N816" s="279" t="s">
        <v>1770</v>
      </c>
      <c r="O816" s="279" t="s">
        <v>1768</v>
      </c>
      <c r="P816" s="76" t="s">
        <v>27</v>
      </c>
      <c r="Q816" s="434">
        <v>0.98382700000000001</v>
      </c>
      <c r="R816" s="434">
        <v>0.98382700000000001</v>
      </c>
      <c r="S816" s="279" t="s">
        <v>1771</v>
      </c>
      <c r="T816" s="279">
        <v>0.98382700000000001</v>
      </c>
      <c r="U816" s="356">
        <v>1</v>
      </c>
      <c r="V816" s="591"/>
      <c r="W816" s="591"/>
      <c r="X816" s="592"/>
      <c r="Y816" s="592"/>
      <c r="Z816" s="356" t="s">
        <v>21</v>
      </c>
      <c r="AA816" s="98"/>
    </row>
    <row r="817" spans="1:27">
      <c r="A817" s="475"/>
      <c r="B817" s="876"/>
      <c r="C817" s="872"/>
      <c r="D817" s="872">
        <v>32727.606599999999</v>
      </c>
      <c r="E817" s="872" t="s">
        <v>2290</v>
      </c>
      <c r="F817" s="872"/>
      <c r="G817" s="833"/>
      <c r="H817" s="833"/>
      <c r="I817" s="872"/>
      <c r="J817" s="872"/>
      <c r="K817" s="872"/>
      <c r="L817" s="872"/>
      <c r="M817" s="872"/>
      <c r="N817" s="279" t="s">
        <v>1639</v>
      </c>
      <c r="O817" s="279" t="s">
        <v>1768</v>
      </c>
      <c r="P817" s="76" t="s">
        <v>27</v>
      </c>
      <c r="Q817" s="434">
        <v>1.5975410000000001</v>
      </c>
      <c r="R817" s="434">
        <v>1.5975410000000001</v>
      </c>
      <c r="S817" s="279" t="s">
        <v>1772</v>
      </c>
      <c r="T817" s="279">
        <v>1.5975410000000001</v>
      </c>
      <c r="U817" s="356">
        <v>1</v>
      </c>
      <c r="V817" s="591"/>
      <c r="W817" s="591"/>
      <c r="X817" s="592"/>
      <c r="Y817" s="592"/>
      <c r="Z817" s="356" t="s">
        <v>21</v>
      </c>
      <c r="AA817" s="98"/>
    </row>
    <row r="818" spans="1:27">
      <c r="A818" s="475"/>
      <c r="B818" s="876"/>
      <c r="C818" s="872"/>
      <c r="D818" s="872">
        <v>32727.606599999999</v>
      </c>
      <c r="E818" s="872" t="s">
        <v>2290</v>
      </c>
      <c r="F818" s="872"/>
      <c r="G818" s="833"/>
      <c r="H818" s="833"/>
      <c r="I818" s="872"/>
      <c r="J818" s="872"/>
      <c r="K818" s="872"/>
      <c r="L818" s="872"/>
      <c r="M818" s="872"/>
      <c r="N818" s="279" t="s">
        <v>1773</v>
      </c>
      <c r="O818" s="279" t="s">
        <v>1768</v>
      </c>
      <c r="P818" s="76" t="s">
        <v>27</v>
      </c>
      <c r="Q818" s="434">
        <v>2.0264449999999998</v>
      </c>
      <c r="R818" s="434">
        <v>2.0264449999999998</v>
      </c>
      <c r="S818" s="279" t="s">
        <v>1774</v>
      </c>
      <c r="T818" s="279">
        <v>2.0264449999999998</v>
      </c>
      <c r="U818" s="356">
        <v>1</v>
      </c>
      <c r="V818" s="591"/>
      <c r="W818" s="591"/>
      <c r="X818" s="592"/>
      <c r="Y818" s="592"/>
      <c r="Z818" s="356" t="s">
        <v>21</v>
      </c>
      <c r="AA818" s="98"/>
    </row>
    <row r="819" spans="1:27">
      <c r="A819" s="475"/>
      <c r="B819" s="876"/>
      <c r="C819" s="872"/>
      <c r="D819" s="872">
        <v>32727.606599999999</v>
      </c>
      <c r="E819" s="872" t="s">
        <v>2290</v>
      </c>
      <c r="F819" s="872"/>
      <c r="G819" s="833"/>
      <c r="H819" s="833"/>
      <c r="I819" s="872"/>
      <c r="J819" s="872"/>
      <c r="K819" s="872"/>
      <c r="L819" s="872"/>
      <c r="M819" s="872"/>
      <c r="N819" s="279" t="s">
        <v>786</v>
      </c>
      <c r="O819" s="279" t="s">
        <v>1768</v>
      </c>
      <c r="P819" s="76" t="s">
        <v>27</v>
      </c>
      <c r="Q819" s="434">
        <v>50</v>
      </c>
      <c r="R819" s="434">
        <v>50</v>
      </c>
      <c r="S819" s="279" t="s">
        <v>1775</v>
      </c>
      <c r="T819" s="279">
        <v>50</v>
      </c>
      <c r="U819" s="356">
        <v>1</v>
      </c>
      <c r="V819" s="591"/>
      <c r="W819" s="591"/>
      <c r="X819" s="592"/>
      <c r="Y819" s="592"/>
      <c r="Z819" s="356" t="s">
        <v>21</v>
      </c>
      <c r="AA819" s="98"/>
    </row>
    <row r="820" spans="1:27" hidden="1">
      <c r="A820" s="475"/>
      <c r="B820" s="876"/>
      <c r="C820" s="872"/>
      <c r="D820" s="872">
        <v>32727.606599999999</v>
      </c>
      <c r="E820" s="872" t="s">
        <v>2290</v>
      </c>
      <c r="F820" s="872"/>
      <c r="G820" s="833"/>
      <c r="H820" s="833"/>
      <c r="I820" s="872"/>
      <c r="J820" s="872"/>
      <c r="K820" s="872"/>
      <c r="L820" s="872"/>
      <c r="M820" s="872"/>
      <c r="N820" s="279" t="s">
        <v>1776</v>
      </c>
      <c r="O820" s="279" t="s">
        <v>1777</v>
      </c>
      <c r="P820" s="76" t="s">
        <v>36</v>
      </c>
      <c r="Q820" s="434">
        <v>14.1</v>
      </c>
      <c r="R820" s="434">
        <v>13.2</v>
      </c>
      <c r="S820" s="279" t="s">
        <v>1778</v>
      </c>
      <c r="T820" s="279">
        <v>11.5</v>
      </c>
      <c r="U820" s="356">
        <v>0.81560283687943302</v>
      </c>
      <c r="V820" s="591"/>
      <c r="W820" s="591"/>
      <c r="X820" s="592"/>
      <c r="Y820" s="592"/>
      <c r="Z820" s="356" t="s">
        <v>21</v>
      </c>
      <c r="AA820" s="98"/>
    </row>
    <row r="821" spans="1:27" hidden="1">
      <c r="A821" s="475"/>
      <c r="B821" s="876"/>
      <c r="C821" s="872"/>
      <c r="D821" s="872">
        <v>32727.606599999999</v>
      </c>
      <c r="E821" s="872" t="s">
        <v>2290</v>
      </c>
      <c r="F821" s="872"/>
      <c r="G821" s="833"/>
      <c r="H821" s="833"/>
      <c r="I821" s="872"/>
      <c r="J821" s="872"/>
      <c r="K821" s="872"/>
      <c r="L821" s="872"/>
      <c r="M821" s="872"/>
      <c r="N821" s="279" t="s">
        <v>1077</v>
      </c>
      <c r="O821" s="279" t="s">
        <v>1779</v>
      </c>
      <c r="P821" s="76" t="s">
        <v>36</v>
      </c>
      <c r="Q821" s="434">
        <v>6</v>
      </c>
      <c r="R821" s="434">
        <v>11.7</v>
      </c>
      <c r="S821" s="279" t="s">
        <v>1780</v>
      </c>
      <c r="T821" s="279">
        <v>8.6749399999999994</v>
      </c>
      <c r="U821" s="356">
        <v>1.4458233333333299</v>
      </c>
      <c r="V821" s="591"/>
      <c r="W821" s="591"/>
      <c r="X821" s="592"/>
      <c r="Y821" s="592"/>
      <c r="Z821" s="356" t="s">
        <v>21</v>
      </c>
      <c r="AA821" s="98"/>
    </row>
    <row r="822" spans="1:27" hidden="1">
      <c r="A822" s="475"/>
      <c r="B822" s="876"/>
      <c r="C822" s="872"/>
      <c r="D822" s="872">
        <v>32727.606599999999</v>
      </c>
      <c r="E822" s="872" t="s">
        <v>2290</v>
      </c>
      <c r="F822" s="872"/>
      <c r="G822" s="833"/>
      <c r="H822" s="833"/>
      <c r="I822" s="872"/>
      <c r="J822" s="872"/>
      <c r="K822" s="872"/>
      <c r="L822" s="872"/>
      <c r="M822" s="872"/>
      <c r="N822" s="279" t="s">
        <v>389</v>
      </c>
      <c r="O822" s="279" t="s">
        <v>1781</v>
      </c>
      <c r="P822" s="76" t="s">
        <v>36</v>
      </c>
      <c r="Q822" s="434">
        <v>9.4949999999999992</v>
      </c>
      <c r="R822" s="434">
        <v>9.2949999999999999</v>
      </c>
      <c r="S822" s="279" t="s">
        <v>1782</v>
      </c>
      <c r="T822" s="279">
        <v>9.2953749999999999</v>
      </c>
      <c r="U822" s="356">
        <v>0.97897577672459202</v>
      </c>
      <c r="V822" s="591"/>
      <c r="W822" s="591"/>
      <c r="X822" s="592"/>
      <c r="Y822" s="592"/>
      <c r="Z822" s="356" t="s">
        <v>21</v>
      </c>
      <c r="AA822" s="98"/>
    </row>
    <row r="823" spans="1:27" hidden="1">
      <c r="A823" s="475"/>
      <c r="B823" s="876"/>
      <c r="C823" s="872"/>
      <c r="D823" s="872">
        <v>32727.606599999999</v>
      </c>
      <c r="E823" s="872" t="s">
        <v>2290</v>
      </c>
      <c r="F823" s="872"/>
      <c r="G823" s="833"/>
      <c r="H823" s="833"/>
      <c r="I823" s="872"/>
      <c r="J823" s="872"/>
      <c r="K823" s="872"/>
      <c r="L823" s="872"/>
      <c r="M823" s="872"/>
      <c r="N823" s="279" t="s">
        <v>1783</v>
      </c>
      <c r="O823" s="279" t="s">
        <v>1777</v>
      </c>
      <c r="P823" s="76" t="s">
        <v>36</v>
      </c>
      <c r="Q823" s="434">
        <v>5.5</v>
      </c>
      <c r="R823" s="434">
        <v>10</v>
      </c>
      <c r="S823" s="279" t="s">
        <v>1784</v>
      </c>
      <c r="T823" s="279">
        <v>8</v>
      </c>
      <c r="U823" s="356">
        <v>1.4545454545454499</v>
      </c>
      <c r="V823" s="591"/>
      <c r="W823" s="591"/>
      <c r="X823" s="592"/>
      <c r="Y823" s="592"/>
      <c r="Z823" s="356" t="s">
        <v>21</v>
      </c>
      <c r="AA823" s="98"/>
    </row>
    <row r="824" spans="1:27" hidden="1">
      <c r="A824" s="475"/>
      <c r="B824" s="876"/>
      <c r="C824" s="872"/>
      <c r="D824" s="872">
        <v>32727.606599999999</v>
      </c>
      <c r="E824" s="872" t="s">
        <v>2290</v>
      </c>
      <c r="F824" s="872"/>
      <c r="G824" s="833"/>
      <c r="H824" s="833"/>
      <c r="I824" s="872"/>
      <c r="J824" s="872"/>
      <c r="K824" s="872"/>
      <c r="L824" s="872"/>
      <c r="M824" s="872"/>
      <c r="N824" s="279" t="s">
        <v>1169</v>
      </c>
      <c r="O824" s="279" t="s">
        <v>1777</v>
      </c>
      <c r="P824" s="76" t="s">
        <v>36</v>
      </c>
      <c r="Q824" s="434">
        <v>5.46</v>
      </c>
      <c r="R824" s="434">
        <v>3.46</v>
      </c>
      <c r="S824" s="279" t="s">
        <v>1785</v>
      </c>
      <c r="T824" s="279">
        <v>3.4588000000000001</v>
      </c>
      <c r="U824" s="356">
        <v>0.63347985347985303</v>
      </c>
      <c r="V824" s="591"/>
      <c r="W824" s="591"/>
      <c r="X824" s="592"/>
      <c r="Y824" s="592"/>
      <c r="Z824" s="356" t="s">
        <v>21</v>
      </c>
      <c r="AA824" s="98"/>
    </row>
    <row r="825" spans="1:27" hidden="1">
      <c r="A825" s="475"/>
      <c r="B825" s="867"/>
      <c r="C825" s="869"/>
      <c r="D825" s="869">
        <v>32727.606599999999</v>
      </c>
      <c r="E825" s="869" t="s">
        <v>2290</v>
      </c>
      <c r="F825" s="869"/>
      <c r="G825" s="834"/>
      <c r="H825" s="834"/>
      <c r="I825" s="869"/>
      <c r="J825" s="869"/>
      <c r="K825" s="869"/>
      <c r="L825" s="869"/>
      <c r="M825" s="869"/>
      <c r="N825" s="279" t="s">
        <v>128</v>
      </c>
      <c r="O825" s="279" t="s">
        <v>1779</v>
      </c>
      <c r="P825" s="76" t="s">
        <v>36</v>
      </c>
      <c r="Q825" s="434">
        <v>1.8</v>
      </c>
      <c r="R825" s="434">
        <v>6.2</v>
      </c>
      <c r="S825" s="279" t="s">
        <v>555</v>
      </c>
      <c r="T825" s="279">
        <v>5.0754999999999999</v>
      </c>
      <c r="U825" s="356">
        <v>2.8197222222222198</v>
      </c>
      <c r="V825" s="588"/>
      <c r="W825" s="588"/>
      <c r="X825" s="590"/>
      <c r="Y825" s="590"/>
      <c r="Z825" s="356" t="s">
        <v>21</v>
      </c>
      <c r="AA825" s="98"/>
    </row>
    <row r="826" spans="1:27" ht="24" hidden="1">
      <c r="A826" s="475"/>
      <c r="B826" s="364">
        <f>B815+1</f>
        <v>14</v>
      </c>
      <c r="C826" s="17" t="s">
        <v>2379</v>
      </c>
      <c r="D826" s="322">
        <v>17387.32</v>
      </c>
      <c r="E826" s="322" t="s">
        <v>2291</v>
      </c>
      <c r="F826" s="278"/>
      <c r="G826" s="313"/>
      <c r="H826" s="313"/>
      <c r="I826" s="279"/>
      <c r="J826" s="279"/>
      <c r="K826" s="279"/>
      <c r="L826" s="279"/>
      <c r="M826" s="279"/>
      <c r="N826" s="279"/>
      <c r="O826" s="279"/>
      <c r="P826" s="279"/>
      <c r="Q826" s="434"/>
      <c r="R826" s="434"/>
      <c r="S826" s="279"/>
      <c r="T826" s="279"/>
      <c r="U826" s="5"/>
      <c r="V826" s="24"/>
      <c r="W826" s="24"/>
      <c r="X826" s="24"/>
      <c r="Y826" s="24"/>
      <c r="Z826" s="356"/>
      <c r="AA826" s="98"/>
    </row>
    <row r="827" spans="1:27" ht="24" hidden="1">
      <c r="A827" s="475"/>
      <c r="B827" s="364">
        <f>B826+1</f>
        <v>15</v>
      </c>
      <c r="C827" s="17" t="s">
        <v>2380</v>
      </c>
      <c r="D827" s="322">
        <v>44206.663099999998</v>
      </c>
      <c r="E827" s="322" t="s">
        <v>2292</v>
      </c>
      <c r="F827" s="278" t="s">
        <v>2381</v>
      </c>
      <c r="G827" s="313">
        <v>137</v>
      </c>
      <c r="H827" s="313">
        <v>354</v>
      </c>
      <c r="I827" s="279" t="s">
        <v>241</v>
      </c>
      <c r="J827" s="279">
        <v>61</v>
      </c>
      <c r="K827" s="279"/>
      <c r="L827" s="279"/>
      <c r="M827" s="279">
        <f>SUM(G827,H827,J827,L827)</f>
        <v>552</v>
      </c>
      <c r="N827" s="279"/>
      <c r="O827" s="279"/>
      <c r="P827" s="279"/>
      <c r="Q827" s="434"/>
      <c r="R827" s="434"/>
      <c r="S827" s="279"/>
      <c r="T827" s="279"/>
      <c r="U827" s="5"/>
      <c r="V827" s="24"/>
      <c r="W827" s="24"/>
      <c r="X827" s="24"/>
      <c r="Y827" s="24"/>
      <c r="Z827" s="356"/>
      <c r="AA827" s="98"/>
    </row>
    <row r="828" spans="1:27" ht="48" hidden="1">
      <c r="A828" s="475"/>
      <c r="B828" s="364">
        <f>B827+1</f>
        <v>16</v>
      </c>
      <c r="C828" s="17" t="s">
        <v>2382</v>
      </c>
      <c r="D828" s="322">
        <v>35046</v>
      </c>
      <c r="E828" s="322" t="s">
        <v>2293</v>
      </c>
      <c r="F828" s="356" t="s">
        <v>24</v>
      </c>
      <c r="G828" s="313">
        <v>108.7567</v>
      </c>
      <c r="H828" s="313">
        <v>0.45</v>
      </c>
      <c r="I828" s="279" t="s">
        <v>1786</v>
      </c>
      <c r="J828" s="279">
        <v>35.0456</v>
      </c>
      <c r="K828" s="279"/>
      <c r="L828" s="279"/>
      <c r="M828" s="279">
        <f>SUM(G828,H828,J828,L828)</f>
        <v>144.25229999999999</v>
      </c>
      <c r="N828" s="279"/>
      <c r="O828" s="279"/>
      <c r="P828" s="279"/>
      <c r="Q828" s="434"/>
      <c r="R828" s="434"/>
      <c r="S828" s="279"/>
      <c r="T828" s="279"/>
      <c r="U828" s="5"/>
      <c r="V828" s="24"/>
      <c r="W828" s="24"/>
      <c r="X828" s="24"/>
      <c r="Y828" s="24"/>
      <c r="Z828" s="356"/>
      <c r="AA828" s="98"/>
    </row>
    <row r="829" spans="1:27" ht="108">
      <c r="A829" s="475"/>
      <c r="B829" s="866">
        <f>B828+1</f>
        <v>17</v>
      </c>
      <c r="C829" s="863" t="s">
        <v>1787</v>
      </c>
      <c r="D829" s="863">
        <v>59447.737289999997</v>
      </c>
      <c r="E829" s="863" t="s">
        <v>2294</v>
      </c>
      <c r="F829" s="863" t="s">
        <v>1563</v>
      </c>
      <c r="G829" s="597">
        <f>924.648867/5</f>
        <v>184.92977339999999</v>
      </c>
      <c r="H829" s="597"/>
      <c r="I829" s="877" t="s">
        <v>1564</v>
      </c>
      <c r="J829" s="877">
        <f>569.8525/5</f>
        <v>113.97049999999999</v>
      </c>
      <c r="K829" s="877"/>
      <c r="L829" s="877"/>
      <c r="M829" s="877">
        <f>SUM(G829,H829,J829,L829)</f>
        <v>298.90027339999995</v>
      </c>
      <c r="N829" s="97" t="s">
        <v>1596</v>
      </c>
      <c r="O829" s="97" t="s">
        <v>1597</v>
      </c>
      <c r="P829" s="76" t="s">
        <v>27</v>
      </c>
      <c r="Q829" s="434">
        <f>6+1.02655</f>
        <v>7.0265500000000003</v>
      </c>
      <c r="R829" s="434">
        <f>6+1.02655</f>
        <v>7.0265500000000003</v>
      </c>
      <c r="S829" s="288" t="s">
        <v>1004</v>
      </c>
      <c r="T829" s="288">
        <f>6+1.1406</f>
        <v>7.1406000000000001</v>
      </c>
      <c r="U829" s="5">
        <f>T829/Q829</f>
        <v>1.0162312941628537</v>
      </c>
      <c r="V829" s="877">
        <f>SUM(Q829:Q842)</f>
        <v>133.02654999999999</v>
      </c>
      <c r="W829" s="877">
        <f>SUM(T829:T842)</f>
        <v>116.324455</v>
      </c>
      <c r="X829" s="589">
        <f>W829/V829</f>
        <v>0.87444540206447519</v>
      </c>
      <c r="Y829" s="589">
        <f>W829/M829</f>
        <v>0.38917480294281998</v>
      </c>
      <c r="Z829" s="356" t="s">
        <v>43</v>
      </c>
      <c r="AA829" s="98"/>
    </row>
    <row r="830" spans="1:27" ht="72">
      <c r="A830" s="475"/>
      <c r="B830" s="876"/>
      <c r="C830" s="864"/>
      <c r="D830" s="864">
        <v>59447.737289999997</v>
      </c>
      <c r="E830" s="864" t="s">
        <v>2295</v>
      </c>
      <c r="F830" s="864"/>
      <c r="G830" s="598"/>
      <c r="H830" s="598"/>
      <c r="I830" s="885"/>
      <c r="J830" s="885"/>
      <c r="K830" s="885"/>
      <c r="L830" s="885"/>
      <c r="M830" s="885"/>
      <c r="N830" s="97" t="s">
        <v>2383</v>
      </c>
      <c r="O830" s="97" t="s">
        <v>2384</v>
      </c>
      <c r="P830" s="76" t="s">
        <v>27</v>
      </c>
      <c r="Q830" s="434">
        <v>1</v>
      </c>
      <c r="R830" s="434">
        <v>1</v>
      </c>
      <c r="S830" s="288" t="s">
        <v>2385</v>
      </c>
      <c r="T830" s="288">
        <v>0.122588</v>
      </c>
      <c r="U830" s="5">
        <f t="shared" ref="U830:U841" si="65">T830/Q830</f>
        <v>0.122588</v>
      </c>
      <c r="V830" s="591"/>
      <c r="W830" s="591"/>
      <c r="X830" s="592"/>
      <c r="Y830" s="592"/>
      <c r="Z830" s="356" t="s">
        <v>43</v>
      </c>
      <c r="AA830" s="98"/>
    </row>
    <row r="831" spans="1:27" ht="72">
      <c r="A831" s="475"/>
      <c r="B831" s="876"/>
      <c r="C831" s="864"/>
      <c r="D831" s="864">
        <v>59447.737289999997</v>
      </c>
      <c r="E831" s="864" t="s">
        <v>2295</v>
      </c>
      <c r="F831" s="864"/>
      <c r="G831" s="598"/>
      <c r="H831" s="598"/>
      <c r="I831" s="885"/>
      <c r="J831" s="885"/>
      <c r="K831" s="885"/>
      <c r="L831" s="885"/>
      <c r="M831" s="885"/>
      <c r="N831" s="97" t="s">
        <v>2383</v>
      </c>
      <c r="O831" s="97" t="s">
        <v>2386</v>
      </c>
      <c r="P831" s="76" t="s">
        <v>27</v>
      </c>
      <c r="Q831" s="434">
        <v>1</v>
      </c>
      <c r="R831" s="434">
        <v>1</v>
      </c>
      <c r="S831" s="288" t="s">
        <v>2385</v>
      </c>
      <c r="T831" s="279">
        <v>0.1794</v>
      </c>
      <c r="U831" s="5">
        <f t="shared" si="65"/>
        <v>0.1794</v>
      </c>
      <c r="V831" s="591"/>
      <c r="W831" s="591"/>
      <c r="X831" s="592"/>
      <c r="Y831" s="592"/>
      <c r="Z831" s="356" t="s">
        <v>43</v>
      </c>
      <c r="AA831" s="98"/>
    </row>
    <row r="832" spans="1:27" ht="84">
      <c r="A832" s="475"/>
      <c r="B832" s="876"/>
      <c r="C832" s="864"/>
      <c r="D832" s="864">
        <v>59447.737289999997</v>
      </c>
      <c r="E832" s="864" t="s">
        <v>2295</v>
      </c>
      <c r="F832" s="864"/>
      <c r="G832" s="598"/>
      <c r="H832" s="598"/>
      <c r="I832" s="885"/>
      <c r="J832" s="885"/>
      <c r="K832" s="885"/>
      <c r="L832" s="885"/>
      <c r="M832" s="885"/>
      <c r="N832" s="97" t="s">
        <v>1788</v>
      </c>
      <c r="O832" s="97" t="s">
        <v>2387</v>
      </c>
      <c r="P832" s="76" t="s">
        <v>27</v>
      </c>
      <c r="Q832" s="434">
        <v>1</v>
      </c>
      <c r="R832" s="434">
        <v>1</v>
      </c>
      <c r="S832" s="288" t="s">
        <v>1789</v>
      </c>
      <c r="T832" s="279">
        <v>0.75048499999999996</v>
      </c>
      <c r="U832" s="5">
        <f t="shared" si="65"/>
        <v>0.75048499999999996</v>
      </c>
      <c r="V832" s="591"/>
      <c r="W832" s="591"/>
      <c r="X832" s="592"/>
      <c r="Y832" s="592"/>
      <c r="Z832" s="356" t="s">
        <v>43</v>
      </c>
      <c r="AA832" s="98"/>
    </row>
    <row r="833" spans="1:27" ht="72">
      <c r="A833" s="475"/>
      <c r="B833" s="876"/>
      <c r="C833" s="864"/>
      <c r="D833" s="864">
        <v>59447.737289999997</v>
      </c>
      <c r="E833" s="864" t="s">
        <v>2295</v>
      </c>
      <c r="F833" s="864"/>
      <c r="G833" s="598"/>
      <c r="H833" s="598"/>
      <c r="I833" s="885"/>
      <c r="J833" s="885"/>
      <c r="K833" s="885"/>
      <c r="L833" s="885"/>
      <c r="M833" s="885"/>
      <c r="N833" s="97" t="s">
        <v>1788</v>
      </c>
      <c r="O833" s="97" t="s">
        <v>2388</v>
      </c>
      <c r="P833" s="76" t="s">
        <v>27</v>
      </c>
      <c r="Q833" s="434">
        <v>1</v>
      </c>
      <c r="R833" s="434">
        <v>1</v>
      </c>
      <c r="S833" s="288" t="s">
        <v>1301</v>
      </c>
      <c r="T833" s="279">
        <v>0.19725400000000001</v>
      </c>
      <c r="U833" s="5">
        <f t="shared" si="65"/>
        <v>0.19725400000000001</v>
      </c>
      <c r="V833" s="591"/>
      <c r="W833" s="591"/>
      <c r="X833" s="592"/>
      <c r="Y833" s="592"/>
      <c r="Z833" s="356" t="s">
        <v>43</v>
      </c>
      <c r="AA833" s="98"/>
    </row>
    <row r="834" spans="1:27" ht="84">
      <c r="A834" s="475"/>
      <c r="B834" s="876"/>
      <c r="C834" s="864"/>
      <c r="D834" s="864">
        <v>59447.737289999997</v>
      </c>
      <c r="E834" s="864" t="s">
        <v>2295</v>
      </c>
      <c r="F834" s="864"/>
      <c r="G834" s="598"/>
      <c r="H834" s="598"/>
      <c r="I834" s="885"/>
      <c r="J834" s="885"/>
      <c r="K834" s="885"/>
      <c r="L834" s="885"/>
      <c r="M834" s="885"/>
      <c r="N834" s="97" t="s">
        <v>2389</v>
      </c>
      <c r="O834" s="97" t="s">
        <v>1790</v>
      </c>
      <c r="P834" s="76" t="s">
        <v>27</v>
      </c>
      <c r="Q834" s="434">
        <v>3</v>
      </c>
      <c r="R834" s="434">
        <v>3</v>
      </c>
      <c r="S834" s="288" t="s">
        <v>2390</v>
      </c>
      <c r="T834" s="279">
        <v>0.15141499999999999</v>
      </c>
      <c r="U834" s="5">
        <f t="shared" si="65"/>
        <v>5.0471666666666665E-2</v>
      </c>
      <c r="V834" s="591"/>
      <c r="W834" s="591"/>
      <c r="X834" s="592"/>
      <c r="Y834" s="592"/>
      <c r="Z834" s="356" t="s">
        <v>43</v>
      </c>
      <c r="AA834" s="98"/>
    </row>
    <row r="835" spans="1:27" ht="96">
      <c r="A835" s="475"/>
      <c r="B835" s="876"/>
      <c r="C835" s="864"/>
      <c r="D835" s="864">
        <v>59447.737289999997</v>
      </c>
      <c r="E835" s="864" t="s">
        <v>2295</v>
      </c>
      <c r="F835" s="864"/>
      <c r="G835" s="598"/>
      <c r="H835" s="598"/>
      <c r="I835" s="885"/>
      <c r="J835" s="885"/>
      <c r="K835" s="885"/>
      <c r="L835" s="885"/>
      <c r="M835" s="885"/>
      <c r="N835" s="97" t="s">
        <v>188</v>
      </c>
      <c r="O835" s="97" t="s">
        <v>1791</v>
      </c>
      <c r="P835" s="76" t="s">
        <v>27</v>
      </c>
      <c r="Q835" s="434">
        <v>8</v>
      </c>
      <c r="R835" s="434">
        <v>8</v>
      </c>
      <c r="S835" s="288" t="s">
        <v>2391</v>
      </c>
      <c r="T835" s="279">
        <v>0.59177100000000005</v>
      </c>
      <c r="U835" s="5">
        <f t="shared" si="65"/>
        <v>7.3971375000000006E-2</v>
      </c>
      <c r="V835" s="591"/>
      <c r="W835" s="591"/>
      <c r="X835" s="592"/>
      <c r="Y835" s="592"/>
      <c r="Z835" s="356" t="s">
        <v>43</v>
      </c>
      <c r="AA835" s="98"/>
    </row>
    <row r="836" spans="1:27" ht="84">
      <c r="A836" s="475"/>
      <c r="B836" s="876"/>
      <c r="C836" s="864"/>
      <c r="D836" s="864">
        <v>59447.737289999997</v>
      </c>
      <c r="E836" s="864" t="s">
        <v>2295</v>
      </c>
      <c r="F836" s="864"/>
      <c r="G836" s="598"/>
      <c r="H836" s="598"/>
      <c r="I836" s="885"/>
      <c r="J836" s="885"/>
      <c r="K836" s="885"/>
      <c r="L836" s="885"/>
      <c r="M836" s="885"/>
      <c r="N836" s="97" t="s">
        <v>2392</v>
      </c>
      <c r="O836" s="97" t="s">
        <v>1792</v>
      </c>
      <c r="P836" s="76" t="s">
        <v>27</v>
      </c>
      <c r="Q836" s="434">
        <v>2</v>
      </c>
      <c r="R836" s="434">
        <v>2</v>
      </c>
      <c r="S836" s="288" t="s">
        <v>2393</v>
      </c>
      <c r="T836" s="279">
        <v>0.271594</v>
      </c>
      <c r="U836" s="5">
        <f t="shared" si="65"/>
        <v>0.135797</v>
      </c>
      <c r="V836" s="591"/>
      <c r="W836" s="591"/>
      <c r="X836" s="592"/>
      <c r="Y836" s="592"/>
      <c r="Z836" s="356" t="s">
        <v>43</v>
      </c>
      <c r="AA836" s="98"/>
    </row>
    <row r="837" spans="1:27" ht="96">
      <c r="A837" s="475"/>
      <c r="B837" s="876"/>
      <c r="C837" s="864"/>
      <c r="D837" s="864">
        <v>59447.737289999997</v>
      </c>
      <c r="E837" s="864" t="s">
        <v>2295</v>
      </c>
      <c r="F837" s="864"/>
      <c r="G837" s="598"/>
      <c r="H837" s="598"/>
      <c r="I837" s="885"/>
      <c r="J837" s="885"/>
      <c r="K837" s="885"/>
      <c r="L837" s="885"/>
      <c r="M837" s="885"/>
      <c r="N837" s="97" t="s">
        <v>2394</v>
      </c>
      <c r="O837" s="97" t="s">
        <v>1793</v>
      </c>
      <c r="P837" s="76" t="s">
        <v>27</v>
      </c>
      <c r="Q837" s="434">
        <v>1</v>
      </c>
      <c r="R837" s="434">
        <v>1</v>
      </c>
      <c r="S837" s="288" t="s">
        <v>1433</v>
      </c>
      <c r="T837" s="279">
        <v>0.35262399999999999</v>
      </c>
      <c r="U837" s="5">
        <f t="shared" si="65"/>
        <v>0.35262399999999999</v>
      </c>
      <c r="V837" s="591"/>
      <c r="W837" s="591"/>
      <c r="X837" s="592"/>
      <c r="Y837" s="592"/>
      <c r="Z837" s="356" t="s">
        <v>43</v>
      </c>
      <c r="AA837" s="98"/>
    </row>
    <row r="838" spans="1:27" ht="84">
      <c r="A838" s="475"/>
      <c r="B838" s="876"/>
      <c r="C838" s="864"/>
      <c r="D838" s="864">
        <v>59447.737289999997</v>
      </c>
      <c r="E838" s="864" t="s">
        <v>2295</v>
      </c>
      <c r="F838" s="864"/>
      <c r="G838" s="598"/>
      <c r="H838" s="598"/>
      <c r="I838" s="885"/>
      <c r="J838" s="885"/>
      <c r="K838" s="885"/>
      <c r="L838" s="885"/>
      <c r="M838" s="885"/>
      <c r="N838" s="97" t="s">
        <v>2395</v>
      </c>
      <c r="O838" s="97" t="s">
        <v>1794</v>
      </c>
      <c r="P838" s="76" t="s">
        <v>27</v>
      </c>
      <c r="Q838" s="434">
        <v>6</v>
      </c>
      <c r="R838" s="434">
        <v>6</v>
      </c>
      <c r="S838" s="288" t="s">
        <v>2396</v>
      </c>
      <c r="T838" s="279">
        <v>6.6582629999999998</v>
      </c>
      <c r="U838" s="5">
        <f t="shared" si="65"/>
        <v>1.1097105</v>
      </c>
      <c r="V838" s="591"/>
      <c r="W838" s="591"/>
      <c r="X838" s="592"/>
      <c r="Y838" s="592"/>
      <c r="Z838" s="356" t="s">
        <v>43</v>
      </c>
      <c r="AA838" s="98"/>
    </row>
    <row r="839" spans="1:27" ht="84">
      <c r="A839" s="475"/>
      <c r="B839" s="876"/>
      <c r="C839" s="864"/>
      <c r="D839" s="864">
        <v>59447.737289999997</v>
      </c>
      <c r="E839" s="864" t="s">
        <v>2295</v>
      </c>
      <c r="F839" s="864"/>
      <c r="G839" s="598"/>
      <c r="H839" s="598"/>
      <c r="I839" s="885"/>
      <c r="J839" s="885"/>
      <c r="K839" s="885"/>
      <c r="L839" s="885"/>
      <c r="M839" s="885"/>
      <c r="N839" s="97" t="s">
        <v>2397</v>
      </c>
      <c r="O839" s="97" t="s">
        <v>2398</v>
      </c>
      <c r="P839" s="76" t="s">
        <v>27</v>
      </c>
      <c r="Q839" s="434">
        <v>12</v>
      </c>
      <c r="R839" s="434">
        <v>12</v>
      </c>
      <c r="S839" s="288" t="s">
        <v>214</v>
      </c>
      <c r="T839" s="279">
        <v>14.251566</v>
      </c>
      <c r="U839" s="5">
        <f t="shared" si="65"/>
        <v>1.1876305</v>
      </c>
      <c r="V839" s="591"/>
      <c r="W839" s="591"/>
      <c r="X839" s="592"/>
      <c r="Y839" s="592"/>
      <c r="Z839" s="356" t="s">
        <v>43</v>
      </c>
      <c r="AA839" s="98"/>
    </row>
    <row r="840" spans="1:27" ht="84">
      <c r="A840" s="475"/>
      <c r="B840" s="876"/>
      <c r="C840" s="864"/>
      <c r="D840" s="864">
        <v>59447.737289999997</v>
      </c>
      <c r="E840" s="864" t="s">
        <v>2295</v>
      </c>
      <c r="F840" s="864"/>
      <c r="G840" s="598"/>
      <c r="H840" s="598"/>
      <c r="I840" s="885"/>
      <c r="J840" s="885"/>
      <c r="K840" s="885"/>
      <c r="L840" s="885"/>
      <c r="M840" s="885"/>
      <c r="N840" s="97" t="s">
        <v>2399</v>
      </c>
      <c r="O840" s="97" t="s">
        <v>1795</v>
      </c>
      <c r="P840" s="76" t="s">
        <v>27</v>
      </c>
      <c r="Q840" s="434">
        <v>60</v>
      </c>
      <c r="R840" s="434">
        <v>60</v>
      </c>
      <c r="S840" s="288" t="s">
        <v>1328</v>
      </c>
      <c r="T840" s="279">
        <v>60</v>
      </c>
      <c r="U840" s="5">
        <f t="shared" si="65"/>
        <v>1</v>
      </c>
      <c r="V840" s="591"/>
      <c r="W840" s="591"/>
      <c r="X840" s="592"/>
      <c r="Y840" s="592"/>
      <c r="Z840" s="356" t="s">
        <v>43</v>
      </c>
      <c r="AA840" s="98"/>
    </row>
    <row r="841" spans="1:27" ht="96">
      <c r="A841" s="475"/>
      <c r="B841" s="876"/>
      <c r="C841" s="864"/>
      <c r="D841" s="864">
        <v>59447.737289999997</v>
      </c>
      <c r="E841" s="864" t="s">
        <v>2295</v>
      </c>
      <c r="F841" s="864"/>
      <c r="G841" s="598"/>
      <c r="H841" s="598"/>
      <c r="I841" s="885"/>
      <c r="J841" s="885"/>
      <c r="K841" s="885"/>
      <c r="L841" s="885"/>
      <c r="M841" s="885"/>
      <c r="N841" s="97" t="s">
        <v>2400</v>
      </c>
      <c r="O841" s="97" t="s">
        <v>2401</v>
      </c>
      <c r="P841" s="76" t="s">
        <v>27</v>
      </c>
      <c r="Q841" s="434">
        <v>12</v>
      </c>
      <c r="R841" s="434">
        <v>12</v>
      </c>
      <c r="S841" s="287" t="s">
        <v>2402</v>
      </c>
      <c r="T841" s="279">
        <v>7.4982369999999996</v>
      </c>
      <c r="U841" s="5">
        <f t="shared" si="65"/>
        <v>0.62485308333333334</v>
      </c>
      <c r="V841" s="591"/>
      <c r="W841" s="591"/>
      <c r="X841" s="592"/>
      <c r="Y841" s="592"/>
      <c r="Z841" s="356" t="s">
        <v>43</v>
      </c>
      <c r="AA841" s="98"/>
    </row>
    <row r="842" spans="1:27" ht="48" hidden="1">
      <c r="A842" s="475"/>
      <c r="B842" s="867"/>
      <c r="C842" s="865"/>
      <c r="D842" s="865">
        <v>59447.737289999997</v>
      </c>
      <c r="E842" s="865" t="s">
        <v>2295</v>
      </c>
      <c r="F842" s="865"/>
      <c r="G842" s="599"/>
      <c r="H842" s="599"/>
      <c r="I842" s="878"/>
      <c r="J842" s="878"/>
      <c r="K842" s="878"/>
      <c r="L842" s="878"/>
      <c r="M842" s="878"/>
      <c r="N842" s="97" t="s">
        <v>1796</v>
      </c>
      <c r="O842" s="97" t="s">
        <v>2403</v>
      </c>
      <c r="P842" s="76" t="s">
        <v>36</v>
      </c>
      <c r="Q842" s="434">
        <v>18</v>
      </c>
      <c r="R842" s="434">
        <v>18</v>
      </c>
      <c r="S842" s="287" t="s">
        <v>2404</v>
      </c>
      <c r="T842" s="287">
        <v>18.158657999999999</v>
      </c>
      <c r="U842" s="5">
        <v>1.0088143333333333</v>
      </c>
      <c r="V842" s="588"/>
      <c r="W842" s="588"/>
      <c r="X842" s="590"/>
      <c r="Y842" s="590"/>
      <c r="Z842" s="356" t="s">
        <v>43</v>
      </c>
      <c r="AA842" s="98"/>
    </row>
    <row r="843" spans="1:27">
      <c r="A843" s="475"/>
      <c r="B843" s="866">
        <f>B829+1</f>
        <v>18</v>
      </c>
      <c r="C843" s="868" t="s">
        <v>1797</v>
      </c>
      <c r="D843" s="868">
        <v>16877.899700000002</v>
      </c>
      <c r="E843" s="868" t="s">
        <v>2405</v>
      </c>
      <c r="F843" s="356"/>
      <c r="G843" s="597">
        <v>220</v>
      </c>
      <c r="H843" s="313"/>
      <c r="I843" s="279" t="s">
        <v>2406</v>
      </c>
      <c r="J843" s="877">
        <v>62.96</v>
      </c>
      <c r="K843" s="279"/>
      <c r="L843" s="279"/>
      <c r="M843" s="877">
        <f>SUM(G843,J843)</f>
        <v>282.95999999999998</v>
      </c>
      <c r="N843" s="279"/>
      <c r="O843" s="279"/>
      <c r="P843" s="76" t="s">
        <v>27</v>
      </c>
      <c r="Q843" s="434">
        <v>8.2245709999999992</v>
      </c>
      <c r="R843" s="434">
        <v>8.2245709999999992</v>
      </c>
      <c r="S843" s="279" t="s">
        <v>1798</v>
      </c>
      <c r="T843" s="279">
        <v>6.4295720000000003</v>
      </c>
      <c r="U843" s="289">
        <f t="shared" ref="U843:U851" si="66">T843/Q843</f>
        <v>0.78175165610461639</v>
      </c>
      <c r="V843" s="877">
        <f>SUM(Q843:Q844)</f>
        <v>22.522271</v>
      </c>
      <c r="W843" s="877">
        <f>SUM(T843:T844)</f>
        <v>14.052772000000001</v>
      </c>
      <c r="X843" s="589">
        <f>W843/V843</f>
        <v>0.62395004482452066</v>
      </c>
      <c r="Y843" s="589">
        <f>W843/M843</f>
        <v>4.9663457732541709E-2</v>
      </c>
      <c r="Z843" s="356" t="s">
        <v>305</v>
      </c>
      <c r="AA843" s="98"/>
    </row>
    <row r="844" spans="1:27" hidden="1">
      <c r="A844" s="475"/>
      <c r="B844" s="867"/>
      <c r="C844" s="869"/>
      <c r="D844" s="869">
        <v>16877.899700000002</v>
      </c>
      <c r="E844" s="869" t="s">
        <v>2074</v>
      </c>
      <c r="F844" s="356" t="s">
        <v>68</v>
      </c>
      <c r="G844" s="599"/>
      <c r="H844" s="313"/>
      <c r="I844" s="279"/>
      <c r="J844" s="878"/>
      <c r="K844" s="279"/>
      <c r="L844" s="279"/>
      <c r="M844" s="878"/>
      <c r="N844" s="279"/>
      <c r="O844" s="279"/>
      <c r="P844" s="76" t="s">
        <v>36</v>
      </c>
      <c r="Q844" s="434">
        <v>14.297700000000001</v>
      </c>
      <c r="R844" s="434">
        <v>14.297700000000001</v>
      </c>
      <c r="S844" s="279" t="s">
        <v>1799</v>
      </c>
      <c r="T844" s="279">
        <v>7.6231999999999998</v>
      </c>
      <c r="U844" s="289">
        <f t="shared" si="66"/>
        <v>0.53317666477825099</v>
      </c>
      <c r="V844" s="588"/>
      <c r="W844" s="588"/>
      <c r="X844" s="590"/>
      <c r="Y844" s="590"/>
      <c r="Z844" s="356" t="s">
        <v>305</v>
      </c>
      <c r="AA844" s="98"/>
    </row>
    <row r="845" spans="1:27" ht="15" hidden="1" customHeight="1">
      <c r="A845" s="475"/>
      <c r="B845" s="866">
        <f>B843+1</f>
        <v>19</v>
      </c>
      <c r="C845" s="868" t="s">
        <v>2407</v>
      </c>
      <c r="D845" s="868">
        <v>41341.8151</v>
      </c>
      <c r="E845" s="868" t="s">
        <v>2408</v>
      </c>
      <c r="F845" s="868" t="s">
        <v>2409</v>
      </c>
      <c r="G845" s="832">
        <v>182.14009999999999</v>
      </c>
      <c r="H845" s="832"/>
      <c r="I845" s="882" t="s">
        <v>2409</v>
      </c>
      <c r="J845" s="882">
        <v>60</v>
      </c>
      <c r="K845" s="882"/>
      <c r="L845" s="882"/>
      <c r="M845" s="882">
        <f>SUM(G845,H845,J845,L845)</f>
        <v>242.14009999999999</v>
      </c>
      <c r="N845" s="280" t="s">
        <v>2410</v>
      </c>
      <c r="O845" s="280" t="s">
        <v>2411</v>
      </c>
      <c r="P845" s="76" t="s">
        <v>36</v>
      </c>
      <c r="Q845" s="347">
        <v>296</v>
      </c>
      <c r="R845" s="347">
        <v>702.25130000000001</v>
      </c>
      <c r="S845" s="280"/>
      <c r="T845" s="280">
        <v>210</v>
      </c>
      <c r="U845" s="16">
        <f t="shared" si="66"/>
        <v>0.70945945945945943</v>
      </c>
      <c r="V845" s="882">
        <f>SUM(Q845:Q846)</f>
        <v>370</v>
      </c>
      <c r="W845" s="882">
        <f>SUM(T845:T846)</f>
        <v>210</v>
      </c>
      <c r="X845" s="578">
        <f>W845/V845</f>
        <v>0.56756756756756754</v>
      </c>
      <c r="Y845" s="578">
        <f>W845/M845</f>
        <v>0.86726651223816298</v>
      </c>
      <c r="Z845" s="342" t="s">
        <v>2412</v>
      </c>
      <c r="AA845" s="98"/>
    </row>
    <row r="846" spans="1:27" ht="15" hidden="1" customHeight="1">
      <c r="A846" s="475"/>
      <c r="B846" s="867"/>
      <c r="C846" s="869"/>
      <c r="D846" s="869">
        <v>41341.8151</v>
      </c>
      <c r="E846" s="869" t="s">
        <v>2296</v>
      </c>
      <c r="F846" s="869"/>
      <c r="G846" s="834"/>
      <c r="H846" s="834"/>
      <c r="I846" s="883"/>
      <c r="J846" s="883"/>
      <c r="K846" s="883"/>
      <c r="L846" s="883"/>
      <c r="M846" s="883"/>
      <c r="N846" s="279" t="s">
        <v>2410</v>
      </c>
      <c r="O846" s="279" t="s">
        <v>2411</v>
      </c>
      <c r="P846" s="76" t="s">
        <v>36</v>
      </c>
      <c r="Q846" s="434">
        <v>74</v>
      </c>
      <c r="R846" s="434">
        <v>181</v>
      </c>
      <c r="S846" s="279"/>
      <c r="T846" s="279"/>
      <c r="U846" s="5">
        <f t="shared" si="66"/>
        <v>0</v>
      </c>
      <c r="V846" s="577"/>
      <c r="W846" s="577"/>
      <c r="X846" s="580"/>
      <c r="Y846" s="580"/>
      <c r="Z846" s="356" t="s">
        <v>2412</v>
      </c>
      <c r="AA846" s="98"/>
    </row>
    <row r="847" spans="1:27" ht="24" hidden="1">
      <c r="A847" s="475"/>
      <c r="B847" s="364">
        <f>B845+1</f>
        <v>20</v>
      </c>
      <c r="C847" s="290" t="s">
        <v>2413</v>
      </c>
      <c r="D847" s="366">
        <v>70413.027900000001</v>
      </c>
      <c r="E847" s="366" t="s">
        <v>2414</v>
      </c>
      <c r="F847" s="356" t="s">
        <v>2415</v>
      </c>
      <c r="G847" s="291">
        <v>267.65570000000002</v>
      </c>
      <c r="H847" s="313">
        <v>0</v>
      </c>
      <c r="I847" s="279"/>
      <c r="J847" s="279"/>
      <c r="K847" s="279"/>
      <c r="L847" s="279"/>
      <c r="M847" s="279">
        <f>SUM(G847,H847,J847,L847)</f>
        <v>267.65570000000002</v>
      </c>
      <c r="N847" s="279" t="s">
        <v>2416</v>
      </c>
      <c r="O847" s="279" t="s">
        <v>2417</v>
      </c>
      <c r="P847" s="76" t="s">
        <v>36</v>
      </c>
      <c r="Q847" s="434">
        <v>50</v>
      </c>
      <c r="R847" s="434">
        <v>158.58000000000001</v>
      </c>
      <c r="S847" s="279" t="s">
        <v>2418</v>
      </c>
      <c r="T847" s="279">
        <v>52.383099999999999</v>
      </c>
      <c r="U847" s="5">
        <f t="shared" si="66"/>
        <v>1.0476619999999999</v>
      </c>
      <c r="V847" s="279">
        <f>Q847</f>
        <v>50</v>
      </c>
      <c r="W847" s="279">
        <f>T847</f>
        <v>52.383099999999999</v>
      </c>
      <c r="X847" s="27">
        <f>W847/V847</f>
        <v>1.0476619999999999</v>
      </c>
      <c r="Y847" s="27">
        <f>W847/M847</f>
        <v>0.19571075826145304</v>
      </c>
      <c r="Z847" s="356" t="s">
        <v>2412</v>
      </c>
      <c r="AA847" s="98"/>
    </row>
    <row r="848" spans="1:27" ht="24" hidden="1">
      <c r="A848" s="475"/>
      <c r="B848" s="866">
        <f>B847+1</f>
        <v>21</v>
      </c>
      <c r="C848" s="863" t="s">
        <v>1802</v>
      </c>
      <c r="D848" s="863">
        <v>56086.243900000001</v>
      </c>
      <c r="E848" s="863" t="s">
        <v>2297</v>
      </c>
      <c r="F848" s="863" t="s">
        <v>2419</v>
      </c>
      <c r="G848" s="597">
        <v>147.24440000000001</v>
      </c>
      <c r="H848" s="597">
        <v>5</v>
      </c>
      <c r="I848" s="877" t="s">
        <v>2420</v>
      </c>
      <c r="J848" s="877">
        <v>49.466194999999999</v>
      </c>
      <c r="K848" s="877"/>
      <c r="L848" s="877"/>
      <c r="M848" s="877">
        <f>SUM(G848,H848,J848,L848)</f>
        <v>201.71059500000001</v>
      </c>
      <c r="N848" s="279" t="s">
        <v>212</v>
      </c>
      <c r="O848" s="279" t="s">
        <v>2421</v>
      </c>
      <c r="P848" s="76" t="s">
        <v>36</v>
      </c>
      <c r="Q848" s="434">
        <v>30</v>
      </c>
      <c r="R848" s="434">
        <v>251</v>
      </c>
      <c r="S848" s="279" t="s">
        <v>353</v>
      </c>
      <c r="T848" s="279">
        <v>54.997599999999998</v>
      </c>
      <c r="U848" s="5">
        <f t="shared" si="66"/>
        <v>1.8332533333333332</v>
      </c>
      <c r="V848" s="877">
        <f>SUM(Q848:Q851)</f>
        <v>40</v>
      </c>
      <c r="W848" s="877">
        <f>SUM(T848:T851)</f>
        <v>82.375499999999988</v>
      </c>
      <c r="X848" s="589">
        <f>W848/V848</f>
        <v>2.0593874999999997</v>
      </c>
      <c r="Y848" s="589">
        <f>W848/M848</f>
        <v>0.40838459675358146</v>
      </c>
      <c r="Z848" s="356" t="s">
        <v>215</v>
      </c>
      <c r="AA848" s="98"/>
    </row>
    <row r="849" spans="1:27" ht="24" hidden="1">
      <c r="A849" s="475"/>
      <c r="B849" s="876"/>
      <c r="C849" s="864"/>
      <c r="D849" s="864">
        <v>56086.243900000001</v>
      </c>
      <c r="E849" s="864" t="s">
        <v>2298</v>
      </c>
      <c r="F849" s="864"/>
      <c r="G849" s="598"/>
      <c r="H849" s="598"/>
      <c r="I849" s="885"/>
      <c r="J849" s="885"/>
      <c r="K849" s="885"/>
      <c r="L849" s="885"/>
      <c r="M849" s="885"/>
      <c r="N849" s="279" t="s">
        <v>216</v>
      </c>
      <c r="O849" s="279" t="s">
        <v>2421</v>
      </c>
      <c r="P849" s="76" t="s">
        <v>36</v>
      </c>
      <c r="Q849" s="434">
        <v>1</v>
      </c>
      <c r="R849" s="434">
        <v>50</v>
      </c>
      <c r="S849" s="279" t="s">
        <v>353</v>
      </c>
      <c r="T849" s="279">
        <v>3.0331999999999999</v>
      </c>
      <c r="U849" s="5">
        <f t="shared" si="66"/>
        <v>3.0331999999999999</v>
      </c>
      <c r="V849" s="591"/>
      <c r="W849" s="591"/>
      <c r="X849" s="592"/>
      <c r="Y849" s="592"/>
      <c r="Z849" s="356" t="s">
        <v>215</v>
      </c>
      <c r="AA849" s="98"/>
    </row>
    <row r="850" spans="1:27" ht="24" hidden="1">
      <c r="A850" s="475"/>
      <c r="B850" s="876"/>
      <c r="C850" s="864"/>
      <c r="D850" s="864">
        <v>56086.243900000001</v>
      </c>
      <c r="E850" s="864" t="s">
        <v>2298</v>
      </c>
      <c r="F850" s="864"/>
      <c r="G850" s="598"/>
      <c r="H850" s="598"/>
      <c r="I850" s="885"/>
      <c r="J850" s="885"/>
      <c r="K850" s="885"/>
      <c r="L850" s="885"/>
      <c r="M850" s="885"/>
      <c r="N850" s="279" t="s">
        <v>2422</v>
      </c>
      <c r="O850" s="279" t="s">
        <v>2421</v>
      </c>
      <c r="P850" s="76" t="s">
        <v>36</v>
      </c>
      <c r="Q850" s="434">
        <v>7</v>
      </c>
      <c r="R850" s="434">
        <v>28</v>
      </c>
      <c r="S850" s="279" t="s">
        <v>353</v>
      </c>
      <c r="T850" s="279">
        <v>19.197199999999999</v>
      </c>
      <c r="U850" s="5">
        <f t="shared" si="66"/>
        <v>2.7424571428571425</v>
      </c>
      <c r="V850" s="591"/>
      <c r="W850" s="591"/>
      <c r="X850" s="592"/>
      <c r="Y850" s="592"/>
      <c r="Z850" s="356" t="s">
        <v>215</v>
      </c>
      <c r="AA850" s="98"/>
    </row>
    <row r="851" spans="1:27" ht="24" hidden="1">
      <c r="A851" s="475"/>
      <c r="B851" s="867"/>
      <c r="C851" s="865"/>
      <c r="D851" s="865">
        <v>56086.243900000001</v>
      </c>
      <c r="E851" s="865" t="s">
        <v>2298</v>
      </c>
      <c r="F851" s="865"/>
      <c r="G851" s="599"/>
      <c r="H851" s="599"/>
      <c r="I851" s="878"/>
      <c r="J851" s="878"/>
      <c r="K851" s="878"/>
      <c r="L851" s="878"/>
      <c r="M851" s="878"/>
      <c r="N851" s="279" t="s">
        <v>218</v>
      </c>
      <c r="O851" s="279" t="s">
        <v>2421</v>
      </c>
      <c r="P851" s="76" t="s">
        <v>36</v>
      </c>
      <c r="Q851" s="434">
        <v>2</v>
      </c>
      <c r="R851" s="434">
        <v>30</v>
      </c>
      <c r="S851" s="279" t="s">
        <v>353</v>
      </c>
      <c r="T851" s="279">
        <v>5.1475</v>
      </c>
      <c r="U851" s="5">
        <f t="shared" si="66"/>
        <v>2.57375</v>
      </c>
      <c r="V851" s="588"/>
      <c r="W851" s="588"/>
      <c r="X851" s="590"/>
      <c r="Y851" s="590"/>
      <c r="Z851" s="356" t="s">
        <v>215</v>
      </c>
      <c r="AA851" s="98"/>
    </row>
    <row r="852" spans="1:27" ht="15" hidden="1" customHeight="1">
      <c r="A852" s="475"/>
      <c r="B852" s="866">
        <f>B848+1</f>
        <v>22</v>
      </c>
      <c r="C852" s="868" t="s">
        <v>1803</v>
      </c>
      <c r="D852" s="868">
        <v>59151.8626</v>
      </c>
      <c r="E852" s="868" t="s">
        <v>2299</v>
      </c>
      <c r="F852" s="868" t="s">
        <v>2423</v>
      </c>
      <c r="G852" s="832">
        <v>155.30000000000001</v>
      </c>
      <c r="H852" s="832"/>
      <c r="I852" s="882" t="s">
        <v>2423</v>
      </c>
      <c r="J852" s="882">
        <v>52.173894509999997</v>
      </c>
      <c r="K852" s="882"/>
      <c r="L852" s="882"/>
      <c r="M852" s="882">
        <f>G852+H852+J852+L852</f>
        <v>207.47389451000001</v>
      </c>
      <c r="N852" s="279" t="s">
        <v>2424</v>
      </c>
      <c r="O852" s="279" t="s">
        <v>2425</v>
      </c>
      <c r="P852" s="76" t="s">
        <v>36</v>
      </c>
      <c r="Q852" s="434" t="s">
        <v>2426</v>
      </c>
      <c r="R852" s="434">
        <v>10.934799999999999</v>
      </c>
      <c r="S852" s="279" t="s">
        <v>2427</v>
      </c>
      <c r="T852" s="279">
        <v>5.9348000000000001</v>
      </c>
      <c r="U852" s="5" t="s">
        <v>2426</v>
      </c>
      <c r="V852" s="877">
        <f>SUM(Q852:Q859)</f>
        <v>52.510300000000001</v>
      </c>
      <c r="W852" s="877">
        <f>SUM(T852:T859)</f>
        <v>161.97579999999999</v>
      </c>
      <c r="X852" s="589">
        <f>W852/V852</f>
        <v>3.084648154742974</v>
      </c>
      <c r="Y852" s="589">
        <f>W852/M852</f>
        <v>0.78070448517171365</v>
      </c>
      <c r="Z852" s="356" t="s">
        <v>215</v>
      </c>
      <c r="AA852" s="98"/>
    </row>
    <row r="853" spans="1:27" ht="15" hidden="1" customHeight="1">
      <c r="A853" s="475"/>
      <c r="B853" s="876"/>
      <c r="C853" s="872"/>
      <c r="D853" s="872">
        <v>59151.8626</v>
      </c>
      <c r="E853" s="872" t="s">
        <v>2300</v>
      </c>
      <c r="F853" s="872"/>
      <c r="G853" s="833"/>
      <c r="H853" s="833"/>
      <c r="I853" s="884"/>
      <c r="J853" s="884"/>
      <c r="K853" s="884"/>
      <c r="L853" s="884"/>
      <c r="M853" s="884"/>
      <c r="N853" s="279" t="s">
        <v>212</v>
      </c>
      <c r="O853" s="279" t="s">
        <v>2428</v>
      </c>
      <c r="P853" s="76" t="s">
        <v>36</v>
      </c>
      <c r="Q853" s="434">
        <v>1</v>
      </c>
      <c r="R853" s="434">
        <v>5.9318999999999997</v>
      </c>
      <c r="S853" s="279" t="s">
        <v>2429</v>
      </c>
      <c r="T853" s="279">
        <v>5.3548</v>
      </c>
      <c r="U853" s="5">
        <f t="shared" ref="U853:U858" si="67">T853/Q853</f>
        <v>5.3548</v>
      </c>
      <c r="V853" s="591"/>
      <c r="W853" s="591"/>
      <c r="X853" s="592"/>
      <c r="Y853" s="592"/>
      <c r="Z853" s="356" t="s">
        <v>215</v>
      </c>
      <c r="AA853" s="98"/>
    </row>
    <row r="854" spans="1:27" ht="15" hidden="1" customHeight="1">
      <c r="A854" s="475"/>
      <c r="B854" s="876"/>
      <c r="C854" s="872"/>
      <c r="D854" s="872">
        <v>59151.8626</v>
      </c>
      <c r="E854" s="872" t="s">
        <v>2300</v>
      </c>
      <c r="F854" s="872"/>
      <c r="G854" s="833"/>
      <c r="H854" s="833"/>
      <c r="I854" s="884"/>
      <c r="J854" s="884"/>
      <c r="K854" s="884"/>
      <c r="L854" s="884"/>
      <c r="M854" s="884"/>
      <c r="N854" s="279" t="s">
        <v>216</v>
      </c>
      <c r="O854" s="279" t="s">
        <v>2428</v>
      </c>
      <c r="P854" s="76" t="s">
        <v>36</v>
      </c>
      <c r="Q854" s="434">
        <v>3.5506000000000002</v>
      </c>
      <c r="R854" s="434">
        <v>21.7501</v>
      </c>
      <c r="S854" s="279" t="s">
        <v>2429</v>
      </c>
      <c r="T854" s="279">
        <v>19.8001</v>
      </c>
      <c r="U854" s="5">
        <f t="shared" si="67"/>
        <v>5.5765504421787861</v>
      </c>
      <c r="V854" s="591"/>
      <c r="W854" s="591"/>
      <c r="X854" s="592"/>
      <c r="Y854" s="592"/>
      <c r="Z854" s="356" t="s">
        <v>215</v>
      </c>
      <c r="AA854" s="98"/>
    </row>
    <row r="855" spans="1:27" ht="15" hidden="1" customHeight="1">
      <c r="A855" s="475"/>
      <c r="B855" s="876"/>
      <c r="C855" s="872"/>
      <c r="D855" s="872">
        <v>59151.8626</v>
      </c>
      <c r="E855" s="872" t="s">
        <v>2300</v>
      </c>
      <c r="F855" s="872"/>
      <c r="G855" s="833"/>
      <c r="H855" s="833"/>
      <c r="I855" s="884"/>
      <c r="J855" s="884"/>
      <c r="K855" s="884"/>
      <c r="L855" s="884"/>
      <c r="M855" s="884"/>
      <c r="N855" s="279" t="s">
        <v>2422</v>
      </c>
      <c r="O855" s="279" t="s">
        <v>2428</v>
      </c>
      <c r="P855" s="76" t="s">
        <v>36</v>
      </c>
      <c r="Q855" s="434">
        <v>6.0496999999999996</v>
      </c>
      <c r="R855" s="434">
        <v>47.220199999999998</v>
      </c>
      <c r="S855" s="279" t="s">
        <v>2429</v>
      </c>
      <c r="T855" s="279">
        <v>42.498100000000001</v>
      </c>
      <c r="U855" s="5">
        <f t="shared" si="67"/>
        <v>7.0248276774054919</v>
      </c>
      <c r="V855" s="591"/>
      <c r="W855" s="591"/>
      <c r="X855" s="592"/>
      <c r="Y855" s="592"/>
      <c r="Z855" s="356" t="s">
        <v>215</v>
      </c>
      <c r="AA855" s="98"/>
    </row>
    <row r="856" spans="1:27" ht="15" hidden="1" customHeight="1">
      <c r="A856" s="475"/>
      <c r="B856" s="876"/>
      <c r="C856" s="872"/>
      <c r="D856" s="872">
        <v>59151.8626</v>
      </c>
      <c r="E856" s="872" t="s">
        <v>2300</v>
      </c>
      <c r="F856" s="872"/>
      <c r="G856" s="833"/>
      <c r="H856" s="833"/>
      <c r="I856" s="884"/>
      <c r="J856" s="884"/>
      <c r="K856" s="884"/>
      <c r="L856" s="884"/>
      <c r="M856" s="884"/>
      <c r="N856" s="279" t="s">
        <v>218</v>
      </c>
      <c r="O856" s="279" t="s">
        <v>2428</v>
      </c>
      <c r="P856" s="76" t="s">
        <v>36</v>
      </c>
      <c r="Q856" s="434">
        <v>7.31</v>
      </c>
      <c r="R856" s="434">
        <v>57.051099999999998</v>
      </c>
      <c r="S856" s="279" t="s">
        <v>2429</v>
      </c>
      <c r="T856" s="279">
        <v>51.590299999999999</v>
      </c>
      <c r="U856" s="5">
        <f t="shared" si="67"/>
        <v>7.0574965800273599</v>
      </c>
      <c r="V856" s="591"/>
      <c r="W856" s="591"/>
      <c r="X856" s="592"/>
      <c r="Y856" s="592"/>
      <c r="Z856" s="356" t="s">
        <v>215</v>
      </c>
      <c r="AA856" s="98"/>
    </row>
    <row r="857" spans="1:27" ht="15" hidden="1" customHeight="1">
      <c r="A857" s="475"/>
      <c r="B857" s="876"/>
      <c r="C857" s="872"/>
      <c r="D857" s="872">
        <v>59151.8626</v>
      </c>
      <c r="E857" s="872" t="s">
        <v>2300</v>
      </c>
      <c r="F857" s="872"/>
      <c r="G857" s="833"/>
      <c r="H857" s="833"/>
      <c r="I857" s="884"/>
      <c r="J857" s="884"/>
      <c r="K857" s="884"/>
      <c r="L857" s="884"/>
      <c r="M857" s="884"/>
      <c r="N857" s="279" t="s">
        <v>2430</v>
      </c>
      <c r="O857" s="279" t="s">
        <v>2431</v>
      </c>
      <c r="P857" s="76" t="s">
        <v>36</v>
      </c>
      <c r="Q857" s="434">
        <v>15.6</v>
      </c>
      <c r="R857" s="434">
        <v>30.450163</v>
      </c>
      <c r="S857" s="279" t="s">
        <v>2429</v>
      </c>
      <c r="T857" s="279">
        <v>20.450099999999999</v>
      </c>
      <c r="U857" s="5">
        <f t="shared" si="67"/>
        <v>1.310903846153846</v>
      </c>
      <c r="V857" s="591"/>
      <c r="W857" s="591"/>
      <c r="X857" s="592"/>
      <c r="Y857" s="592"/>
      <c r="Z857" s="356" t="s">
        <v>215</v>
      </c>
      <c r="AA857" s="98"/>
    </row>
    <row r="858" spans="1:27" ht="24" hidden="1">
      <c r="A858" s="475"/>
      <c r="B858" s="876"/>
      <c r="C858" s="872"/>
      <c r="D858" s="872">
        <v>59151.8626</v>
      </c>
      <c r="E858" s="872" t="s">
        <v>2300</v>
      </c>
      <c r="F858" s="872"/>
      <c r="G858" s="833"/>
      <c r="H858" s="833"/>
      <c r="I858" s="884"/>
      <c r="J858" s="884"/>
      <c r="K858" s="884"/>
      <c r="L858" s="884"/>
      <c r="M858" s="884"/>
      <c r="N858" s="279" t="s">
        <v>2430</v>
      </c>
      <c r="O858" s="279" t="s">
        <v>2432</v>
      </c>
      <c r="P858" s="76" t="s">
        <v>36</v>
      </c>
      <c r="Q858" s="434">
        <v>19</v>
      </c>
      <c r="R858" s="434">
        <v>10.408799999999999</v>
      </c>
      <c r="S858" s="279" t="s">
        <v>2429</v>
      </c>
      <c r="T858" s="279">
        <v>9.8835999999999995</v>
      </c>
      <c r="U858" s="5">
        <f t="shared" si="67"/>
        <v>0.52018947368421053</v>
      </c>
      <c r="V858" s="591"/>
      <c r="W858" s="591"/>
      <c r="X858" s="592"/>
      <c r="Y858" s="592"/>
      <c r="Z858" s="356" t="s">
        <v>215</v>
      </c>
      <c r="AA858" s="98"/>
    </row>
    <row r="859" spans="1:27" ht="24" hidden="1">
      <c r="A859" s="475"/>
      <c r="B859" s="867"/>
      <c r="C859" s="869"/>
      <c r="D859" s="869">
        <v>59151.8626</v>
      </c>
      <c r="E859" s="869" t="s">
        <v>2300</v>
      </c>
      <c r="F859" s="869"/>
      <c r="G859" s="834"/>
      <c r="H859" s="834"/>
      <c r="I859" s="883"/>
      <c r="J859" s="883"/>
      <c r="K859" s="883"/>
      <c r="L859" s="883"/>
      <c r="M859" s="883"/>
      <c r="N859" s="279" t="s">
        <v>2433</v>
      </c>
      <c r="O859" s="279" t="s">
        <v>2428</v>
      </c>
      <c r="P859" s="76" t="s">
        <v>36</v>
      </c>
      <c r="Q859" s="434" t="s">
        <v>2426</v>
      </c>
      <c r="R859" s="434">
        <v>8.6852800000000006</v>
      </c>
      <c r="S859" s="279" t="s">
        <v>2434</v>
      </c>
      <c r="T859" s="279">
        <v>6.4640000000000004</v>
      </c>
      <c r="U859" s="5" t="s">
        <v>2426</v>
      </c>
      <c r="V859" s="588"/>
      <c r="W859" s="588"/>
      <c r="X859" s="590"/>
      <c r="Y859" s="590"/>
      <c r="Z859" s="356" t="s">
        <v>215</v>
      </c>
      <c r="AA859" s="98"/>
    </row>
    <row r="860" spans="1:27" ht="24" hidden="1">
      <c r="A860" s="475"/>
      <c r="B860" s="364">
        <f>B852+1</f>
        <v>23</v>
      </c>
      <c r="C860" s="17" t="s">
        <v>2435</v>
      </c>
      <c r="D860" s="322">
        <v>24467.8367</v>
      </c>
      <c r="E860" s="322" t="s">
        <v>2436</v>
      </c>
      <c r="F860" s="278" t="s">
        <v>810</v>
      </c>
      <c r="G860" s="313">
        <v>26.1205</v>
      </c>
      <c r="H860" s="313"/>
      <c r="I860" s="279" t="s">
        <v>1804</v>
      </c>
      <c r="J860" s="279">
        <v>40.734900000000003</v>
      </c>
      <c r="K860" s="279"/>
      <c r="L860" s="279"/>
      <c r="M860" s="279">
        <v>66.855400000000003</v>
      </c>
      <c r="N860" s="279"/>
      <c r="O860" s="279"/>
      <c r="P860" s="279"/>
      <c r="Q860" s="434"/>
      <c r="R860" s="434"/>
      <c r="S860" s="279"/>
      <c r="T860" s="279"/>
      <c r="U860" s="5"/>
      <c r="V860" s="24"/>
      <c r="W860" s="24"/>
      <c r="X860" s="24"/>
      <c r="Y860" s="24"/>
      <c r="Z860" s="356"/>
      <c r="AA860" s="98"/>
    </row>
    <row r="861" spans="1:27" ht="24" hidden="1">
      <c r="A861" s="475"/>
      <c r="B861" s="866">
        <f>B860+1</f>
        <v>24</v>
      </c>
      <c r="C861" s="868" t="s">
        <v>2437</v>
      </c>
      <c r="D861" s="868">
        <v>48006.4614</v>
      </c>
      <c r="E861" s="868" t="s">
        <v>2301</v>
      </c>
      <c r="F861" s="868" t="s">
        <v>2438</v>
      </c>
      <c r="G861" s="832">
        <v>111.57769999999999</v>
      </c>
      <c r="H861" s="832"/>
      <c r="I861" s="868" t="s">
        <v>2439</v>
      </c>
      <c r="J861" s="868">
        <v>92.157300000000006</v>
      </c>
      <c r="K861" s="868"/>
      <c r="L861" s="868"/>
      <c r="M861" s="868">
        <v>203.73500000000001</v>
      </c>
      <c r="N861" s="279" t="s">
        <v>1806</v>
      </c>
      <c r="O861" s="279" t="s">
        <v>1807</v>
      </c>
      <c r="P861" s="76" t="s">
        <v>36</v>
      </c>
      <c r="Q861" s="434">
        <v>47.8202</v>
      </c>
      <c r="R861" s="434">
        <v>50</v>
      </c>
      <c r="S861" s="279" t="s">
        <v>1808</v>
      </c>
      <c r="T861" s="279">
        <v>38.865299999999998</v>
      </c>
      <c r="U861" s="5">
        <f>T861/Q861</f>
        <v>0.81273813158456043</v>
      </c>
      <c r="V861" s="877">
        <f>SUM(Q861:Q862)</f>
        <v>147.8202</v>
      </c>
      <c r="W861" s="877">
        <f>SUM(T861:T862)</f>
        <v>98.865299999999991</v>
      </c>
      <c r="X861" s="589">
        <f>W861/V861</f>
        <v>0.66882131129574973</v>
      </c>
      <c r="Y861" s="589">
        <f>W861/M861</f>
        <v>0.48526419122880204</v>
      </c>
      <c r="Z861" s="356" t="s">
        <v>43</v>
      </c>
      <c r="AA861" s="98"/>
    </row>
    <row r="862" spans="1:27" ht="15" customHeight="1">
      <c r="A862" s="475"/>
      <c r="B862" s="867"/>
      <c r="C862" s="869"/>
      <c r="D862" s="869">
        <v>48006.4614</v>
      </c>
      <c r="E862" s="869" t="s">
        <v>2302</v>
      </c>
      <c r="F862" s="869"/>
      <c r="G862" s="834"/>
      <c r="H862" s="834"/>
      <c r="I862" s="869"/>
      <c r="J862" s="869"/>
      <c r="K862" s="869"/>
      <c r="L862" s="869"/>
      <c r="M862" s="869"/>
      <c r="N862" s="279" t="s">
        <v>1809</v>
      </c>
      <c r="O862" s="279" t="s">
        <v>1810</v>
      </c>
      <c r="P862" s="76" t="s">
        <v>27</v>
      </c>
      <c r="Q862" s="434">
        <v>100</v>
      </c>
      <c r="R862" s="434">
        <v>120</v>
      </c>
      <c r="S862" s="279" t="s">
        <v>1811</v>
      </c>
      <c r="T862" s="279">
        <v>60</v>
      </c>
      <c r="U862" s="5">
        <f>T862/Q862</f>
        <v>0.6</v>
      </c>
      <c r="V862" s="588"/>
      <c r="W862" s="588"/>
      <c r="X862" s="590"/>
      <c r="Y862" s="590"/>
      <c r="Z862" s="356" t="s">
        <v>43</v>
      </c>
      <c r="AA862" s="98"/>
    </row>
    <row r="863" spans="1:27" ht="24" hidden="1">
      <c r="A863" s="475"/>
      <c r="B863" s="364">
        <f>B861+1</f>
        <v>25</v>
      </c>
      <c r="C863" s="17" t="s">
        <v>2440</v>
      </c>
      <c r="D863" s="322">
        <v>27767.25</v>
      </c>
      <c r="E863" s="322" t="s">
        <v>2303</v>
      </c>
      <c r="F863" s="278" t="s">
        <v>250</v>
      </c>
      <c r="G863" s="313">
        <f>22353*0.003</f>
        <v>67.058999999999997</v>
      </c>
      <c r="H863" s="313">
        <f>200*0.004</f>
        <v>0.8</v>
      </c>
      <c r="I863" s="279" t="s">
        <v>250</v>
      </c>
      <c r="J863" s="279">
        <v>45</v>
      </c>
      <c r="K863" s="279" t="s">
        <v>1812</v>
      </c>
      <c r="L863" s="279">
        <v>45</v>
      </c>
      <c r="M863" s="279">
        <v>22643</v>
      </c>
      <c r="N863" s="279"/>
      <c r="O863" s="279"/>
      <c r="P863" s="279"/>
      <c r="Q863" s="434"/>
      <c r="R863" s="434"/>
      <c r="S863" s="279"/>
      <c r="T863" s="279"/>
      <c r="U863" s="356"/>
      <c r="V863" s="24"/>
      <c r="W863" s="24"/>
      <c r="X863" s="24"/>
      <c r="Y863" s="24"/>
      <c r="Z863" s="356"/>
      <c r="AA863" s="98"/>
    </row>
    <row r="864" spans="1:27" ht="108" hidden="1">
      <c r="A864" s="475"/>
      <c r="B864" s="775">
        <f>B863+1</f>
        <v>26</v>
      </c>
      <c r="C864" s="797" t="s">
        <v>1813</v>
      </c>
      <c r="D864" s="863">
        <v>54279.9281560538</v>
      </c>
      <c r="E864" s="863" t="s">
        <v>2304</v>
      </c>
      <c r="F864" s="797" t="s">
        <v>39</v>
      </c>
      <c r="G864" s="886">
        <v>308.66980000000001</v>
      </c>
      <c r="H864" s="597"/>
      <c r="I864" s="797" t="s">
        <v>668</v>
      </c>
      <c r="J864" s="889">
        <v>35.093400000000003</v>
      </c>
      <c r="K864" s="797" t="s">
        <v>1108</v>
      </c>
      <c r="L864" s="797" t="s">
        <v>1108</v>
      </c>
      <c r="M864" s="889">
        <f>J864+G864</f>
        <v>343.76319999999998</v>
      </c>
      <c r="N864" s="356" t="s">
        <v>1634</v>
      </c>
      <c r="O864" s="356" t="s">
        <v>2030</v>
      </c>
      <c r="P864" s="76" t="s">
        <v>36</v>
      </c>
      <c r="Q864" s="434">
        <v>7</v>
      </c>
      <c r="R864" s="434">
        <v>12.2</v>
      </c>
      <c r="S864" s="356" t="s">
        <v>1814</v>
      </c>
      <c r="T864" s="356">
        <v>6.9</v>
      </c>
      <c r="U864" s="5">
        <f>T864/Q864</f>
        <v>0.98571428571428577</v>
      </c>
      <c r="V864" s="587">
        <f>SUM(Q864:Q871)</f>
        <v>31.5</v>
      </c>
      <c r="W864" s="587">
        <f>SUM(T864:T871)</f>
        <v>8.1203000000000003</v>
      </c>
      <c r="X864" s="589">
        <f>W864/V864</f>
        <v>0.25778730158730162</v>
      </c>
      <c r="Y864" s="589">
        <f>W864/M864</f>
        <v>2.3621783832591739E-2</v>
      </c>
      <c r="Z864" s="356" t="s">
        <v>43</v>
      </c>
      <c r="AA864" s="98"/>
    </row>
    <row r="865" spans="1:27" ht="48" hidden="1">
      <c r="A865" s="475"/>
      <c r="B865" s="775"/>
      <c r="C865" s="797"/>
      <c r="D865" s="864"/>
      <c r="E865" s="864" t="s">
        <v>2304</v>
      </c>
      <c r="F865" s="797"/>
      <c r="G865" s="887"/>
      <c r="H865" s="598"/>
      <c r="I865" s="797"/>
      <c r="J865" s="889"/>
      <c r="K865" s="797"/>
      <c r="L865" s="797"/>
      <c r="M865" s="889"/>
      <c r="N865" s="356" t="s">
        <v>1815</v>
      </c>
      <c r="O865" s="356" t="s">
        <v>2031</v>
      </c>
      <c r="P865" s="76" t="s">
        <v>36</v>
      </c>
      <c r="Q865" s="434">
        <v>1.2</v>
      </c>
      <c r="R865" s="434">
        <v>6.5</v>
      </c>
      <c r="S865" s="356" t="s">
        <v>1816</v>
      </c>
      <c r="T865" s="356" t="s">
        <v>1816</v>
      </c>
      <c r="U865" s="356"/>
      <c r="V865" s="591"/>
      <c r="W865" s="591"/>
      <c r="X865" s="592"/>
      <c r="Y865" s="592"/>
      <c r="Z865" s="356" t="s">
        <v>43</v>
      </c>
      <c r="AA865" s="98"/>
    </row>
    <row r="866" spans="1:27" ht="48" hidden="1">
      <c r="A866" s="475"/>
      <c r="B866" s="775"/>
      <c r="C866" s="797"/>
      <c r="D866" s="864"/>
      <c r="E866" s="864" t="s">
        <v>2304</v>
      </c>
      <c r="F866" s="797"/>
      <c r="G866" s="887"/>
      <c r="H866" s="598"/>
      <c r="I866" s="797"/>
      <c r="J866" s="889"/>
      <c r="K866" s="797"/>
      <c r="L866" s="797"/>
      <c r="M866" s="889"/>
      <c r="N866" s="356" t="s">
        <v>1817</v>
      </c>
      <c r="O866" s="356" t="s">
        <v>2032</v>
      </c>
      <c r="P866" s="76" t="s">
        <v>36</v>
      </c>
      <c r="Q866" s="434">
        <v>4</v>
      </c>
      <c r="R866" s="434">
        <v>7</v>
      </c>
      <c r="S866" s="356" t="s">
        <v>1816</v>
      </c>
      <c r="T866" s="356" t="s">
        <v>1816</v>
      </c>
      <c r="U866" s="356"/>
      <c r="V866" s="591"/>
      <c r="W866" s="591"/>
      <c r="X866" s="592"/>
      <c r="Y866" s="592"/>
      <c r="Z866" s="356" t="s">
        <v>43</v>
      </c>
      <c r="AA866" s="98"/>
    </row>
    <row r="867" spans="1:27" ht="60" hidden="1">
      <c r="A867" s="475"/>
      <c r="B867" s="775"/>
      <c r="C867" s="797"/>
      <c r="D867" s="864"/>
      <c r="E867" s="864" t="s">
        <v>2304</v>
      </c>
      <c r="F867" s="797"/>
      <c r="G867" s="887"/>
      <c r="H867" s="598"/>
      <c r="I867" s="797"/>
      <c r="J867" s="889"/>
      <c r="K867" s="797"/>
      <c r="L867" s="797"/>
      <c r="M867" s="889"/>
      <c r="N867" s="356" t="s">
        <v>1240</v>
      </c>
      <c r="O867" s="356" t="s">
        <v>2033</v>
      </c>
      <c r="P867" s="76" t="s">
        <v>36</v>
      </c>
      <c r="Q867" s="434">
        <v>2.5</v>
      </c>
      <c r="R867" s="434">
        <v>5</v>
      </c>
      <c r="S867" s="356" t="s">
        <v>1816</v>
      </c>
      <c r="T867" s="356" t="s">
        <v>1816</v>
      </c>
      <c r="U867" s="356"/>
      <c r="V867" s="591"/>
      <c r="W867" s="591"/>
      <c r="X867" s="592"/>
      <c r="Y867" s="592"/>
      <c r="Z867" s="356" t="s">
        <v>43</v>
      </c>
      <c r="AA867" s="98"/>
    </row>
    <row r="868" spans="1:27" ht="15" hidden="1" customHeight="1">
      <c r="A868" s="475"/>
      <c r="B868" s="775"/>
      <c r="C868" s="797"/>
      <c r="D868" s="864"/>
      <c r="E868" s="864" t="s">
        <v>2304</v>
      </c>
      <c r="F868" s="797"/>
      <c r="G868" s="887"/>
      <c r="H868" s="598"/>
      <c r="I868" s="797"/>
      <c r="J868" s="889"/>
      <c r="K868" s="797"/>
      <c r="L868" s="797"/>
      <c r="M868" s="889"/>
      <c r="N868" s="797" t="s">
        <v>1817</v>
      </c>
      <c r="O868" s="797" t="s">
        <v>1818</v>
      </c>
      <c r="P868" s="76" t="s">
        <v>36</v>
      </c>
      <c r="Q868" s="434">
        <v>1.8</v>
      </c>
      <c r="R868" s="434">
        <v>2.4</v>
      </c>
      <c r="S868" s="356" t="s">
        <v>1814</v>
      </c>
      <c r="T868" s="356">
        <v>1.2202999999999999</v>
      </c>
      <c r="U868" s="5">
        <f>T868/Q868</f>
        <v>0.67794444444444435</v>
      </c>
      <c r="V868" s="591"/>
      <c r="W868" s="591"/>
      <c r="X868" s="592"/>
      <c r="Y868" s="592"/>
      <c r="Z868" s="356" t="s">
        <v>43</v>
      </c>
      <c r="AA868" s="98"/>
    </row>
    <row r="869" spans="1:27" ht="15" customHeight="1">
      <c r="A869" s="475"/>
      <c r="B869" s="775"/>
      <c r="C869" s="797"/>
      <c r="D869" s="864"/>
      <c r="E869" s="864" t="s">
        <v>2304</v>
      </c>
      <c r="F869" s="797"/>
      <c r="G869" s="887"/>
      <c r="H869" s="598"/>
      <c r="I869" s="797"/>
      <c r="J869" s="889"/>
      <c r="K869" s="797"/>
      <c r="L869" s="797"/>
      <c r="M869" s="889"/>
      <c r="N869" s="863"/>
      <c r="O869" s="863"/>
      <c r="P869" s="76" t="s">
        <v>27</v>
      </c>
      <c r="Q869" s="434"/>
      <c r="R869" s="434">
        <v>2.4</v>
      </c>
      <c r="S869" s="356" t="s">
        <v>1816</v>
      </c>
      <c r="T869" s="356" t="s">
        <v>1816</v>
      </c>
      <c r="U869" s="356"/>
      <c r="V869" s="591"/>
      <c r="W869" s="591"/>
      <c r="X869" s="592"/>
      <c r="Y869" s="592"/>
      <c r="Z869" s="356" t="s">
        <v>43</v>
      </c>
      <c r="AA869" s="98"/>
    </row>
    <row r="870" spans="1:27" ht="15" hidden="1" customHeight="1">
      <c r="A870" s="475"/>
      <c r="B870" s="775"/>
      <c r="C870" s="797"/>
      <c r="D870" s="864"/>
      <c r="E870" s="864" t="s">
        <v>2304</v>
      </c>
      <c r="F870" s="797"/>
      <c r="G870" s="887"/>
      <c r="H870" s="598"/>
      <c r="I870" s="797"/>
      <c r="J870" s="889"/>
      <c r="K870" s="797"/>
      <c r="L870" s="797"/>
      <c r="M870" s="889"/>
      <c r="N870" s="797" t="s">
        <v>1819</v>
      </c>
      <c r="O870" s="797" t="s">
        <v>1820</v>
      </c>
      <c r="P870" s="76" t="s">
        <v>36</v>
      </c>
      <c r="Q870" s="434">
        <v>15</v>
      </c>
      <c r="R870" s="434">
        <v>22.3</v>
      </c>
      <c r="S870" s="356" t="s">
        <v>1816</v>
      </c>
      <c r="T870" s="356" t="s">
        <v>1816</v>
      </c>
      <c r="U870" s="356"/>
      <c r="V870" s="591"/>
      <c r="W870" s="591"/>
      <c r="X870" s="592"/>
      <c r="Y870" s="592"/>
      <c r="Z870" s="356" t="s">
        <v>43</v>
      </c>
      <c r="AA870" s="98"/>
    </row>
    <row r="871" spans="1:27" ht="15" customHeight="1">
      <c r="A871" s="475"/>
      <c r="B871" s="775"/>
      <c r="C871" s="797"/>
      <c r="D871" s="865"/>
      <c r="E871" s="865" t="s">
        <v>2304</v>
      </c>
      <c r="F871" s="797"/>
      <c r="G871" s="888"/>
      <c r="H871" s="599"/>
      <c r="I871" s="797"/>
      <c r="J871" s="889"/>
      <c r="K871" s="797"/>
      <c r="L871" s="797"/>
      <c r="M871" s="889"/>
      <c r="N871" s="797"/>
      <c r="O871" s="863"/>
      <c r="P871" s="76" t="s">
        <v>27</v>
      </c>
      <c r="Q871" s="434"/>
      <c r="R871" s="434">
        <v>8.5</v>
      </c>
      <c r="S871" s="356" t="s">
        <v>1816</v>
      </c>
      <c r="T871" s="356" t="s">
        <v>1816</v>
      </c>
      <c r="U871" s="356"/>
      <c r="V871" s="588"/>
      <c r="W871" s="588"/>
      <c r="X871" s="590"/>
      <c r="Y871" s="590"/>
      <c r="Z871" s="356" t="s">
        <v>43</v>
      </c>
      <c r="AA871" s="98"/>
    </row>
    <row r="872" spans="1:27" ht="24" hidden="1">
      <c r="A872" s="475"/>
      <c r="B872" s="364">
        <f>B864+1</f>
        <v>27</v>
      </c>
      <c r="C872" s="17" t="s">
        <v>2441</v>
      </c>
      <c r="D872" s="365">
        <v>58101.191599999998</v>
      </c>
      <c r="E872" s="365" t="s">
        <v>2305</v>
      </c>
      <c r="F872" s="278"/>
      <c r="G872" s="313"/>
      <c r="H872" s="313"/>
      <c r="I872" s="356" t="s">
        <v>2442</v>
      </c>
      <c r="J872" s="356">
        <v>26</v>
      </c>
      <c r="K872" s="279"/>
      <c r="L872" s="279"/>
      <c r="M872" s="279"/>
      <c r="N872" s="279"/>
      <c r="O872" s="279"/>
      <c r="P872" s="279"/>
      <c r="Q872" s="434"/>
      <c r="R872" s="434"/>
      <c r="S872" s="279"/>
      <c r="T872" s="279"/>
      <c r="U872" s="356"/>
      <c r="V872" s="24"/>
      <c r="W872" s="24"/>
      <c r="X872" s="24"/>
      <c r="Y872" s="24"/>
      <c r="Z872" s="356"/>
      <c r="AA872" s="98"/>
    </row>
    <row r="873" spans="1:27" ht="24" hidden="1">
      <c r="A873" s="475"/>
      <c r="B873" s="364">
        <f>B872+1</f>
        <v>28</v>
      </c>
      <c r="C873" s="17" t="s">
        <v>2443</v>
      </c>
      <c r="D873" s="365">
        <v>70330.009699999995</v>
      </c>
      <c r="E873" s="365" t="s">
        <v>2306</v>
      </c>
      <c r="F873" s="278"/>
      <c r="G873" s="313"/>
      <c r="H873" s="313"/>
      <c r="I873" s="356" t="s">
        <v>245</v>
      </c>
      <c r="J873" s="356">
        <v>17.902100000000001</v>
      </c>
      <c r="K873" s="279"/>
      <c r="L873" s="279"/>
      <c r="M873" s="279"/>
      <c r="N873" s="279"/>
      <c r="O873" s="279"/>
      <c r="P873" s="279"/>
      <c r="Q873" s="434"/>
      <c r="R873" s="434"/>
      <c r="S873" s="279"/>
      <c r="T873" s="279"/>
      <c r="U873" s="356"/>
      <c r="V873" s="24"/>
      <c r="W873" s="24"/>
      <c r="X873" s="24"/>
      <c r="Y873" s="24"/>
      <c r="Z873" s="356"/>
      <c r="AA873" s="98"/>
    </row>
    <row r="874" spans="1:27" ht="24" hidden="1">
      <c r="A874" s="475"/>
      <c r="B874" s="866">
        <f>B873+1</f>
        <v>29</v>
      </c>
      <c r="C874" s="868" t="s">
        <v>1821</v>
      </c>
      <c r="D874" s="868">
        <v>83045.33</v>
      </c>
      <c r="E874" s="868" t="s">
        <v>2307</v>
      </c>
      <c r="F874" s="868" t="s">
        <v>2444</v>
      </c>
      <c r="G874" s="832">
        <v>219.8064</v>
      </c>
      <c r="H874" s="832"/>
      <c r="I874" s="868" t="s">
        <v>2445</v>
      </c>
      <c r="J874" s="868">
        <v>182</v>
      </c>
      <c r="K874" s="868"/>
      <c r="L874" s="868"/>
      <c r="M874" s="868">
        <v>401.8064</v>
      </c>
      <c r="N874" s="279" t="s">
        <v>1283</v>
      </c>
      <c r="O874" s="279" t="s">
        <v>1822</v>
      </c>
      <c r="P874" s="76" t="s">
        <v>36</v>
      </c>
      <c r="Q874" s="434">
        <v>209.40791800000002</v>
      </c>
      <c r="R874" s="434">
        <v>2094.0791800000002</v>
      </c>
      <c r="S874" s="279" t="s">
        <v>1823</v>
      </c>
      <c r="T874" s="279">
        <v>181.64209656899999</v>
      </c>
      <c r="U874" s="356">
        <v>0.86740796768248263</v>
      </c>
      <c r="V874" s="877">
        <f>SUM(Q874:Q875)</f>
        <v>1109.4079180000001</v>
      </c>
      <c r="W874" s="877">
        <f>SUM(T874:T875)</f>
        <v>386.45375156900002</v>
      </c>
      <c r="X874" s="589">
        <f>W874/V874</f>
        <v>0.34834234126044877</v>
      </c>
      <c r="Y874" s="589">
        <f>W874/M874</f>
        <v>0.96179093107775293</v>
      </c>
      <c r="Z874" s="356" t="s">
        <v>148</v>
      </c>
      <c r="AA874" s="98"/>
    </row>
    <row r="875" spans="1:27" ht="15" hidden="1" customHeight="1">
      <c r="A875" s="475"/>
      <c r="B875" s="867"/>
      <c r="C875" s="869"/>
      <c r="D875" s="869">
        <v>52003.839999999997</v>
      </c>
      <c r="E875" s="869" t="s">
        <v>2307</v>
      </c>
      <c r="F875" s="869"/>
      <c r="G875" s="834"/>
      <c r="H875" s="834"/>
      <c r="I875" s="869"/>
      <c r="J875" s="869"/>
      <c r="K875" s="869"/>
      <c r="L875" s="869"/>
      <c r="M875" s="869"/>
      <c r="N875" s="279" t="s">
        <v>1824</v>
      </c>
      <c r="O875" s="279" t="s">
        <v>1825</v>
      </c>
      <c r="P875" s="76" t="s">
        <v>36</v>
      </c>
      <c r="Q875" s="434">
        <v>900</v>
      </c>
      <c r="R875" s="434">
        <v>2322.9193593044697</v>
      </c>
      <c r="S875" s="279" t="s">
        <v>1649</v>
      </c>
      <c r="T875" s="279">
        <v>204.811655</v>
      </c>
      <c r="U875" s="356">
        <v>0.22756850555555555</v>
      </c>
      <c r="V875" s="588"/>
      <c r="W875" s="588"/>
      <c r="X875" s="590"/>
      <c r="Y875" s="590"/>
      <c r="Z875" s="356" t="s">
        <v>148</v>
      </c>
      <c r="AA875" s="98"/>
    </row>
    <row r="876" spans="1:27" ht="36" hidden="1">
      <c r="A876" s="475"/>
      <c r="B876" s="364">
        <f>B874+1</f>
        <v>30</v>
      </c>
      <c r="C876" s="17" t="s">
        <v>1826</v>
      </c>
      <c r="D876" s="17">
        <v>52003.839999999997</v>
      </c>
      <c r="E876" s="17" t="s">
        <v>2307</v>
      </c>
      <c r="F876" s="356" t="s">
        <v>245</v>
      </c>
      <c r="G876" s="313">
        <v>137</v>
      </c>
      <c r="H876" s="313"/>
      <c r="I876" s="356"/>
      <c r="J876" s="356"/>
      <c r="K876" s="434"/>
      <c r="L876" s="356"/>
      <c r="M876" s="356">
        <f>SUM(G876,H876,J876,L876)</f>
        <v>137</v>
      </c>
      <c r="N876" s="434" t="s">
        <v>2446</v>
      </c>
      <c r="O876" s="356" t="s">
        <v>2447</v>
      </c>
      <c r="P876" s="76" t="s">
        <v>36</v>
      </c>
      <c r="Q876" s="434">
        <v>120</v>
      </c>
      <c r="R876" s="434">
        <v>206</v>
      </c>
      <c r="S876" s="356" t="s">
        <v>2448</v>
      </c>
      <c r="T876" s="356">
        <v>206</v>
      </c>
      <c r="U876" s="5">
        <f>T876/Q876</f>
        <v>1.7166666666666666</v>
      </c>
      <c r="V876" s="24">
        <f>Q876</f>
        <v>120</v>
      </c>
      <c r="W876" s="24">
        <f>T876</f>
        <v>206</v>
      </c>
      <c r="X876" s="27">
        <f>W876/V876</f>
        <v>1.7166666666666666</v>
      </c>
      <c r="Y876" s="27">
        <f>W876/M876</f>
        <v>1.5036496350364963</v>
      </c>
      <c r="Z876" s="356" t="s">
        <v>488</v>
      </c>
      <c r="AA876" s="98"/>
    </row>
    <row r="877" spans="1:27">
      <c r="A877" s="475"/>
      <c r="B877" s="866">
        <f>B876+1</f>
        <v>31</v>
      </c>
      <c r="C877" s="868" t="s">
        <v>2449</v>
      </c>
      <c r="D877" s="868">
        <v>57251.410900000003</v>
      </c>
      <c r="E877" s="868" t="s">
        <v>2308</v>
      </c>
      <c r="F877" s="868"/>
      <c r="G877" s="832"/>
      <c r="H877" s="832"/>
      <c r="I877" s="868" t="s">
        <v>241</v>
      </c>
      <c r="J877" s="868">
        <f>674.91/4</f>
        <v>168.72749999999999</v>
      </c>
      <c r="K877" s="868"/>
      <c r="L877" s="868"/>
      <c r="M877" s="868">
        <f>SUM(L877,J877,G877,H877)</f>
        <v>168.72749999999999</v>
      </c>
      <c r="N877" s="356" t="s">
        <v>2450</v>
      </c>
      <c r="O877" s="356" t="s">
        <v>2451</v>
      </c>
      <c r="P877" s="76" t="s">
        <v>27</v>
      </c>
      <c r="Q877" s="434">
        <v>0.84183799999999998</v>
      </c>
      <c r="R877" s="434">
        <v>0.84183799999999998</v>
      </c>
      <c r="S877" s="356"/>
      <c r="T877" s="356"/>
      <c r="U877" s="356"/>
      <c r="V877" s="597">
        <f>SUM(Q877:Q886)</f>
        <v>12.167706000000001</v>
      </c>
      <c r="W877" s="597">
        <f>SUM(T877:T886)</f>
        <v>5.9320509999999995</v>
      </c>
      <c r="X877" s="589">
        <f>W877/V877</f>
        <v>0.48752418902955075</v>
      </c>
      <c r="Y877" s="589">
        <f>W877/M877</f>
        <v>3.515758249248048E-2</v>
      </c>
      <c r="Z877" s="356" t="s">
        <v>159</v>
      </c>
      <c r="AA877" s="98"/>
    </row>
    <row r="878" spans="1:27">
      <c r="A878" s="475"/>
      <c r="B878" s="876"/>
      <c r="C878" s="872"/>
      <c r="D878" s="872">
        <v>57251.410900000003</v>
      </c>
      <c r="E878" s="872" t="s">
        <v>2054</v>
      </c>
      <c r="F878" s="872"/>
      <c r="G878" s="833"/>
      <c r="H878" s="833"/>
      <c r="I878" s="872"/>
      <c r="J878" s="872"/>
      <c r="K878" s="872"/>
      <c r="L878" s="872"/>
      <c r="M878" s="872"/>
      <c r="N878" s="356" t="s">
        <v>2450</v>
      </c>
      <c r="O878" s="356" t="s">
        <v>2452</v>
      </c>
      <c r="P878" s="76" t="s">
        <v>27</v>
      </c>
      <c r="Q878" s="434">
        <v>0.49677700000000002</v>
      </c>
      <c r="R878" s="434">
        <v>0.49677700000000002</v>
      </c>
      <c r="S878" s="356"/>
      <c r="T878" s="356"/>
      <c r="U878" s="356"/>
      <c r="V878" s="598"/>
      <c r="W878" s="598"/>
      <c r="X878" s="592"/>
      <c r="Y878" s="592"/>
      <c r="Z878" s="356" t="s">
        <v>159</v>
      </c>
      <c r="AA878" s="98"/>
    </row>
    <row r="879" spans="1:27">
      <c r="A879" s="475"/>
      <c r="B879" s="876"/>
      <c r="C879" s="872"/>
      <c r="D879" s="872">
        <v>57251.410900000003</v>
      </c>
      <c r="E879" s="872" t="s">
        <v>2054</v>
      </c>
      <c r="F879" s="872"/>
      <c r="G879" s="833"/>
      <c r="H879" s="833"/>
      <c r="I879" s="872"/>
      <c r="J879" s="872"/>
      <c r="K879" s="872"/>
      <c r="L879" s="872"/>
      <c r="M879" s="872"/>
      <c r="N879" s="356" t="s">
        <v>2450</v>
      </c>
      <c r="O879" s="356" t="s">
        <v>2453</v>
      </c>
      <c r="P879" s="76" t="s">
        <v>27</v>
      </c>
      <c r="Q879" s="434">
        <v>0.67023599999999994</v>
      </c>
      <c r="R879" s="434">
        <v>0.67023599999999994</v>
      </c>
      <c r="S879" s="356"/>
      <c r="T879" s="356"/>
      <c r="U879" s="356"/>
      <c r="V879" s="598"/>
      <c r="W879" s="598"/>
      <c r="X879" s="592"/>
      <c r="Y879" s="592"/>
      <c r="Z879" s="356" t="s">
        <v>159</v>
      </c>
      <c r="AA879" s="98"/>
    </row>
    <row r="880" spans="1:27">
      <c r="A880" s="475"/>
      <c r="B880" s="876"/>
      <c r="C880" s="872"/>
      <c r="D880" s="872">
        <v>57251.410900000003</v>
      </c>
      <c r="E880" s="872" t="s">
        <v>2054</v>
      </c>
      <c r="F880" s="872"/>
      <c r="G880" s="833"/>
      <c r="H880" s="833"/>
      <c r="I880" s="872"/>
      <c r="J880" s="872"/>
      <c r="K880" s="872"/>
      <c r="L880" s="872"/>
      <c r="M880" s="872"/>
      <c r="N880" s="356" t="s">
        <v>2450</v>
      </c>
      <c r="O880" s="356" t="s">
        <v>2454</v>
      </c>
      <c r="P880" s="76" t="s">
        <v>27</v>
      </c>
      <c r="Q880" s="434">
        <v>1.1298549999999998</v>
      </c>
      <c r="R880" s="434">
        <v>1.1298549999999998</v>
      </c>
      <c r="S880" s="356"/>
      <c r="T880" s="356"/>
      <c r="U880" s="356"/>
      <c r="V880" s="598"/>
      <c r="W880" s="598"/>
      <c r="X880" s="592"/>
      <c r="Y880" s="592"/>
      <c r="Z880" s="356" t="s">
        <v>159</v>
      </c>
      <c r="AA880" s="98"/>
    </row>
    <row r="881" spans="1:27">
      <c r="A881" s="475"/>
      <c r="B881" s="876"/>
      <c r="C881" s="872"/>
      <c r="D881" s="872">
        <v>57251.410900000003</v>
      </c>
      <c r="E881" s="872" t="s">
        <v>2054</v>
      </c>
      <c r="F881" s="872"/>
      <c r="G881" s="833"/>
      <c r="H881" s="833"/>
      <c r="I881" s="872"/>
      <c r="J881" s="872"/>
      <c r="K881" s="872"/>
      <c r="L881" s="872"/>
      <c r="M881" s="872"/>
      <c r="N881" s="356" t="s">
        <v>2450</v>
      </c>
      <c r="O881" s="356" t="s">
        <v>2455</v>
      </c>
      <c r="P881" s="76" t="s">
        <v>27</v>
      </c>
      <c r="Q881" s="434">
        <v>0.79769999999999996</v>
      </c>
      <c r="R881" s="434">
        <v>0.79769999999999996</v>
      </c>
      <c r="S881" s="356"/>
      <c r="T881" s="356"/>
      <c r="U881" s="356"/>
      <c r="V881" s="598"/>
      <c r="W881" s="598"/>
      <c r="X881" s="592"/>
      <c r="Y881" s="592"/>
      <c r="Z881" s="356" t="s">
        <v>159</v>
      </c>
      <c r="AA881" s="98"/>
    </row>
    <row r="882" spans="1:27">
      <c r="A882" s="475"/>
      <c r="B882" s="876"/>
      <c r="C882" s="872"/>
      <c r="D882" s="872">
        <v>57251.410900000003</v>
      </c>
      <c r="E882" s="872" t="s">
        <v>2054</v>
      </c>
      <c r="F882" s="872"/>
      <c r="G882" s="833"/>
      <c r="H882" s="833"/>
      <c r="I882" s="872"/>
      <c r="J882" s="872"/>
      <c r="K882" s="872"/>
      <c r="L882" s="872"/>
      <c r="M882" s="872"/>
      <c r="N882" s="356" t="s">
        <v>2456</v>
      </c>
      <c r="O882" s="356" t="s">
        <v>2457</v>
      </c>
      <c r="P882" s="76" t="s">
        <v>27</v>
      </c>
      <c r="Q882" s="434">
        <v>5.9382000000000001</v>
      </c>
      <c r="R882" s="434">
        <v>5.9382000000000001</v>
      </c>
      <c r="S882" s="356" t="s">
        <v>221</v>
      </c>
      <c r="T882" s="356">
        <v>4.9599849999999996</v>
      </c>
      <c r="U882" s="356"/>
      <c r="V882" s="598"/>
      <c r="W882" s="598"/>
      <c r="X882" s="592"/>
      <c r="Y882" s="592"/>
      <c r="Z882" s="356" t="s">
        <v>159</v>
      </c>
      <c r="AA882" s="98"/>
    </row>
    <row r="883" spans="1:27">
      <c r="A883" s="475"/>
      <c r="B883" s="876"/>
      <c r="C883" s="872"/>
      <c r="D883" s="872">
        <v>57251.410900000003</v>
      </c>
      <c r="E883" s="872" t="s">
        <v>2054</v>
      </c>
      <c r="F883" s="872"/>
      <c r="G883" s="833"/>
      <c r="H883" s="833"/>
      <c r="I883" s="872"/>
      <c r="J883" s="872"/>
      <c r="K883" s="872"/>
      <c r="L883" s="872"/>
      <c r="M883" s="872"/>
      <c r="N883" s="356" t="s">
        <v>216</v>
      </c>
      <c r="O883" s="356" t="s">
        <v>2458</v>
      </c>
      <c r="P883" s="76" t="s">
        <v>27</v>
      </c>
      <c r="Q883" s="434">
        <v>1.1017999999999999</v>
      </c>
      <c r="R883" s="434">
        <v>1.1017999999999999</v>
      </c>
      <c r="S883" s="356" t="s">
        <v>2459</v>
      </c>
      <c r="T883" s="356">
        <v>0.97206599999999999</v>
      </c>
      <c r="U883" s="356"/>
      <c r="V883" s="598"/>
      <c r="W883" s="598"/>
      <c r="X883" s="592"/>
      <c r="Y883" s="592"/>
      <c r="Z883" s="356" t="s">
        <v>159</v>
      </c>
      <c r="AA883" s="98"/>
    </row>
    <row r="884" spans="1:27">
      <c r="A884" s="475"/>
      <c r="B884" s="876"/>
      <c r="C884" s="872"/>
      <c r="D884" s="872">
        <v>57251.410900000003</v>
      </c>
      <c r="E884" s="872" t="s">
        <v>2054</v>
      </c>
      <c r="F884" s="872"/>
      <c r="G884" s="833"/>
      <c r="H884" s="833"/>
      <c r="I884" s="872"/>
      <c r="J884" s="872"/>
      <c r="K884" s="872"/>
      <c r="L884" s="872"/>
      <c r="M884" s="872"/>
      <c r="N884" s="356" t="s">
        <v>2460</v>
      </c>
      <c r="O884" s="356" t="s">
        <v>2457</v>
      </c>
      <c r="P884" s="76" t="s">
        <v>27</v>
      </c>
      <c r="Q884" s="434">
        <v>0</v>
      </c>
      <c r="R884" s="434">
        <v>0</v>
      </c>
      <c r="S884" s="356"/>
      <c r="T884" s="356"/>
      <c r="U884" s="356"/>
      <c r="V884" s="598"/>
      <c r="W884" s="598"/>
      <c r="X884" s="592"/>
      <c r="Y884" s="592"/>
      <c r="Z884" s="356" t="s">
        <v>159</v>
      </c>
      <c r="AA884" s="98"/>
    </row>
    <row r="885" spans="1:27">
      <c r="A885" s="475"/>
      <c r="B885" s="876"/>
      <c r="C885" s="872"/>
      <c r="D885" s="872">
        <v>57251.410900000003</v>
      </c>
      <c r="E885" s="872" t="s">
        <v>2054</v>
      </c>
      <c r="F885" s="872"/>
      <c r="G885" s="833"/>
      <c r="H885" s="833"/>
      <c r="I885" s="872"/>
      <c r="J885" s="872"/>
      <c r="K885" s="872"/>
      <c r="L885" s="872"/>
      <c r="M885" s="872"/>
      <c r="N885" s="356" t="s">
        <v>2461</v>
      </c>
      <c r="O885" s="356" t="s">
        <v>2462</v>
      </c>
      <c r="P885" s="76" t="s">
        <v>27</v>
      </c>
      <c r="Q885" s="434">
        <v>0</v>
      </c>
      <c r="R885" s="434">
        <v>0</v>
      </c>
      <c r="S885" s="356"/>
      <c r="T885" s="356"/>
      <c r="U885" s="356"/>
      <c r="V885" s="598"/>
      <c r="W885" s="598"/>
      <c r="X885" s="592"/>
      <c r="Y885" s="592"/>
      <c r="Z885" s="356" t="s">
        <v>159</v>
      </c>
      <c r="AA885" s="98"/>
    </row>
    <row r="886" spans="1:27" ht="24">
      <c r="A886" s="475"/>
      <c r="B886" s="867"/>
      <c r="C886" s="869"/>
      <c r="D886" s="869">
        <v>57251.410900000003</v>
      </c>
      <c r="E886" s="869" t="s">
        <v>2054</v>
      </c>
      <c r="F886" s="869"/>
      <c r="G886" s="834"/>
      <c r="H886" s="834"/>
      <c r="I886" s="869"/>
      <c r="J886" s="869"/>
      <c r="K886" s="869"/>
      <c r="L886" s="869"/>
      <c r="M886" s="869"/>
      <c r="N886" s="356" t="s">
        <v>2463</v>
      </c>
      <c r="O886" s="356" t="s">
        <v>2464</v>
      </c>
      <c r="P886" s="76" t="s">
        <v>27</v>
      </c>
      <c r="Q886" s="434">
        <v>1.1913</v>
      </c>
      <c r="R886" s="434">
        <v>1.1913</v>
      </c>
      <c r="S886" s="356"/>
      <c r="T886" s="356"/>
      <c r="U886" s="356"/>
      <c r="V886" s="599"/>
      <c r="W886" s="599"/>
      <c r="X886" s="590"/>
      <c r="Y886" s="590"/>
      <c r="Z886" s="356" t="s">
        <v>159</v>
      </c>
      <c r="AA886" s="98"/>
    </row>
    <row r="888" spans="1:27">
      <c r="C888" s="73" t="s">
        <v>1864</v>
      </c>
      <c r="D888" s="77"/>
      <c r="E888" s="77"/>
      <c r="O888" s="73" t="s">
        <v>1865</v>
      </c>
    </row>
  </sheetData>
  <autoFilter ref="A4:AA886">
    <filterColumn colId="5" showButton="0"/>
    <filterColumn colId="6" showButton="0"/>
    <filterColumn colId="8" showButton="0"/>
    <filterColumn colId="10" showButton="0"/>
    <filterColumn colId="15">
      <filters>
        <filter val="人身意外险"/>
      </filters>
    </filterColumn>
  </autoFilter>
  <mergeCells count="1300">
    <mergeCell ref="B877:B886"/>
    <mergeCell ref="C877:C886"/>
    <mergeCell ref="D877:D886"/>
    <mergeCell ref="E877:E886"/>
    <mergeCell ref="F877:F886"/>
    <mergeCell ref="G877:G886"/>
    <mergeCell ref="H874:H875"/>
    <mergeCell ref="I874:I875"/>
    <mergeCell ref="J874:J875"/>
    <mergeCell ref="K874:K875"/>
    <mergeCell ref="L874:L875"/>
    <mergeCell ref="M874:M875"/>
    <mergeCell ref="B874:B875"/>
    <mergeCell ref="C874:C875"/>
    <mergeCell ref="D874:D875"/>
    <mergeCell ref="E874:E875"/>
    <mergeCell ref="F874:F875"/>
    <mergeCell ref="G874:G875"/>
    <mergeCell ref="N868:N869"/>
    <mergeCell ref="O868:O869"/>
    <mergeCell ref="N870:N871"/>
    <mergeCell ref="O870:O871"/>
    <mergeCell ref="H864:H871"/>
    <mergeCell ref="I864:I871"/>
    <mergeCell ref="J864:J871"/>
    <mergeCell ref="K864:K871"/>
    <mergeCell ref="L864:L871"/>
    <mergeCell ref="M864:M871"/>
    <mergeCell ref="V861:V862"/>
    <mergeCell ref="W861:W862"/>
    <mergeCell ref="X861:X862"/>
    <mergeCell ref="Y861:Y862"/>
    <mergeCell ref="V877:V886"/>
    <mergeCell ref="W877:W886"/>
    <mergeCell ref="X877:X886"/>
    <mergeCell ref="Y877:Y886"/>
    <mergeCell ref="H877:H886"/>
    <mergeCell ref="I877:I886"/>
    <mergeCell ref="J877:J886"/>
    <mergeCell ref="K877:K886"/>
    <mergeCell ref="L877:L886"/>
    <mergeCell ref="M877:M886"/>
    <mergeCell ref="V874:V875"/>
    <mergeCell ref="W874:W875"/>
    <mergeCell ref="X874:X875"/>
    <mergeCell ref="Y874:Y875"/>
    <mergeCell ref="B864:B871"/>
    <mergeCell ref="C864:C871"/>
    <mergeCell ref="D864:D871"/>
    <mergeCell ref="E864:E871"/>
    <mergeCell ref="F864:F871"/>
    <mergeCell ref="G864:G871"/>
    <mergeCell ref="H861:H862"/>
    <mergeCell ref="I861:I862"/>
    <mergeCell ref="J861:J862"/>
    <mergeCell ref="K861:K862"/>
    <mergeCell ref="L861:L862"/>
    <mergeCell ref="M861:M862"/>
    <mergeCell ref="V852:V859"/>
    <mergeCell ref="W852:W859"/>
    <mergeCell ref="X852:X859"/>
    <mergeCell ref="Y852:Y859"/>
    <mergeCell ref="B861:B862"/>
    <mergeCell ref="C861:C862"/>
    <mergeCell ref="D861:D862"/>
    <mergeCell ref="E861:E862"/>
    <mergeCell ref="F861:F862"/>
    <mergeCell ref="G861:G862"/>
    <mergeCell ref="H852:H859"/>
    <mergeCell ref="I852:I859"/>
    <mergeCell ref="J852:J859"/>
    <mergeCell ref="K852:K859"/>
    <mergeCell ref="L852:L859"/>
    <mergeCell ref="M852:M859"/>
    <mergeCell ref="V864:V871"/>
    <mergeCell ref="W864:W871"/>
    <mergeCell ref="X864:X871"/>
    <mergeCell ref="Y864:Y871"/>
    <mergeCell ref="V848:V851"/>
    <mergeCell ref="W848:W851"/>
    <mergeCell ref="X848:X851"/>
    <mergeCell ref="Y848:Y851"/>
    <mergeCell ref="B852:B859"/>
    <mergeCell ref="C852:C859"/>
    <mergeCell ref="D852:D859"/>
    <mergeCell ref="E852:E859"/>
    <mergeCell ref="F852:F859"/>
    <mergeCell ref="G852:G859"/>
    <mergeCell ref="H848:H851"/>
    <mergeCell ref="I848:I851"/>
    <mergeCell ref="J848:J851"/>
    <mergeCell ref="K848:K851"/>
    <mergeCell ref="L848:L851"/>
    <mergeCell ref="M848:M851"/>
    <mergeCell ref="V845:V846"/>
    <mergeCell ref="W845:W846"/>
    <mergeCell ref="X845:X846"/>
    <mergeCell ref="Y845:Y846"/>
    <mergeCell ref="B848:B851"/>
    <mergeCell ref="C848:C851"/>
    <mergeCell ref="D848:D851"/>
    <mergeCell ref="E848:E851"/>
    <mergeCell ref="F848:F851"/>
    <mergeCell ref="G848:G851"/>
    <mergeCell ref="H845:H846"/>
    <mergeCell ref="I845:I846"/>
    <mergeCell ref="J845:J846"/>
    <mergeCell ref="K845:K846"/>
    <mergeCell ref="L845:L846"/>
    <mergeCell ref="M845:M846"/>
    <mergeCell ref="M843:M844"/>
    <mergeCell ref="V843:V844"/>
    <mergeCell ref="W843:W844"/>
    <mergeCell ref="X843:X844"/>
    <mergeCell ref="Y843:Y844"/>
    <mergeCell ref="M829:M842"/>
    <mergeCell ref="V829:V842"/>
    <mergeCell ref="W829:W842"/>
    <mergeCell ref="X829:X842"/>
    <mergeCell ref="Y829:Y842"/>
    <mergeCell ref="B843:B844"/>
    <mergeCell ref="C843:C844"/>
    <mergeCell ref="D843:D844"/>
    <mergeCell ref="E843:E844"/>
    <mergeCell ref="G843:G844"/>
    <mergeCell ref="G829:G842"/>
    <mergeCell ref="H829:H842"/>
    <mergeCell ref="I829:I842"/>
    <mergeCell ref="J829:J842"/>
    <mergeCell ref="K829:K842"/>
    <mergeCell ref="L829:L842"/>
    <mergeCell ref="C815:C825"/>
    <mergeCell ref="D815:D825"/>
    <mergeCell ref="E815:E825"/>
    <mergeCell ref="F815:F825"/>
    <mergeCell ref="G811:G813"/>
    <mergeCell ref="H811:H813"/>
    <mergeCell ref="I811:I813"/>
    <mergeCell ref="J811:J813"/>
    <mergeCell ref="K811:K813"/>
    <mergeCell ref="L811:L813"/>
    <mergeCell ref="B845:B846"/>
    <mergeCell ref="C845:C846"/>
    <mergeCell ref="D845:D846"/>
    <mergeCell ref="E845:E846"/>
    <mergeCell ref="F845:F846"/>
    <mergeCell ref="G845:G846"/>
    <mergeCell ref="J843:J844"/>
    <mergeCell ref="C804:C805"/>
    <mergeCell ref="D804:D805"/>
    <mergeCell ref="E804:E805"/>
    <mergeCell ref="F804:F805"/>
    <mergeCell ref="G799:G803"/>
    <mergeCell ref="H799:H803"/>
    <mergeCell ref="I799:I803"/>
    <mergeCell ref="J799:J803"/>
    <mergeCell ref="K799:K803"/>
    <mergeCell ref="L799:L803"/>
    <mergeCell ref="M815:M825"/>
    <mergeCell ref="V815:V825"/>
    <mergeCell ref="W815:W825"/>
    <mergeCell ref="X815:X825"/>
    <mergeCell ref="Y815:Y825"/>
    <mergeCell ref="B829:B842"/>
    <mergeCell ref="C829:C842"/>
    <mergeCell ref="D829:D842"/>
    <mergeCell ref="E829:E842"/>
    <mergeCell ref="F829:F842"/>
    <mergeCell ref="G815:G825"/>
    <mergeCell ref="H815:H825"/>
    <mergeCell ref="I815:I825"/>
    <mergeCell ref="J815:J825"/>
    <mergeCell ref="K815:K825"/>
    <mergeCell ref="L815:L825"/>
    <mergeCell ref="M811:M813"/>
    <mergeCell ref="V811:V813"/>
    <mergeCell ref="W811:W813"/>
    <mergeCell ref="X811:X813"/>
    <mergeCell ref="Y811:Y813"/>
    <mergeCell ref="B815:B825"/>
    <mergeCell ref="F799:F803"/>
    <mergeCell ref="H797:H798"/>
    <mergeCell ref="I797:I798"/>
    <mergeCell ref="J797:J798"/>
    <mergeCell ref="K797:K798"/>
    <mergeCell ref="L797:L798"/>
    <mergeCell ref="M797:M798"/>
    <mergeCell ref="W774:W795"/>
    <mergeCell ref="X774:X795"/>
    <mergeCell ref="Y774:Y795"/>
    <mergeCell ref="M804:M805"/>
    <mergeCell ref="V804:V805"/>
    <mergeCell ref="W804:W805"/>
    <mergeCell ref="X804:X805"/>
    <mergeCell ref="Y804:Y805"/>
    <mergeCell ref="B811:B813"/>
    <mergeCell ref="C811:C813"/>
    <mergeCell ref="D811:D813"/>
    <mergeCell ref="E811:E813"/>
    <mergeCell ref="F811:F813"/>
    <mergeCell ref="G804:G805"/>
    <mergeCell ref="H804:H805"/>
    <mergeCell ref="I804:I805"/>
    <mergeCell ref="J804:J805"/>
    <mergeCell ref="K804:K805"/>
    <mergeCell ref="L804:L805"/>
    <mergeCell ref="M799:M803"/>
    <mergeCell ref="V799:V803"/>
    <mergeCell ref="W799:W803"/>
    <mergeCell ref="X799:X803"/>
    <mergeCell ref="Y799:Y803"/>
    <mergeCell ref="B804:B805"/>
    <mergeCell ref="Z774:Z795"/>
    <mergeCell ref="B797:B798"/>
    <mergeCell ref="C797:C798"/>
    <mergeCell ref="D797:D798"/>
    <mergeCell ref="E797:E798"/>
    <mergeCell ref="F797:F798"/>
    <mergeCell ref="G797:G798"/>
    <mergeCell ref="I774:I795"/>
    <mergeCell ref="J774:J795"/>
    <mergeCell ref="K774:K795"/>
    <mergeCell ref="L774:L795"/>
    <mergeCell ref="M774:M795"/>
    <mergeCell ref="V774:V795"/>
    <mergeCell ref="G771:H771"/>
    <mergeCell ref="G772:H772"/>
    <mergeCell ref="A774:A886"/>
    <mergeCell ref="B774:B795"/>
    <mergeCell ref="C774:C795"/>
    <mergeCell ref="D774:D795"/>
    <mergeCell ref="E774:E795"/>
    <mergeCell ref="F774:F795"/>
    <mergeCell ref="G774:G795"/>
    <mergeCell ref="H774:H795"/>
    <mergeCell ref="N797:N798"/>
    <mergeCell ref="V797:V798"/>
    <mergeCell ref="W797:W798"/>
    <mergeCell ref="X797:X798"/>
    <mergeCell ref="Y797:Y798"/>
    <mergeCell ref="B799:B803"/>
    <mergeCell ref="C799:C803"/>
    <mergeCell ref="D799:D803"/>
    <mergeCell ref="E799:E803"/>
    <mergeCell ref="L759:L770"/>
    <mergeCell ref="M759:M770"/>
    <mergeCell ref="V759:V770"/>
    <mergeCell ref="W759:W770"/>
    <mergeCell ref="X759:X770"/>
    <mergeCell ref="Y759:Y770"/>
    <mergeCell ref="Y752:Y758"/>
    <mergeCell ref="B759:B770"/>
    <mergeCell ref="C759:C770"/>
    <mergeCell ref="D759:D770"/>
    <mergeCell ref="E759:E770"/>
    <mergeCell ref="F759:F770"/>
    <mergeCell ref="G759:H770"/>
    <mergeCell ref="I759:I770"/>
    <mergeCell ref="J759:J770"/>
    <mergeCell ref="K759:K770"/>
    <mergeCell ref="K752:K758"/>
    <mergeCell ref="L752:L758"/>
    <mergeCell ref="M752:M758"/>
    <mergeCell ref="V752:V758"/>
    <mergeCell ref="W752:W758"/>
    <mergeCell ref="X752:X758"/>
    <mergeCell ref="Y737:Y749"/>
    <mergeCell ref="G750:H750"/>
    <mergeCell ref="B752:B758"/>
    <mergeCell ref="C752:C758"/>
    <mergeCell ref="D752:D758"/>
    <mergeCell ref="E752:E758"/>
    <mergeCell ref="F752:F758"/>
    <mergeCell ref="G752:H758"/>
    <mergeCell ref="I752:I758"/>
    <mergeCell ref="J752:J758"/>
    <mergeCell ref="K737:K749"/>
    <mergeCell ref="L737:L749"/>
    <mergeCell ref="M737:M749"/>
    <mergeCell ref="V737:V749"/>
    <mergeCell ref="W737:W749"/>
    <mergeCell ref="X737:X749"/>
    <mergeCell ref="Y733:Y736"/>
    <mergeCell ref="B737:B749"/>
    <mergeCell ref="C737:C749"/>
    <mergeCell ref="D737:D749"/>
    <mergeCell ref="E737:E749"/>
    <mergeCell ref="F737:F749"/>
    <mergeCell ref="G737:G749"/>
    <mergeCell ref="H737:H749"/>
    <mergeCell ref="I737:I749"/>
    <mergeCell ref="J737:J749"/>
    <mergeCell ref="S733:S735"/>
    <mergeCell ref="T733:T735"/>
    <mergeCell ref="U733:U735"/>
    <mergeCell ref="V733:V736"/>
    <mergeCell ref="W733:W736"/>
    <mergeCell ref="X733:X736"/>
    <mergeCell ref="H733:H736"/>
    <mergeCell ref="I733:I736"/>
    <mergeCell ref="J733:J736"/>
    <mergeCell ref="K733:K736"/>
    <mergeCell ref="L733:L736"/>
    <mergeCell ref="M733:M736"/>
    <mergeCell ref="B733:B736"/>
    <mergeCell ref="C733:C736"/>
    <mergeCell ref="D733:D736"/>
    <mergeCell ref="E733:E736"/>
    <mergeCell ref="F733:F736"/>
    <mergeCell ref="G733:G736"/>
    <mergeCell ref="M714:M732"/>
    <mergeCell ref="V714:V732"/>
    <mergeCell ref="W714:W732"/>
    <mergeCell ref="X714:X732"/>
    <mergeCell ref="Y714:Y732"/>
    <mergeCell ref="D717:D732"/>
    <mergeCell ref="E717:E732"/>
    <mergeCell ref="Y698:Y713"/>
    <mergeCell ref="B714:B732"/>
    <mergeCell ref="C714:C732"/>
    <mergeCell ref="F714:F732"/>
    <mergeCell ref="G714:H732"/>
    <mergeCell ref="I714:I732"/>
    <mergeCell ref="J714:J732"/>
    <mergeCell ref="K714:K732"/>
    <mergeCell ref="L714:L732"/>
    <mergeCell ref="J698:J713"/>
    <mergeCell ref="K698:K713"/>
    <mergeCell ref="L698:L713"/>
    <mergeCell ref="M698:M713"/>
    <mergeCell ref="V698:V713"/>
    <mergeCell ref="W698:W713"/>
    <mergeCell ref="W682:W697"/>
    <mergeCell ref="X682:X697"/>
    <mergeCell ref="Y682:Y697"/>
    <mergeCell ref="B698:B713"/>
    <mergeCell ref="C698:C713"/>
    <mergeCell ref="D698:D713"/>
    <mergeCell ref="E698:E713"/>
    <mergeCell ref="F698:F713"/>
    <mergeCell ref="G698:H713"/>
    <mergeCell ref="I698:I713"/>
    <mergeCell ref="I682:I697"/>
    <mergeCell ref="J682:J697"/>
    <mergeCell ref="K682:K697"/>
    <mergeCell ref="L682:L697"/>
    <mergeCell ref="M682:M697"/>
    <mergeCell ref="V682:V697"/>
    <mergeCell ref="G675:H675"/>
    <mergeCell ref="G676:H676"/>
    <mergeCell ref="A682:A773"/>
    <mergeCell ref="B682:B697"/>
    <mergeCell ref="C682:C697"/>
    <mergeCell ref="D682:D697"/>
    <mergeCell ref="E682:E697"/>
    <mergeCell ref="F682:F697"/>
    <mergeCell ref="G682:H697"/>
    <mergeCell ref="L665:L668"/>
    <mergeCell ref="M665:M668"/>
    <mergeCell ref="V665:V668"/>
    <mergeCell ref="W665:W668"/>
    <mergeCell ref="X665:X668"/>
    <mergeCell ref="Y665:Y668"/>
    <mergeCell ref="Y661:Y664"/>
    <mergeCell ref="B665:B668"/>
    <mergeCell ref="C665:C668"/>
    <mergeCell ref="D665:D668"/>
    <mergeCell ref="E665:E668"/>
    <mergeCell ref="F665:F668"/>
    <mergeCell ref="G665:H668"/>
    <mergeCell ref="I665:I668"/>
    <mergeCell ref="J665:J668"/>
    <mergeCell ref="K665:K668"/>
    <mergeCell ref="K661:K664"/>
    <mergeCell ref="L661:L664"/>
    <mergeCell ref="M661:M664"/>
    <mergeCell ref="V661:V664"/>
    <mergeCell ref="W661:W664"/>
    <mergeCell ref="X661:X664"/>
    <mergeCell ref="X698:X713"/>
    <mergeCell ref="B661:B664"/>
    <mergeCell ref="C661:C664"/>
    <mergeCell ref="D661:D664"/>
    <mergeCell ref="E661:E664"/>
    <mergeCell ref="F661:F664"/>
    <mergeCell ref="G661:G664"/>
    <mergeCell ref="H661:H664"/>
    <mergeCell ref="I661:I664"/>
    <mergeCell ref="J661:J664"/>
    <mergeCell ref="K655:K660"/>
    <mergeCell ref="L655:L660"/>
    <mergeCell ref="M655:M660"/>
    <mergeCell ref="V655:V660"/>
    <mergeCell ref="W655:W660"/>
    <mergeCell ref="X655:X660"/>
    <mergeCell ref="Y650:Y651"/>
    <mergeCell ref="G674:H674"/>
    <mergeCell ref="Z650:Z651"/>
    <mergeCell ref="B655:B660"/>
    <mergeCell ref="C655:C660"/>
    <mergeCell ref="D655:D660"/>
    <mergeCell ref="E655:E660"/>
    <mergeCell ref="F655:F660"/>
    <mergeCell ref="G655:H660"/>
    <mergeCell ref="I655:I660"/>
    <mergeCell ref="J655:J660"/>
    <mergeCell ref="K650:K651"/>
    <mergeCell ref="L650:L651"/>
    <mergeCell ref="M650:M651"/>
    <mergeCell ref="V650:V651"/>
    <mergeCell ref="W650:W651"/>
    <mergeCell ref="X650:X651"/>
    <mergeCell ref="Y639:Y649"/>
    <mergeCell ref="B650:B651"/>
    <mergeCell ref="C650:C651"/>
    <mergeCell ref="D650:D651"/>
    <mergeCell ref="E650:E651"/>
    <mergeCell ref="F650:F651"/>
    <mergeCell ref="G650:G651"/>
    <mergeCell ref="H650:H651"/>
    <mergeCell ref="I650:I651"/>
    <mergeCell ref="J650:J651"/>
    <mergeCell ref="K639:K649"/>
    <mergeCell ref="L639:L649"/>
    <mergeCell ref="M639:M649"/>
    <mergeCell ref="V639:V649"/>
    <mergeCell ref="W639:W649"/>
    <mergeCell ref="X639:X649"/>
    <mergeCell ref="Y655:Y660"/>
    <mergeCell ref="X620:X638"/>
    <mergeCell ref="Y620:Y638"/>
    <mergeCell ref="B639:B649"/>
    <mergeCell ref="C639:C649"/>
    <mergeCell ref="D639:D649"/>
    <mergeCell ref="E639:E649"/>
    <mergeCell ref="F639:F649"/>
    <mergeCell ref="G639:H649"/>
    <mergeCell ref="I639:I649"/>
    <mergeCell ref="J639:J649"/>
    <mergeCell ref="J620:J638"/>
    <mergeCell ref="K620:K638"/>
    <mergeCell ref="L620:L638"/>
    <mergeCell ref="M620:M638"/>
    <mergeCell ref="V620:V638"/>
    <mergeCell ref="W620:W638"/>
    <mergeCell ref="X618:X619"/>
    <mergeCell ref="Y618:Y619"/>
    <mergeCell ref="B620:B638"/>
    <mergeCell ref="C620:C638"/>
    <mergeCell ref="D620:D638"/>
    <mergeCell ref="E620:E638"/>
    <mergeCell ref="F620:F638"/>
    <mergeCell ref="G620:G638"/>
    <mergeCell ref="H620:H638"/>
    <mergeCell ref="I620:I638"/>
    <mergeCell ref="J618:J619"/>
    <mergeCell ref="K618:K619"/>
    <mergeCell ref="L618:L619"/>
    <mergeCell ref="M618:M619"/>
    <mergeCell ref="V618:V619"/>
    <mergeCell ref="W618:W619"/>
    <mergeCell ref="W595:W617"/>
    <mergeCell ref="X595:X617"/>
    <mergeCell ref="Y595:Y617"/>
    <mergeCell ref="B618:B619"/>
    <mergeCell ref="C618:C619"/>
    <mergeCell ref="D618:D619"/>
    <mergeCell ref="E618:E619"/>
    <mergeCell ref="F618:F619"/>
    <mergeCell ref="G618:H619"/>
    <mergeCell ref="I618:I619"/>
    <mergeCell ref="I595:I617"/>
    <mergeCell ref="J595:J617"/>
    <mergeCell ref="K595:K617"/>
    <mergeCell ref="L595:L617"/>
    <mergeCell ref="M595:M617"/>
    <mergeCell ref="V595:V617"/>
    <mergeCell ref="W593:W594"/>
    <mergeCell ref="X593:X594"/>
    <mergeCell ref="Y593:Y594"/>
    <mergeCell ref="A595:A681"/>
    <mergeCell ref="B595:B617"/>
    <mergeCell ref="C595:C617"/>
    <mergeCell ref="D595:D617"/>
    <mergeCell ref="E595:E617"/>
    <mergeCell ref="F595:F617"/>
    <mergeCell ref="G595:H617"/>
    <mergeCell ref="I593:I594"/>
    <mergeCell ref="J593:J594"/>
    <mergeCell ref="K593:K594"/>
    <mergeCell ref="L593:L594"/>
    <mergeCell ref="M593:M594"/>
    <mergeCell ref="V593:V594"/>
    <mergeCell ref="X586:X592"/>
    <mergeCell ref="Y586:Y592"/>
    <mergeCell ref="Z586:Z592"/>
    <mergeCell ref="B593:B594"/>
    <mergeCell ref="C593:C594"/>
    <mergeCell ref="D593:D594"/>
    <mergeCell ref="E593:E594"/>
    <mergeCell ref="F593:F594"/>
    <mergeCell ref="G593:G594"/>
    <mergeCell ref="H593:H594"/>
    <mergeCell ref="J586:J592"/>
    <mergeCell ref="K586:K592"/>
    <mergeCell ref="L586:L592"/>
    <mergeCell ref="M586:M592"/>
    <mergeCell ref="V586:V592"/>
    <mergeCell ref="W586:W592"/>
    <mergeCell ref="D586:D592"/>
    <mergeCell ref="E586:E592"/>
    <mergeCell ref="F586:F592"/>
    <mergeCell ref="G586:G592"/>
    <mergeCell ref="H586:H592"/>
    <mergeCell ref="I586:I592"/>
    <mergeCell ref="M578:M581"/>
    <mergeCell ref="V578:V581"/>
    <mergeCell ref="W578:W581"/>
    <mergeCell ref="X578:X581"/>
    <mergeCell ref="Y578:Y581"/>
    <mergeCell ref="V582:V584"/>
    <mergeCell ref="W582:W584"/>
    <mergeCell ref="X582:X584"/>
    <mergeCell ref="Y582:Y584"/>
    <mergeCell ref="G578:G581"/>
    <mergeCell ref="H578:H581"/>
    <mergeCell ref="I578:I581"/>
    <mergeCell ref="J578:J581"/>
    <mergeCell ref="K578:K581"/>
    <mergeCell ref="L578:L581"/>
    <mergeCell ref="F578:F581"/>
    <mergeCell ref="G573:G575"/>
    <mergeCell ref="H573:H575"/>
    <mergeCell ref="I573:I575"/>
    <mergeCell ref="J573:J575"/>
    <mergeCell ref="K573:K575"/>
    <mergeCell ref="L573:L575"/>
    <mergeCell ref="M569:M570"/>
    <mergeCell ref="V569:V570"/>
    <mergeCell ref="W569:W570"/>
    <mergeCell ref="X569:X570"/>
    <mergeCell ref="Y569:Y570"/>
    <mergeCell ref="B573:B575"/>
    <mergeCell ref="C573:C575"/>
    <mergeCell ref="D573:D575"/>
    <mergeCell ref="E573:E575"/>
    <mergeCell ref="F573:F575"/>
    <mergeCell ref="G569:G570"/>
    <mergeCell ref="H569:H570"/>
    <mergeCell ref="I569:I570"/>
    <mergeCell ref="J569:J570"/>
    <mergeCell ref="K569:K570"/>
    <mergeCell ref="L569:L570"/>
    <mergeCell ref="A569:A594"/>
    <mergeCell ref="B569:B570"/>
    <mergeCell ref="C569:C570"/>
    <mergeCell ref="D569:D570"/>
    <mergeCell ref="E569:E570"/>
    <mergeCell ref="F569:F570"/>
    <mergeCell ref="D583:D585"/>
    <mergeCell ref="E583:E585"/>
    <mergeCell ref="B586:B592"/>
    <mergeCell ref="C586:C592"/>
    <mergeCell ref="X537:X540"/>
    <mergeCell ref="Y537:Y540"/>
    <mergeCell ref="B541:B547"/>
    <mergeCell ref="D541:D547"/>
    <mergeCell ref="E541:E547"/>
    <mergeCell ref="O541:O542"/>
    <mergeCell ref="H537:H540"/>
    <mergeCell ref="I537:I540"/>
    <mergeCell ref="J537:J540"/>
    <mergeCell ref="M537:M540"/>
    <mergeCell ref="V537:V540"/>
    <mergeCell ref="W537:W540"/>
    <mergeCell ref="A410:A568"/>
    <mergeCell ref="M573:M575"/>
    <mergeCell ref="V573:V575"/>
    <mergeCell ref="W573:W575"/>
    <mergeCell ref="X573:X575"/>
    <mergeCell ref="Y573:Y575"/>
    <mergeCell ref="B578:B581"/>
    <mergeCell ref="C578:C581"/>
    <mergeCell ref="D578:D581"/>
    <mergeCell ref="E578:E581"/>
    <mergeCell ref="V529:V530"/>
    <mergeCell ref="W529:W530"/>
    <mergeCell ref="X529:X530"/>
    <mergeCell ref="Y529:Y530"/>
    <mergeCell ref="B537:B540"/>
    <mergeCell ref="C537:C540"/>
    <mergeCell ref="D537:D540"/>
    <mergeCell ref="E537:E540"/>
    <mergeCell ref="F537:F540"/>
    <mergeCell ref="G537:G540"/>
    <mergeCell ref="W527:W528"/>
    <mergeCell ref="X527:X528"/>
    <mergeCell ref="Y527:Y528"/>
    <mergeCell ref="B529:B530"/>
    <mergeCell ref="C529:C530"/>
    <mergeCell ref="D529:D530"/>
    <mergeCell ref="E529:E530"/>
    <mergeCell ref="F529:F530"/>
    <mergeCell ref="G529:G530"/>
    <mergeCell ref="M529:M530"/>
    <mergeCell ref="W520:W525"/>
    <mergeCell ref="X520:X525"/>
    <mergeCell ref="Y520:Y525"/>
    <mergeCell ref="B527:B528"/>
    <mergeCell ref="C527:C528"/>
    <mergeCell ref="D527:D528"/>
    <mergeCell ref="E527:E528"/>
    <mergeCell ref="I527:I528"/>
    <mergeCell ref="M527:M528"/>
    <mergeCell ref="V527:V528"/>
    <mergeCell ref="Y514:Y517"/>
    <mergeCell ref="B520:B525"/>
    <mergeCell ref="C520:C525"/>
    <mergeCell ref="D520:D525"/>
    <mergeCell ref="E520:E525"/>
    <mergeCell ref="F520:F525"/>
    <mergeCell ref="G520:G525"/>
    <mergeCell ref="I520:I525"/>
    <mergeCell ref="J520:J525"/>
    <mergeCell ref="V520:V525"/>
    <mergeCell ref="G514:G517"/>
    <mergeCell ref="H514:H517"/>
    <mergeCell ref="M514:M517"/>
    <mergeCell ref="V514:V517"/>
    <mergeCell ref="W514:W517"/>
    <mergeCell ref="X514:X517"/>
    <mergeCell ref="M508:M512"/>
    <mergeCell ref="V508:V512"/>
    <mergeCell ref="W508:W512"/>
    <mergeCell ref="X508:X512"/>
    <mergeCell ref="Y508:Y512"/>
    <mergeCell ref="B514:B517"/>
    <mergeCell ref="C514:C517"/>
    <mergeCell ref="D514:D517"/>
    <mergeCell ref="E514:E517"/>
    <mergeCell ref="F514:F517"/>
    <mergeCell ref="Y506:Y507"/>
    <mergeCell ref="B508:B512"/>
    <mergeCell ref="C508:C512"/>
    <mergeCell ref="D508:D512"/>
    <mergeCell ref="E508:E512"/>
    <mergeCell ref="F508:F512"/>
    <mergeCell ref="G508:G512"/>
    <mergeCell ref="H508:H512"/>
    <mergeCell ref="I508:I512"/>
    <mergeCell ref="J508:J512"/>
    <mergeCell ref="K506:K507"/>
    <mergeCell ref="L506:L507"/>
    <mergeCell ref="M506:M507"/>
    <mergeCell ref="V506:V507"/>
    <mergeCell ref="W506:W507"/>
    <mergeCell ref="X506:X507"/>
    <mergeCell ref="B506:B507"/>
    <mergeCell ref="C506:C507"/>
    <mergeCell ref="D506:D507"/>
    <mergeCell ref="E506:E507"/>
    <mergeCell ref="I506:I507"/>
    <mergeCell ref="J506:J507"/>
    <mergeCell ref="J500:J505"/>
    <mergeCell ref="M500:M505"/>
    <mergeCell ref="V500:V505"/>
    <mergeCell ref="W500:W505"/>
    <mergeCell ref="X500:X505"/>
    <mergeCell ref="Y500:Y505"/>
    <mergeCell ref="X498:X499"/>
    <mergeCell ref="Y498:Y499"/>
    <mergeCell ref="B500:B505"/>
    <mergeCell ref="C500:C505"/>
    <mergeCell ref="D500:D505"/>
    <mergeCell ref="E500:E505"/>
    <mergeCell ref="F500:F505"/>
    <mergeCell ref="G500:G505"/>
    <mergeCell ref="H500:H505"/>
    <mergeCell ref="I500:I505"/>
    <mergeCell ref="J498:J499"/>
    <mergeCell ref="K498:K499"/>
    <mergeCell ref="L498:L499"/>
    <mergeCell ref="M498:M499"/>
    <mergeCell ref="V498:V499"/>
    <mergeCell ref="W498:W499"/>
    <mergeCell ref="X493:X495"/>
    <mergeCell ref="Y493:Y495"/>
    <mergeCell ref="B498:B499"/>
    <mergeCell ref="C498:C499"/>
    <mergeCell ref="D498:D499"/>
    <mergeCell ref="E498:E499"/>
    <mergeCell ref="F498:F499"/>
    <mergeCell ref="G498:G499"/>
    <mergeCell ref="H498:H499"/>
    <mergeCell ref="I498:I499"/>
    <mergeCell ref="X488:X491"/>
    <mergeCell ref="Y488:Y491"/>
    <mergeCell ref="B493:B495"/>
    <mergeCell ref="D493:D495"/>
    <mergeCell ref="E493:E495"/>
    <mergeCell ref="G493:G495"/>
    <mergeCell ref="H493:H495"/>
    <mergeCell ref="M493:M495"/>
    <mergeCell ref="V493:V495"/>
    <mergeCell ref="W493:W495"/>
    <mergeCell ref="H488:H491"/>
    <mergeCell ref="I488:I491"/>
    <mergeCell ref="J488:J491"/>
    <mergeCell ref="M488:M491"/>
    <mergeCell ref="V488:V491"/>
    <mergeCell ref="W488:W491"/>
    <mergeCell ref="B488:B491"/>
    <mergeCell ref="C488:C491"/>
    <mergeCell ref="D488:D491"/>
    <mergeCell ref="E488:E491"/>
    <mergeCell ref="F488:F491"/>
    <mergeCell ref="G488:G491"/>
    <mergeCell ref="J483:J487"/>
    <mergeCell ref="M483:M487"/>
    <mergeCell ref="V483:V487"/>
    <mergeCell ref="W483:W487"/>
    <mergeCell ref="X483:X487"/>
    <mergeCell ref="Y483:Y487"/>
    <mergeCell ref="X469:X481"/>
    <mergeCell ref="Y469:Y481"/>
    <mergeCell ref="B483:B487"/>
    <mergeCell ref="C483:C487"/>
    <mergeCell ref="D483:D487"/>
    <mergeCell ref="E483:E487"/>
    <mergeCell ref="F483:F487"/>
    <mergeCell ref="G483:G487"/>
    <mergeCell ref="H483:H487"/>
    <mergeCell ref="I483:I487"/>
    <mergeCell ref="I469:I481"/>
    <mergeCell ref="J469:J481"/>
    <mergeCell ref="K469:K481"/>
    <mergeCell ref="L469:L481"/>
    <mergeCell ref="V469:V481"/>
    <mergeCell ref="W469:W481"/>
    <mergeCell ref="W467:W468"/>
    <mergeCell ref="X467:X468"/>
    <mergeCell ref="Y467:Y468"/>
    <mergeCell ref="B469:B481"/>
    <mergeCell ref="C469:C481"/>
    <mergeCell ref="D469:D481"/>
    <mergeCell ref="E469:E481"/>
    <mergeCell ref="F469:F481"/>
    <mergeCell ref="G469:G481"/>
    <mergeCell ref="H469:H481"/>
    <mergeCell ref="G467:G468"/>
    <mergeCell ref="H467:H468"/>
    <mergeCell ref="I467:I468"/>
    <mergeCell ref="J467:J468"/>
    <mergeCell ref="M467:M468"/>
    <mergeCell ref="V467:V468"/>
    <mergeCell ref="M446:M447"/>
    <mergeCell ref="V446:V466"/>
    <mergeCell ref="W446:W466"/>
    <mergeCell ref="X446:X466"/>
    <mergeCell ref="Y446:Y466"/>
    <mergeCell ref="B467:B468"/>
    <mergeCell ref="C467:C468"/>
    <mergeCell ref="D467:D468"/>
    <mergeCell ref="E467:E468"/>
    <mergeCell ref="F467:F468"/>
    <mergeCell ref="W433:W444"/>
    <mergeCell ref="X433:X444"/>
    <mergeCell ref="Y433:Y444"/>
    <mergeCell ref="B446:B466"/>
    <mergeCell ref="C446:C466"/>
    <mergeCell ref="D446:D466"/>
    <mergeCell ref="E446:E466"/>
    <mergeCell ref="F446:F466"/>
    <mergeCell ref="G446:G466"/>
    <mergeCell ref="H446:H466"/>
    <mergeCell ref="G433:G444"/>
    <mergeCell ref="H433:H444"/>
    <mergeCell ref="I433:I444"/>
    <mergeCell ref="J433:J444"/>
    <mergeCell ref="M433:M444"/>
    <mergeCell ref="V433:V444"/>
    <mergeCell ref="M420:M432"/>
    <mergeCell ref="V420:V432"/>
    <mergeCell ref="W420:W432"/>
    <mergeCell ref="X420:X432"/>
    <mergeCell ref="Y420:Y432"/>
    <mergeCell ref="B433:B444"/>
    <mergeCell ref="C433:C444"/>
    <mergeCell ref="D433:D444"/>
    <mergeCell ref="E433:E444"/>
    <mergeCell ref="F433:F444"/>
    <mergeCell ref="G420:G432"/>
    <mergeCell ref="H420:H432"/>
    <mergeCell ref="I420:I432"/>
    <mergeCell ref="J420:J432"/>
    <mergeCell ref="K420:K432"/>
    <mergeCell ref="L420:L432"/>
    <mergeCell ref="M415:M419"/>
    <mergeCell ref="V415:V419"/>
    <mergeCell ref="W415:W419"/>
    <mergeCell ref="X415:X419"/>
    <mergeCell ref="Y415:Y419"/>
    <mergeCell ref="B420:B432"/>
    <mergeCell ref="C420:C432"/>
    <mergeCell ref="D420:D432"/>
    <mergeCell ref="E420:E432"/>
    <mergeCell ref="F420:F432"/>
    <mergeCell ref="G415:G419"/>
    <mergeCell ref="H415:H419"/>
    <mergeCell ref="I415:I419"/>
    <mergeCell ref="J415:J419"/>
    <mergeCell ref="K415:K419"/>
    <mergeCell ref="L415:L419"/>
    <mergeCell ref="V394:V396"/>
    <mergeCell ref="W394:W396"/>
    <mergeCell ref="X394:X396"/>
    <mergeCell ref="Y394:Y396"/>
    <mergeCell ref="B415:B419"/>
    <mergeCell ref="C415:C419"/>
    <mergeCell ref="D415:D419"/>
    <mergeCell ref="E415:E419"/>
    <mergeCell ref="F415:F419"/>
    <mergeCell ref="V380:V382"/>
    <mergeCell ref="W380:W382"/>
    <mergeCell ref="X380:X382"/>
    <mergeCell ref="Y380:Y382"/>
    <mergeCell ref="V384:V393"/>
    <mergeCell ref="W384:W393"/>
    <mergeCell ref="X384:X393"/>
    <mergeCell ref="Y384:Y393"/>
    <mergeCell ref="V365:V377"/>
    <mergeCell ref="W365:W377"/>
    <mergeCell ref="X365:X377"/>
    <mergeCell ref="Y365:Y377"/>
    <mergeCell ref="V378:V379"/>
    <mergeCell ref="W378:W379"/>
    <mergeCell ref="X378:X379"/>
    <mergeCell ref="Y378:Y379"/>
    <mergeCell ref="V349:V358"/>
    <mergeCell ref="W349:W358"/>
    <mergeCell ref="X349:X358"/>
    <mergeCell ref="Y349:Y358"/>
    <mergeCell ref="V359:V362"/>
    <mergeCell ref="W359:W362"/>
    <mergeCell ref="X359:X362"/>
    <mergeCell ref="Y359:Y362"/>
    <mergeCell ref="J329:J330"/>
    <mergeCell ref="K329:K330"/>
    <mergeCell ref="L329:L330"/>
    <mergeCell ref="M329:M330"/>
    <mergeCell ref="Z329:Z330"/>
    <mergeCell ref="A345:A409"/>
    <mergeCell ref="V345:V348"/>
    <mergeCell ref="W345:W348"/>
    <mergeCell ref="X345:X348"/>
    <mergeCell ref="Y345:Y348"/>
    <mergeCell ref="B321:B322"/>
    <mergeCell ref="C321:C322"/>
    <mergeCell ref="D321:D322"/>
    <mergeCell ref="E321:E322"/>
    <mergeCell ref="Z321:Z322"/>
    <mergeCell ref="B329:B330"/>
    <mergeCell ref="F329:F330"/>
    <mergeCell ref="G329:G330"/>
    <mergeCell ref="H329:H330"/>
    <mergeCell ref="I329:I330"/>
    <mergeCell ref="M319:M322"/>
    <mergeCell ref="V319:V322"/>
    <mergeCell ref="W319:W322"/>
    <mergeCell ref="X319:X322"/>
    <mergeCell ref="Y319:Y322"/>
    <mergeCell ref="Z319:Z320"/>
    <mergeCell ref="G319:G322"/>
    <mergeCell ref="H319:H322"/>
    <mergeCell ref="I319:I322"/>
    <mergeCell ref="J319:J322"/>
    <mergeCell ref="K319:K322"/>
    <mergeCell ref="L319:L322"/>
    <mergeCell ref="V312:V313"/>
    <mergeCell ref="W312:W313"/>
    <mergeCell ref="X312:X313"/>
    <mergeCell ref="Y312:Y313"/>
    <mergeCell ref="Z312:Z313"/>
    <mergeCell ref="B319:B320"/>
    <mergeCell ref="C319:C320"/>
    <mergeCell ref="D319:D320"/>
    <mergeCell ref="E319:E320"/>
    <mergeCell ref="F319:F322"/>
    <mergeCell ref="H312:H313"/>
    <mergeCell ref="I312:I313"/>
    <mergeCell ref="J312:J313"/>
    <mergeCell ref="K312:K313"/>
    <mergeCell ref="L312:L313"/>
    <mergeCell ref="M312:M313"/>
    <mergeCell ref="B312:B313"/>
    <mergeCell ref="C312:C313"/>
    <mergeCell ref="D312:D313"/>
    <mergeCell ref="E312:E313"/>
    <mergeCell ref="F312:F313"/>
    <mergeCell ref="G312:G313"/>
    <mergeCell ref="A295:A344"/>
    <mergeCell ref="B299:B300"/>
    <mergeCell ref="C299:C300"/>
    <mergeCell ref="D299:D300"/>
    <mergeCell ref="E299:E300"/>
    <mergeCell ref="F299:F300"/>
    <mergeCell ref="B304:B306"/>
    <mergeCell ref="C304:C306"/>
    <mergeCell ref="D304:D306"/>
    <mergeCell ref="E304:E306"/>
    <mergeCell ref="I309:I310"/>
    <mergeCell ref="J309:J310"/>
    <mergeCell ref="K309:K310"/>
    <mergeCell ref="L309:L310"/>
    <mergeCell ref="M309:M310"/>
    <mergeCell ref="Z309:Z310"/>
    <mergeCell ref="L304:L306"/>
    <mergeCell ref="M304:M306"/>
    <mergeCell ref="Z304:Z306"/>
    <mergeCell ref="B309:B310"/>
    <mergeCell ref="C309:C310"/>
    <mergeCell ref="D309:D310"/>
    <mergeCell ref="E309:E310"/>
    <mergeCell ref="F309:F310"/>
    <mergeCell ref="G309:G310"/>
    <mergeCell ref="H309:H310"/>
    <mergeCell ref="F304:F306"/>
    <mergeCell ref="G304:G306"/>
    <mergeCell ref="H304:H306"/>
    <mergeCell ref="I304:I306"/>
    <mergeCell ref="J304:J306"/>
    <mergeCell ref="K304:K306"/>
    <mergeCell ref="Y266:Y269"/>
    <mergeCell ref="V243:V249"/>
    <mergeCell ref="W243:W249"/>
    <mergeCell ref="X243:X249"/>
    <mergeCell ref="Y243:Y249"/>
    <mergeCell ref="V250:V253"/>
    <mergeCell ref="W250:W253"/>
    <mergeCell ref="X250:X253"/>
    <mergeCell ref="Y250:Y253"/>
    <mergeCell ref="M299:M300"/>
    <mergeCell ref="Z299:Z300"/>
    <mergeCell ref="F302:F303"/>
    <mergeCell ref="G302:G303"/>
    <mergeCell ref="H302:H303"/>
    <mergeCell ref="I302:I303"/>
    <mergeCell ref="J302:J303"/>
    <mergeCell ref="K302:K303"/>
    <mergeCell ref="L302:L303"/>
    <mergeCell ref="M302:M303"/>
    <mergeCell ref="G299:G300"/>
    <mergeCell ref="H299:H300"/>
    <mergeCell ref="I299:I300"/>
    <mergeCell ref="J299:J300"/>
    <mergeCell ref="K299:K300"/>
    <mergeCell ref="L299:L300"/>
    <mergeCell ref="W229:W230"/>
    <mergeCell ref="X229:X230"/>
    <mergeCell ref="Y229:Y230"/>
    <mergeCell ref="V231:V242"/>
    <mergeCell ref="W231:W242"/>
    <mergeCell ref="X231:X242"/>
    <mergeCell ref="Y231:Y242"/>
    <mergeCell ref="V197:V198"/>
    <mergeCell ref="W197:W198"/>
    <mergeCell ref="X197:X198"/>
    <mergeCell ref="Y197:Y198"/>
    <mergeCell ref="A207:A294"/>
    <mergeCell ref="V214:V228"/>
    <mergeCell ref="W214:W228"/>
    <mergeCell ref="X214:X228"/>
    <mergeCell ref="Y214:Y228"/>
    <mergeCell ref="V229:V230"/>
    <mergeCell ref="V270:V286"/>
    <mergeCell ref="W270:W286"/>
    <mergeCell ref="X270:X286"/>
    <mergeCell ref="Y270:Y286"/>
    <mergeCell ref="V288:V293"/>
    <mergeCell ref="W288:W293"/>
    <mergeCell ref="X288:X293"/>
    <mergeCell ref="Y288:Y293"/>
    <mergeCell ref="V260:V265"/>
    <mergeCell ref="W260:W265"/>
    <mergeCell ref="X260:X265"/>
    <mergeCell ref="Y260:Y265"/>
    <mergeCell ref="V266:V269"/>
    <mergeCell ref="W266:W269"/>
    <mergeCell ref="X266:X269"/>
    <mergeCell ref="W185:W187"/>
    <mergeCell ref="X185:X187"/>
    <mergeCell ref="Y185:Y187"/>
    <mergeCell ref="V188:V191"/>
    <mergeCell ref="W188:W191"/>
    <mergeCell ref="X188:X191"/>
    <mergeCell ref="Y188:Y191"/>
    <mergeCell ref="V176:V177"/>
    <mergeCell ref="W176:W177"/>
    <mergeCell ref="X176:X177"/>
    <mergeCell ref="Y176:Y177"/>
    <mergeCell ref="A179:A206"/>
    <mergeCell ref="V182:V184"/>
    <mergeCell ref="W182:W184"/>
    <mergeCell ref="X182:X184"/>
    <mergeCell ref="Y182:Y184"/>
    <mergeCell ref="V185:V187"/>
    <mergeCell ref="H176:H177"/>
    <mergeCell ref="I176:I177"/>
    <mergeCell ref="J176:J177"/>
    <mergeCell ref="K176:K177"/>
    <mergeCell ref="L176:L177"/>
    <mergeCell ref="M176:M177"/>
    <mergeCell ref="V170:V175"/>
    <mergeCell ref="W170:W175"/>
    <mergeCell ref="X170:X175"/>
    <mergeCell ref="Y170:Y175"/>
    <mergeCell ref="B176:B177"/>
    <mergeCell ref="C176:C177"/>
    <mergeCell ref="D176:D177"/>
    <mergeCell ref="E176:E177"/>
    <mergeCell ref="F176:F177"/>
    <mergeCell ref="G176:G177"/>
    <mergeCell ref="H170:H175"/>
    <mergeCell ref="I170:I175"/>
    <mergeCell ref="J170:J175"/>
    <mergeCell ref="K170:K175"/>
    <mergeCell ref="L170:L175"/>
    <mergeCell ref="M170:M175"/>
    <mergeCell ref="V166:V169"/>
    <mergeCell ref="W166:W169"/>
    <mergeCell ref="X166:X169"/>
    <mergeCell ref="Y166:Y169"/>
    <mergeCell ref="B170:B175"/>
    <mergeCell ref="C170:C175"/>
    <mergeCell ref="D170:D175"/>
    <mergeCell ref="E170:E175"/>
    <mergeCell ref="F170:F175"/>
    <mergeCell ref="G170:G175"/>
    <mergeCell ref="J166:J169"/>
    <mergeCell ref="K166:K169"/>
    <mergeCell ref="L166:L169"/>
    <mergeCell ref="M166:M169"/>
    <mergeCell ref="T166:T167"/>
    <mergeCell ref="U166:U167"/>
    <mergeCell ref="Y149:Y165"/>
    <mergeCell ref="Z149:Z165"/>
    <mergeCell ref="B166:B169"/>
    <mergeCell ref="C166:C169"/>
    <mergeCell ref="D166:D169"/>
    <mergeCell ref="E166:E169"/>
    <mergeCell ref="F166:F169"/>
    <mergeCell ref="G166:G169"/>
    <mergeCell ref="H166:H169"/>
    <mergeCell ref="I166:I169"/>
    <mergeCell ref="K149:K165"/>
    <mergeCell ref="L149:L165"/>
    <mergeCell ref="M149:M165"/>
    <mergeCell ref="V149:V165"/>
    <mergeCell ref="W149:W165"/>
    <mergeCell ref="X149:X165"/>
    <mergeCell ref="Z142:Z148"/>
    <mergeCell ref="B149:B165"/>
    <mergeCell ref="C149:C165"/>
    <mergeCell ref="D149:D165"/>
    <mergeCell ref="E149:E165"/>
    <mergeCell ref="F149:F165"/>
    <mergeCell ref="G149:G165"/>
    <mergeCell ref="H149:H165"/>
    <mergeCell ref="I149:I165"/>
    <mergeCell ref="J149:J165"/>
    <mergeCell ref="T142:T143"/>
    <mergeCell ref="U142:U143"/>
    <mergeCell ref="V142:V148"/>
    <mergeCell ref="W142:W148"/>
    <mergeCell ref="X142:X148"/>
    <mergeCell ref="Y142:Y148"/>
    <mergeCell ref="H142:H148"/>
    <mergeCell ref="I142:I148"/>
    <mergeCell ref="J142:J148"/>
    <mergeCell ref="K142:K148"/>
    <mergeCell ref="L142:L148"/>
    <mergeCell ref="M142:M148"/>
    <mergeCell ref="B142:B148"/>
    <mergeCell ref="C142:C148"/>
    <mergeCell ref="D142:D148"/>
    <mergeCell ref="E142:E148"/>
    <mergeCell ref="F142:F148"/>
    <mergeCell ref="G142:G148"/>
    <mergeCell ref="M135:M140"/>
    <mergeCell ref="V135:V140"/>
    <mergeCell ref="W135:W140"/>
    <mergeCell ref="X135:X140"/>
    <mergeCell ref="Y135:Y140"/>
    <mergeCell ref="Z135:Z140"/>
    <mergeCell ref="G135:G140"/>
    <mergeCell ref="H135:H140"/>
    <mergeCell ref="I135:I140"/>
    <mergeCell ref="J135:J140"/>
    <mergeCell ref="K135:K140"/>
    <mergeCell ref="L135:L140"/>
    <mergeCell ref="V120:V134"/>
    <mergeCell ref="W120:W134"/>
    <mergeCell ref="X120:X134"/>
    <mergeCell ref="Y120:Y134"/>
    <mergeCell ref="Z120:Z133"/>
    <mergeCell ref="B135:B140"/>
    <mergeCell ref="C135:C140"/>
    <mergeCell ref="D135:D140"/>
    <mergeCell ref="E135:E140"/>
    <mergeCell ref="F135:F140"/>
    <mergeCell ref="H120:H134"/>
    <mergeCell ref="I120:I134"/>
    <mergeCell ref="J120:J134"/>
    <mergeCell ref="K120:K134"/>
    <mergeCell ref="L120:L134"/>
    <mergeCell ref="M120:M134"/>
    <mergeCell ref="W117:W119"/>
    <mergeCell ref="X117:X119"/>
    <mergeCell ref="Y117:Y119"/>
    <mergeCell ref="Z117:Z119"/>
    <mergeCell ref="B120:B134"/>
    <mergeCell ref="C120:C134"/>
    <mergeCell ref="D120:D134"/>
    <mergeCell ref="E120:E134"/>
    <mergeCell ref="F120:F134"/>
    <mergeCell ref="G120:G134"/>
    <mergeCell ref="I117:I119"/>
    <mergeCell ref="J117:J119"/>
    <mergeCell ref="K117:K119"/>
    <mergeCell ref="L117:L119"/>
    <mergeCell ref="M117:M119"/>
    <mergeCell ref="V117:V119"/>
    <mergeCell ref="V113:V116"/>
    <mergeCell ref="W113:W116"/>
    <mergeCell ref="X113:X116"/>
    <mergeCell ref="Y113:Y116"/>
    <mergeCell ref="B117:B119"/>
    <mergeCell ref="C117:C119"/>
    <mergeCell ref="D117:D119"/>
    <mergeCell ref="E117:E119"/>
    <mergeCell ref="F117:F119"/>
    <mergeCell ref="G117:H119"/>
    <mergeCell ref="H113:H116"/>
    <mergeCell ref="I113:I116"/>
    <mergeCell ref="J113:J116"/>
    <mergeCell ref="K113:K116"/>
    <mergeCell ref="L113:L116"/>
    <mergeCell ref="M113:M116"/>
    <mergeCell ref="B113:B116"/>
    <mergeCell ref="C113:C116"/>
    <mergeCell ref="D113:D116"/>
    <mergeCell ref="E113:E116"/>
    <mergeCell ref="F113:F116"/>
    <mergeCell ref="G113:G116"/>
    <mergeCell ref="M103:M112"/>
    <mergeCell ref="V103:V112"/>
    <mergeCell ref="W103:W112"/>
    <mergeCell ref="X103:X112"/>
    <mergeCell ref="Y103:Y112"/>
    <mergeCell ref="Z104:Z112"/>
    <mergeCell ref="G103:G112"/>
    <mergeCell ref="H103:H112"/>
    <mergeCell ref="I103:I112"/>
    <mergeCell ref="J103:J112"/>
    <mergeCell ref="K103:K112"/>
    <mergeCell ref="L103:L112"/>
    <mergeCell ref="V96:V99"/>
    <mergeCell ref="W96:W99"/>
    <mergeCell ref="X96:X99"/>
    <mergeCell ref="Y96:Y99"/>
    <mergeCell ref="A101:A178"/>
    <mergeCell ref="B103:B112"/>
    <mergeCell ref="C103:C112"/>
    <mergeCell ref="D103:D112"/>
    <mergeCell ref="E103:E112"/>
    <mergeCell ref="F103:F112"/>
    <mergeCell ref="H96:H99"/>
    <mergeCell ref="I96:I99"/>
    <mergeCell ref="J96:J99"/>
    <mergeCell ref="K96:K99"/>
    <mergeCell ref="L96:L99"/>
    <mergeCell ref="M96:M99"/>
    <mergeCell ref="V89:V92"/>
    <mergeCell ref="W89:W92"/>
    <mergeCell ref="X89:X92"/>
    <mergeCell ref="Y89:Y92"/>
    <mergeCell ref="B96:B99"/>
    <mergeCell ref="C96:C99"/>
    <mergeCell ref="D96:D99"/>
    <mergeCell ref="E96:E99"/>
    <mergeCell ref="F96:F99"/>
    <mergeCell ref="G96:G99"/>
    <mergeCell ref="H89:H92"/>
    <mergeCell ref="I89:I92"/>
    <mergeCell ref="J89:J92"/>
    <mergeCell ref="K89:K92"/>
    <mergeCell ref="L89:L92"/>
    <mergeCell ref="M89:M92"/>
    <mergeCell ref="V73:V88"/>
    <mergeCell ref="W73:W88"/>
    <mergeCell ref="X73:X88"/>
    <mergeCell ref="Y73:Y88"/>
    <mergeCell ref="B89:B92"/>
    <mergeCell ref="C89:C92"/>
    <mergeCell ref="D89:D92"/>
    <mergeCell ref="E89:E92"/>
    <mergeCell ref="F89:F92"/>
    <mergeCell ref="G89:G92"/>
    <mergeCell ref="H73:H88"/>
    <mergeCell ref="I73:I88"/>
    <mergeCell ref="J73:J88"/>
    <mergeCell ref="K73:K88"/>
    <mergeCell ref="L73:L88"/>
    <mergeCell ref="M73:M88"/>
    <mergeCell ref="B73:B88"/>
    <mergeCell ref="C73:C88"/>
    <mergeCell ref="D73:D88"/>
    <mergeCell ref="E73:E88"/>
    <mergeCell ref="F73:F88"/>
    <mergeCell ref="G73:G88"/>
    <mergeCell ref="B71:B72"/>
    <mergeCell ref="C71:C72"/>
    <mergeCell ref="D71:D72"/>
    <mergeCell ref="E71:E72"/>
    <mergeCell ref="M71:M72"/>
    <mergeCell ref="G68:G70"/>
    <mergeCell ref="H68:H70"/>
    <mergeCell ref="I68:I70"/>
    <mergeCell ref="J68:J70"/>
    <mergeCell ref="K68:K70"/>
    <mergeCell ref="L68:L70"/>
    <mergeCell ref="M25:M67"/>
    <mergeCell ref="V25:V67"/>
    <mergeCell ref="W25:W67"/>
    <mergeCell ref="X25:X67"/>
    <mergeCell ref="Y25:Y67"/>
    <mergeCell ref="B68:B70"/>
    <mergeCell ref="C68:C70"/>
    <mergeCell ref="D68:D70"/>
    <mergeCell ref="E68:E70"/>
    <mergeCell ref="F68:F70"/>
    <mergeCell ref="G25:G67"/>
    <mergeCell ref="H25:H67"/>
    <mergeCell ref="I25:I67"/>
    <mergeCell ref="J25:J67"/>
    <mergeCell ref="K25:K67"/>
    <mergeCell ref="L25:L67"/>
    <mergeCell ref="Y11:Y24"/>
    <mergeCell ref="B25:B67"/>
    <mergeCell ref="C25:C67"/>
    <mergeCell ref="D25:D67"/>
    <mergeCell ref="E25:E67"/>
    <mergeCell ref="F25:F67"/>
    <mergeCell ref="G11:G24"/>
    <mergeCell ref="H11:H24"/>
    <mergeCell ref="I11:I24"/>
    <mergeCell ref="J11:J24"/>
    <mergeCell ref="K11:K24"/>
    <mergeCell ref="L11:L24"/>
    <mergeCell ref="V4:V5"/>
    <mergeCell ref="W4:W5"/>
    <mergeCell ref="X4:X5"/>
    <mergeCell ref="Y4:Y5"/>
    <mergeCell ref="M68:M70"/>
    <mergeCell ref="V68:V70"/>
    <mergeCell ref="W68:W70"/>
    <mergeCell ref="X68:X70"/>
    <mergeCell ref="Y68:Y70"/>
    <mergeCell ref="B1:Z1"/>
    <mergeCell ref="T2:Z2"/>
    <mergeCell ref="A3:A5"/>
    <mergeCell ref="B3:B5"/>
    <mergeCell ref="C3:C5"/>
    <mergeCell ref="D3:D5"/>
    <mergeCell ref="E3:E5"/>
    <mergeCell ref="F3:M3"/>
    <mergeCell ref="N3:Y3"/>
    <mergeCell ref="Z3:Z5"/>
    <mergeCell ref="A6:A100"/>
    <mergeCell ref="B11:B24"/>
    <mergeCell ref="C11:C24"/>
    <mergeCell ref="D11:D24"/>
    <mergeCell ref="E11:E24"/>
    <mergeCell ref="F11:F24"/>
    <mergeCell ref="P4:P5"/>
    <mergeCell ref="Q4:Q5"/>
    <mergeCell ref="R4:R5"/>
    <mergeCell ref="S4:S5"/>
    <mergeCell ref="T4:T5"/>
    <mergeCell ref="U4:U5"/>
    <mergeCell ref="F4:H4"/>
    <mergeCell ref="I4:J4"/>
    <mergeCell ref="K4:L4"/>
    <mergeCell ref="M4:M5"/>
    <mergeCell ref="N4:N5"/>
    <mergeCell ref="O4:O5"/>
    <mergeCell ref="M11:M24"/>
    <mergeCell ref="V11:V24"/>
    <mergeCell ref="W11:W24"/>
    <mergeCell ref="X11:X24"/>
  </mergeCells>
  <phoneticPr fontId="1" type="noConversion"/>
  <conditionalFormatting sqref="M488:M491 C495 B488:C491 C520 C556:C557 F488:J491">
    <cfRule type="cellIs" dxfId="30" priority="28" stopIfTrue="1" operator="equal">
      <formula>0</formula>
    </cfRule>
    <cfRule type="expression" dxfId="29" priority="29" stopIfTrue="1">
      <formula>0</formula>
    </cfRule>
  </conditionalFormatting>
  <conditionalFormatting sqref="M661 C661 F661:J661">
    <cfRule type="cellIs" dxfId="28" priority="26" stopIfTrue="1" operator="equal">
      <formula>0</formula>
    </cfRule>
    <cfRule type="expression" dxfId="27" priority="27" stopIfTrue="1">
      <formula>0</formula>
    </cfRule>
  </conditionalFormatting>
  <conditionalFormatting sqref="D178:E178 D117:E117 E120 D135:E135 D101:E103 D141:E141 D149:E149 E142 E166 D170:E170 D176:E176">
    <cfRule type="cellIs" dxfId="26" priority="24" stopIfTrue="1" operator="equal">
      <formula>0</formula>
    </cfRule>
    <cfRule type="expression" dxfId="25" priority="25" stopIfTrue="1">
      <formula>0</formula>
    </cfRule>
  </conditionalFormatting>
  <conditionalFormatting sqref="D141 D178 D166:E166 D142:E142 D120:E120">
    <cfRule type="cellIs" dxfId="24" priority="23" stopIfTrue="1" operator="lessThan">
      <formula>0</formula>
    </cfRule>
  </conditionalFormatting>
  <conditionalFormatting sqref="D180:E180">
    <cfRule type="cellIs" dxfId="23" priority="21" stopIfTrue="1" operator="equal">
      <formula>0</formula>
    </cfRule>
    <cfRule type="expression" dxfId="22" priority="22" stopIfTrue="1">
      <formula>0</formula>
    </cfRule>
  </conditionalFormatting>
  <conditionalFormatting sqref="D182:E182">
    <cfRule type="cellIs" dxfId="21" priority="19" stopIfTrue="1" operator="equal">
      <formula>0</formula>
    </cfRule>
    <cfRule type="expression" dxfId="20" priority="20" stopIfTrue="1">
      <formula>0</formula>
    </cfRule>
  </conditionalFormatting>
  <conditionalFormatting sqref="D194:E194">
    <cfRule type="cellIs" dxfId="19" priority="17" stopIfTrue="1" operator="equal">
      <formula>0</formula>
    </cfRule>
    <cfRule type="expression" dxfId="18" priority="18" stopIfTrue="1">
      <formula>0</formula>
    </cfRule>
  </conditionalFormatting>
  <conditionalFormatting sqref="D202:E202">
    <cfRule type="cellIs" dxfId="17" priority="15" stopIfTrue="1" operator="equal">
      <formula>0</formula>
    </cfRule>
    <cfRule type="expression" dxfId="16" priority="16" stopIfTrue="1">
      <formula>0</formula>
    </cfRule>
  </conditionalFormatting>
  <conditionalFormatting sqref="D202:E202">
    <cfRule type="cellIs" dxfId="15" priority="13" stopIfTrue="1" operator="equal">
      <formula>0</formula>
    </cfRule>
    <cfRule type="expression" dxfId="14" priority="14" stopIfTrue="1">
      <formula>0</formula>
    </cfRule>
  </conditionalFormatting>
  <conditionalFormatting sqref="D556:E557">
    <cfRule type="cellIs" dxfId="13" priority="11" stopIfTrue="1" operator="equal">
      <formula>0</formula>
    </cfRule>
    <cfRule type="expression" dxfId="12" priority="12" stopIfTrue="1">
      <formula>0</formula>
    </cfRule>
  </conditionalFormatting>
  <conditionalFormatting sqref="E410 D414:E414 D433:E433 D559:E559 D493:E493 D529:E529 D531:E532 D556:E556">
    <cfRule type="cellIs" dxfId="11" priority="9" stopIfTrue="1" operator="equal">
      <formula>0</formula>
    </cfRule>
    <cfRule type="expression" dxfId="10" priority="10" stopIfTrue="1">
      <formula>0</formula>
    </cfRule>
  </conditionalFormatting>
  <conditionalFormatting sqref="D413:E413 E415 E433">
    <cfRule type="cellIs" dxfId="9" priority="7" stopIfTrue="1" operator="equal">
      <formula>0</formula>
    </cfRule>
    <cfRule type="expression" dxfId="8" priority="8" stopIfTrue="1">
      <formula>0</formula>
    </cfRule>
  </conditionalFormatting>
  <conditionalFormatting sqref="D415:E415">
    <cfRule type="cellIs" dxfId="7" priority="5" stopIfTrue="1" operator="equal">
      <formula>0</formula>
    </cfRule>
    <cfRule type="expression" dxfId="6" priority="6" stopIfTrue="1">
      <formula>0</formula>
    </cfRule>
  </conditionalFormatting>
  <conditionalFormatting sqref="E526">
    <cfRule type="cellIs" dxfId="5" priority="3" stopIfTrue="1" operator="equal">
      <formula>0</formula>
    </cfRule>
    <cfRule type="expression" dxfId="4" priority="4" stopIfTrue="1">
      <formula>0</formula>
    </cfRule>
  </conditionalFormatting>
  <conditionalFormatting sqref="D557:E557">
    <cfRule type="cellIs" dxfId="3" priority="1" stopIfTrue="1" operator="equal">
      <formula>0</formula>
    </cfRule>
    <cfRule type="expression" dxfId="2" priority="2" stopIfTrue="1">
      <formula>0</formula>
    </cfRule>
  </conditionalFormatting>
  <pageMargins left="0.7" right="0.7" top="0.75" bottom="0.75" header="0.3" footer="0.3"/>
  <pageSetup paperSize="9" orientation="landscape" horizontalDpi="200" verticalDpi="200" r:id="rId1"/>
  <ignoredErrors>
    <ignoredError sqref="AD13 AC17:AE17" formulaRange="1"/>
  </ignoredErrors>
  <legacyDrawing r:id="rId2"/>
</worksheet>
</file>

<file path=xl/worksheets/sheet4.xml><?xml version="1.0" encoding="utf-8"?>
<worksheet xmlns="http://schemas.openxmlformats.org/spreadsheetml/2006/main" xmlns:r="http://schemas.openxmlformats.org/officeDocument/2006/relationships">
  <dimension ref="A1:H85"/>
  <sheetViews>
    <sheetView zoomScale="110" zoomScaleNormal="110" workbookViewId="0">
      <selection activeCell="F11" sqref="F11"/>
    </sheetView>
  </sheetViews>
  <sheetFormatPr defaultRowHeight="15"/>
  <cols>
    <col min="1" max="1" width="7.625" style="4" customWidth="1"/>
    <col min="2" max="2" width="3.625" style="4" customWidth="1"/>
    <col min="3" max="3" width="17.375" style="4" customWidth="1"/>
    <col min="4" max="4" width="9" style="4" customWidth="1"/>
    <col min="5" max="6" width="9" style="63" customWidth="1"/>
    <col min="7" max="7" width="11.75" style="63" customWidth="1"/>
    <col min="8" max="8" width="9.375" style="63" customWidth="1"/>
    <col min="9" max="16384" width="9" style="4"/>
  </cols>
  <sheetData>
    <row r="1" spans="1:8" ht="43.5" customHeight="1">
      <c r="B1" s="892" t="s">
        <v>1846</v>
      </c>
      <c r="C1" s="892"/>
      <c r="D1" s="892"/>
      <c r="E1" s="892"/>
      <c r="F1" s="892"/>
      <c r="G1" s="892"/>
      <c r="H1" s="892"/>
    </row>
    <row r="2" spans="1:8" ht="19.5" customHeight="1">
      <c r="B2" s="54"/>
      <c r="C2" s="54"/>
      <c r="D2" s="54"/>
      <c r="E2" s="893"/>
      <c r="F2" s="893"/>
      <c r="G2" s="893"/>
      <c r="H2" s="893"/>
    </row>
    <row r="3" spans="1:8" s="55" customFormat="1" ht="24" customHeight="1">
      <c r="A3" s="890" t="s">
        <v>252</v>
      </c>
      <c r="B3" s="894" t="s">
        <v>1847</v>
      </c>
      <c r="C3" s="894" t="s">
        <v>1848</v>
      </c>
      <c r="D3" s="897" t="s">
        <v>10</v>
      </c>
      <c r="E3" s="900" t="s">
        <v>1836</v>
      </c>
      <c r="F3" s="900"/>
      <c r="G3" s="900"/>
      <c r="H3" s="901"/>
    </row>
    <row r="4" spans="1:8" s="55" customFormat="1" ht="27" customHeight="1">
      <c r="A4" s="891"/>
      <c r="B4" s="895"/>
      <c r="C4" s="895"/>
      <c r="D4" s="898"/>
      <c r="E4" s="902" t="s">
        <v>1830</v>
      </c>
      <c r="F4" s="902" t="s">
        <v>1831</v>
      </c>
      <c r="G4" s="897" t="s">
        <v>1832</v>
      </c>
      <c r="H4" s="902" t="s">
        <v>1834</v>
      </c>
    </row>
    <row r="5" spans="1:8" s="55" customFormat="1" ht="27" customHeight="1">
      <c r="A5" s="891"/>
      <c r="B5" s="896"/>
      <c r="C5" s="896"/>
      <c r="D5" s="899"/>
      <c r="E5" s="903"/>
      <c r="F5" s="903"/>
      <c r="G5" s="899"/>
      <c r="H5" s="903"/>
    </row>
    <row r="6" spans="1:8" s="55" customFormat="1" ht="18.75" customHeight="1">
      <c r="A6" s="890" t="s">
        <v>253</v>
      </c>
      <c r="B6" s="39">
        <v>1</v>
      </c>
      <c r="C6" s="40" t="s">
        <v>37</v>
      </c>
      <c r="D6" s="40">
        <v>298.90027339999995</v>
      </c>
      <c r="E6" s="40">
        <v>160.69999999999999</v>
      </c>
      <c r="F6" s="40">
        <v>106.393023</v>
      </c>
      <c r="G6" s="28">
        <f t="shared" ref="G6:G37" si="0">F6/E6</f>
        <v>0.66205988176726827</v>
      </c>
      <c r="H6" s="28">
        <f t="shared" ref="H6:H27" si="1">F6/D6</f>
        <v>0.35594822911928464</v>
      </c>
    </row>
    <row r="7" spans="1:8" s="55" customFormat="1" ht="18.75" customHeight="1">
      <c r="A7" s="904"/>
      <c r="B7" s="39">
        <v>2</v>
      </c>
      <c r="C7" s="41" t="s">
        <v>155</v>
      </c>
      <c r="D7" s="40">
        <v>1110.5676000000001</v>
      </c>
      <c r="E7" s="64">
        <v>610.5</v>
      </c>
      <c r="F7" s="64">
        <v>588.03200000000004</v>
      </c>
      <c r="G7" s="30">
        <f t="shared" si="0"/>
        <v>0.96319737919737924</v>
      </c>
      <c r="H7" s="30">
        <f t="shared" si="1"/>
        <v>0.52948780425432906</v>
      </c>
    </row>
    <row r="8" spans="1:8" s="55" customFormat="1" ht="18.75" customHeight="1">
      <c r="A8" s="905"/>
      <c r="B8" s="39">
        <v>3</v>
      </c>
      <c r="C8" s="42" t="s">
        <v>209</v>
      </c>
      <c r="D8" s="40">
        <v>230.303</v>
      </c>
      <c r="E8" s="40">
        <v>39.9726</v>
      </c>
      <c r="F8" s="40">
        <v>34.193553000000001</v>
      </c>
      <c r="G8" s="28">
        <f t="shared" si="0"/>
        <v>0.85542479098182256</v>
      </c>
      <c r="H8" s="28">
        <f t="shared" si="1"/>
        <v>0.14847202598316131</v>
      </c>
    </row>
    <row r="9" spans="1:8" s="55" customFormat="1" ht="25.5" customHeight="1">
      <c r="A9" s="906"/>
      <c r="B9" s="43">
        <v>4</v>
      </c>
      <c r="C9" s="44" t="s">
        <v>1835</v>
      </c>
      <c r="D9" s="64">
        <v>169.4556</v>
      </c>
      <c r="E9" s="64">
        <v>0.72560000000000002</v>
      </c>
      <c r="F9" s="64">
        <v>0.65784399999999998</v>
      </c>
      <c r="G9" s="45">
        <f t="shared" si="0"/>
        <v>0.90662072767364932</v>
      </c>
      <c r="H9" s="45">
        <f t="shared" si="1"/>
        <v>3.882102450435394E-3</v>
      </c>
    </row>
    <row r="10" spans="1:8" ht="18.75" customHeight="1">
      <c r="A10" s="890" t="s">
        <v>462</v>
      </c>
      <c r="B10" s="31">
        <v>1</v>
      </c>
      <c r="C10" s="3" t="s">
        <v>1837</v>
      </c>
      <c r="D10" s="64">
        <v>276.75630000000001</v>
      </c>
      <c r="E10" s="64">
        <v>112</v>
      </c>
      <c r="F10" s="64">
        <v>206</v>
      </c>
      <c r="G10" s="30">
        <f t="shared" si="0"/>
        <v>1.8392857142857142</v>
      </c>
      <c r="H10" s="30">
        <f t="shared" si="1"/>
        <v>0.74433716594708044</v>
      </c>
    </row>
    <row r="11" spans="1:8" ht="18.75" customHeight="1">
      <c r="A11" s="891"/>
      <c r="B11" s="31">
        <v>2</v>
      </c>
      <c r="C11" s="7" t="s">
        <v>259</v>
      </c>
      <c r="D11" s="64">
        <v>108.68</v>
      </c>
      <c r="E11" s="64">
        <v>13</v>
      </c>
      <c r="F11" s="64">
        <v>10.82</v>
      </c>
      <c r="G11" s="30">
        <f t="shared" si="0"/>
        <v>0.8323076923076923</v>
      </c>
      <c r="H11" s="30">
        <f t="shared" si="1"/>
        <v>9.9558336400441663E-2</v>
      </c>
    </row>
    <row r="12" spans="1:8" ht="18.75" customHeight="1">
      <c r="A12" s="891"/>
      <c r="B12" s="31">
        <v>3</v>
      </c>
      <c r="C12" s="3" t="s">
        <v>1849</v>
      </c>
      <c r="D12" s="64">
        <v>623.43246099999999</v>
      </c>
      <c r="E12" s="40">
        <v>4.05</v>
      </c>
      <c r="F12" s="40">
        <v>2.9520000000000004</v>
      </c>
      <c r="G12" s="28">
        <f t="shared" si="0"/>
        <v>0.72888888888888903</v>
      </c>
      <c r="H12" s="28">
        <f t="shared" si="1"/>
        <v>4.735075865740011E-3</v>
      </c>
    </row>
    <row r="13" spans="1:8" ht="18.75" customHeight="1">
      <c r="A13" s="891"/>
      <c r="B13" s="31">
        <v>4</v>
      </c>
      <c r="C13" s="7" t="s">
        <v>308</v>
      </c>
      <c r="D13" s="35">
        <v>23.3461</v>
      </c>
      <c r="E13" s="40">
        <v>91.658000000000001</v>
      </c>
      <c r="F13" s="40">
        <v>163.39060000000001</v>
      </c>
      <c r="G13" s="28">
        <f t="shared" si="0"/>
        <v>1.7826114469004342</v>
      </c>
      <c r="H13" s="28">
        <f t="shared" si="1"/>
        <v>6.9986250380149153</v>
      </c>
    </row>
    <row r="14" spans="1:8" ht="18.75" customHeight="1">
      <c r="A14" s="891"/>
      <c r="B14" s="31">
        <v>5</v>
      </c>
      <c r="C14" s="3" t="s">
        <v>1838</v>
      </c>
      <c r="D14" s="64">
        <v>314.262156</v>
      </c>
      <c r="E14" s="40">
        <v>16.388200000000001</v>
      </c>
      <c r="F14" s="40">
        <v>19.147899000000002</v>
      </c>
      <c r="G14" s="28">
        <f t="shared" si="0"/>
        <v>1.1683954918783028</v>
      </c>
      <c r="H14" s="28">
        <f t="shared" si="1"/>
        <v>6.0929700361376002E-2</v>
      </c>
    </row>
    <row r="15" spans="1:8" ht="18.75" customHeight="1">
      <c r="A15" s="891"/>
      <c r="B15" s="31">
        <v>6</v>
      </c>
      <c r="C15" s="3" t="s">
        <v>1839</v>
      </c>
      <c r="D15" s="64">
        <v>58.796300000000002</v>
      </c>
      <c r="E15" s="64">
        <v>9</v>
      </c>
      <c r="F15" s="64">
        <v>9.1908999999999992</v>
      </c>
      <c r="G15" s="30">
        <f t="shared" si="0"/>
        <v>1.0212111111111111</v>
      </c>
      <c r="H15" s="30">
        <f t="shared" si="1"/>
        <v>0.15631765944455686</v>
      </c>
    </row>
    <row r="16" spans="1:8" ht="18.75" customHeight="1">
      <c r="A16" s="891"/>
      <c r="B16" s="31">
        <v>7</v>
      </c>
      <c r="C16" s="7" t="s">
        <v>393</v>
      </c>
      <c r="D16" s="64">
        <v>257.79000000000002</v>
      </c>
      <c r="E16" s="40">
        <v>214.973412</v>
      </c>
      <c r="F16" s="40">
        <v>415.44799999999998</v>
      </c>
      <c r="G16" s="28">
        <f t="shared" si="0"/>
        <v>1.932555268741792</v>
      </c>
      <c r="H16" s="28">
        <f t="shared" si="1"/>
        <v>1.6115753132394584</v>
      </c>
    </row>
    <row r="17" spans="1:8" ht="18.75" customHeight="1">
      <c r="A17" s="891"/>
      <c r="B17" s="31">
        <v>8</v>
      </c>
      <c r="C17" s="7" t="s">
        <v>438</v>
      </c>
      <c r="D17" s="35">
        <v>321.14999999999998</v>
      </c>
      <c r="E17" s="40">
        <v>26.946306</v>
      </c>
      <c r="F17" s="40">
        <v>22.743859999999998</v>
      </c>
      <c r="G17" s="28">
        <f t="shared" si="0"/>
        <v>0.84404370677004847</v>
      </c>
      <c r="H17" s="28">
        <f t="shared" si="1"/>
        <v>7.082005293476569E-2</v>
      </c>
    </row>
    <row r="18" spans="1:8" ht="18.75" customHeight="1">
      <c r="A18" s="891"/>
      <c r="B18" s="31">
        <v>9</v>
      </c>
      <c r="C18" s="7" t="s">
        <v>456</v>
      </c>
      <c r="D18" s="35">
        <v>285.03999999999996</v>
      </c>
      <c r="E18" s="40">
        <v>22</v>
      </c>
      <c r="F18" s="40">
        <v>17.886299999999999</v>
      </c>
      <c r="G18" s="28">
        <f t="shared" si="0"/>
        <v>0.81301363636363633</v>
      </c>
      <c r="H18" s="28">
        <f t="shared" si="1"/>
        <v>6.2750140331181592E-2</v>
      </c>
    </row>
    <row r="19" spans="1:8" ht="26.25" customHeight="1">
      <c r="A19" s="890" t="s">
        <v>1829</v>
      </c>
      <c r="B19" s="29">
        <v>1</v>
      </c>
      <c r="C19" s="34" t="s">
        <v>465</v>
      </c>
      <c r="D19" s="64">
        <v>208.505</v>
      </c>
      <c r="E19" s="64">
        <v>5.831982</v>
      </c>
      <c r="F19" s="64">
        <v>4.7360440000000006</v>
      </c>
      <c r="G19" s="30">
        <f t="shared" si="0"/>
        <v>0.81208138159548515</v>
      </c>
      <c r="H19" s="30">
        <f t="shared" si="1"/>
        <v>2.2714294621232107E-2</v>
      </c>
    </row>
    <row r="20" spans="1:8" ht="27" customHeight="1">
      <c r="A20" s="891"/>
      <c r="B20" s="29">
        <v>2</v>
      </c>
      <c r="C20" s="34" t="s">
        <v>470</v>
      </c>
      <c r="D20" s="64">
        <v>226.86137400000001</v>
      </c>
      <c r="E20" s="64">
        <v>1.0528790000000001</v>
      </c>
      <c r="F20" s="64">
        <v>0.88869699999999996</v>
      </c>
      <c r="G20" s="30">
        <f t="shared" si="0"/>
        <v>0.84406375281490076</v>
      </c>
      <c r="H20" s="30">
        <f t="shared" si="1"/>
        <v>3.9173570376065869E-3</v>
      </c>
    </row>
    <row r="21" spans="1:8" ht="18.75" customHeight="1">
      <c r="A21" s="891"/>
      <c r="B21" s="29">
        <v>3</v>
      </c>
      <c r="C21" s="34" t="s">
        <v>474</v>
      </c>
      <c r="D21" s="64">
        <v>899.91817499999991</v>
      </c>
      <c r="E21" s="40">
        <v>97.544999999999987</v>
      </c>
      <c r="F21" s="40">
        <v>79.846499999999992</v>
      </c>
      <c r="G21" s="28">
        <f t="shared" si="0"/>
        <v>0.81856066430878061</v>
      </c>
      <c r="H21" s="28">
        <f t="shared" si="1"/>
        <v>8.8726400041870476E-2</v>
      </c>
    </row>
    <row r="22" spans="1:8" ht="18.75" customHeight="1">
      <c r="A22" s="891"/>
      <c r="B22" s="29">
        <v>4</v>
      </c>
      <c r="C22" s="34" t="s">
        <v>483</v>
      </c>
      <c r="D22" s="64">
        <v>159.51480000000001</v>
      </c>
      <c r="E22" s="40">
        <v>67.695499999999996</v>
      </c>
      <c r="F22" s="40">
        <v>46.343000000000004</v>
      </c>
      <c r="G22" s="28">
        <f t="shared" si="0"/>
        <v>0.68458021581936768</v>
      </c>
      <c r="H22" s="28">
        <f t="shared" si="1"/>
        <v>0.2905247663539684</v>
      </c>
    </row>
    <row r="23" spans="1:8" ht="28.5" customHeight="1">
      <c r="A23" s="891"/>
      <c r="B23" s="29">
        <v>5</v>
      </c>
      <c r="C23" s="34" t="s">
        <v>494</v>
      </c>
      <c r="D23" s="64">
        <v>100.758627</v>
      </c>
      <c r="E23" s="40">
        <v>105</v>
      </c>
      <c r="F23" s="40">
        <v>148.24510000000001</v>
      </c>
      <c r="G23" s="28">
        <f t="shared" si="0"/>
        <v>1.4118580952380952</v>
      </c>
      <c r="H23" s="28">
        <f t="shared" si="1"/>
        <v>1.4712894013531963</v>
      </c>
    </row>
    <row r="24" spans="1:8" ht="18.75" customHeight="1">
      <c r="A24" s="891"/>
      <c r="B24" s="29">
        <v>6</v>
      </c>
      <c r="C24" s="34" t="s">
        <v>502</v>
      </c>
      <c r="D24" s="64">
        <v>536.7011</v>
      </c>
      <c r="E24" s="64">
        <v>20</v>
      </c>
      <c r="F24" s="64">
        <v>30</v>
      </c>
      <c r="G24" s="30">
        <f t="shared" si="0"/>
        <v>1.5</v>
      </c>
      <c r="H24" s="30">
        <f t="shared" si="1"/>
        <v>5.5897034680942523E-2</v>
      </c>
    </row>
    <row r="25" spans="1:8" ht="18.75" customHeight="1">
      <c r="A25" s="891"/>
      <c r="B25" s="29">
        <v>7</v>
      </c>
      <c r="C25" s="34" t="s">
        <v>508</v>
      </c>
      <c r="D25" s="64">
        <v>74.799750000000003</v>
      </c>
      <c r="E25" s="64">
        <v>167</v>
      </c>
      <c r="F25" s="64">
        <v>98.4</v>
      </c>
      <c r="G25" s="30">
        <f t="shared" si="0"/>
        <v>0.58922155688622757</v>
      </c>
      <c r="H25" s="30">
        <f t="shared" si="1"/>
        <v>1.3155124181564779</v>
      </c>
    </row>
    <row r="26" spans="1:8" ht="25.5" customHeight="1">
      <c r="A26" s="891"/>
      <c r="B26" s="29">
        <v>8</v>
      </c>
      <c r="C26" s="34" t="s">
        <v>516</v>
      </c>
      <c r="D26" s="64">
        <v>60</v>
      </c>
      <c r="E26" s="40">
        <v>2.82389</v>
      </c>
      <c r="F26" s="40">
        <v>2.4497260000000001</v>
      </c>
      <c r="G26" s="28">
        <f t="shared" si="0"/>
        <v>0.8675005046230555</v>
      </c>
      <c r="H26" s="28">
        <f t="shared" si="1"/>
        <v>4.0828766666666669E-2</v>
      </c>
    </row>
    <row r="27" spans="1:8" ht="18.75" customHeight="1">
      <c r="A27" s="890" t="s">
        <v>728</v>
      </c>
      <c r="B27" s="20">
        <v>1</v>
      </c>
      <c r="C27" s="3" t="s">
        <v>536</v>
      </c>
      <c r="D27" s="64">
        <v>84.766033000000007</v>
      </c>
      <c r="E27" s="65">
        <v>9</v>
      </c>
      <c r="F27" s="65">
        <v>7</v>
      </c>
      <c r="G27" s="46">
        <f t="shared" si="0"/>
        <v>0.77777777777777779</v>
      </c>
      <c r="H27" s="46">
        <f t="shared" si="1"/>
        <v>8.2580247680105537E-2</v>
      </c>
    </row>
    <row r="28" spans="1:8" ht="18.75" customHeight="1">
      <c r="A28" s="891"/>
      <c r="B28" s="20">
        <v>2</v>
      </c>
      <c r="C28" s="7" t="s">
        <v>557</v>
      </c>
      <c r="D28" s="64">
        <v>321.8</v>
      </c>
      <c r="E28" s="48">
        <v>213.11</v>
      </c>
      <c r="F28" s="48">
        <v>144.68</v>
      </c>
      <c r="G28" s="47">
        <f t="shared" si="0"/>
        <v>0.67889822157571211</v>
      </c>
      <c r="H28" s="47">
        <f>G28/D28</f>
        <v>2.1096899365311127E-3</v>
      </c>
    </row>
    <row r="29" spans="1:8" ht="18.75" customHeight="1">
      <c r="A29" s="891"/>
      <c r="B29" s="20">
        <v>3</v>
      </c>
      <c r="C29" s="3" t="s">
        <v>592</v>
      </c>
      <c r="D29" s="64">
        <v>168</v>
      </c>
      <c r="E29" s="48">
        <v>25</v>
      </c>
      <c r="F29" s="48">
        <v>29</v>
      </c>
      <c r="G29" s="47">
        <f t="shared" si="0"/>
        <v>1.1599999999999999</v>
      </c>
      <c r="H29" s="47">
        <f t="shared" ref="H29:H60" si="2">F29/D29</f>
        <v>0.17261904761904762</v>
      </c>
    </row>
    <row r="30" spans="1:8" ht="24" customHeight="1">
      <c r="A30" s="891"/>
      <c r="B30" s="20">
        <v>4</v>
      </c>
      <c r="C30" s="7" t="s">
        <v>598</v>
      </c>
      <c r="D30" s="64">
        <v>293.2</v>
      </c>
      <c r="E30" s="48">
        <v>391.79999999999995</v>
      </c>
      <c r="F30" s="48">
        <v>543.30999999999995</v>
      </c>
      <c r="G30" s="47">
        <f t="shared" si="0"/>
        <v>1.3867023991832568</v>
      </c>
      <c r="H30" s="47">
        <f t="shared" si="2"/>
        <v>1.8530354706684855</v>
      </c>
    </row>
    <row r="31" spans="1:8" ht="24" customHeight="1">
      <c r="A31" s="891"/>
      <c r="B31" s="20">
        <v>5</v>
      </c>
      <c r="C31" s="3" t="s">
        <v>624</v>
      </c>
      <c r="D31" s="64">
        <v>111.46</v>
      </c>
      <c r="E31" s="48">
        <v>116</v>
      </c>
      <c r="F31" s="48">
        <v>160</v>
      </c>
      <c r="G31" s="47">
        <f t="shared" si="0"/>
        <v>1.3793103448275863</v>
      </c>
      <c r="H31" s="47">
        <f t="shared" si="2"/>
        <v>1.4354925533823795</v>
      </c>
    </row>
    <row r="32" spans="1:8" ht="18.75" customHeight="1">
      <c r="A32" s="891"/>
      <c r="B32" s="20">
        <v>6</v>
      </c>
      <c r="C32" s="7" t="s">
        <v>641</v>
      </c>
      <c r="D32" s="64">
        <v>500.964</v>
      </c>
      <c r="E32" s="48">
        <v>15.323029</v>
      </c>
      <c r="F32" s="48">
        <v>10.404067</v>
      </c>
      <c r="G32" s="47">
        <f t="shared" si="0"/>
        <v>0.67898239962868956</v>
      </c>
      <c r="H32" s="47">
        <f t="shared" si="2"/>
        <v>2.0768093116471441E-2</v>
      </c>
    </row>
    <row r="33" spans="1:8" ht="18.75" customHeight="1">
      <c r="A33" s="891"/>
      <c r="B33" s="20">
        <v>7</v>
      </c>
      <c r="C33" s="10" t="s">
        <v>656</v>
      </c>
      <c r="D33" s="64">
        <v>81.734058000000005</v>
      </c>
      <c r="E33" s="65">
        <v>0.41</v>
      </c>
      <c r="F33" s="65">
        <v>0.4</v>
      </c>
      <c r="G33" s="46">
        <f t="shared" si="0"/>
        <v>0.97560975609756106</v>
      </c>
      <c r="H33" s="46">
        <f t="shared" si="2"/>
        <v>4.8939207202950818E-3</v>
      </c>
    </row>
    <row r="34" spans="1:8" ht="18.75" customHeight="1">
      <c r="A34" s="891"/>
      <c r="B34" s="20">
        <v>8</v>
      </c>
      <c r="C34" s="7" t="s">
        <v>667</v>
      </c>
      <c r="D34" s="64">
        <v>140.16546199999999</v>
      </c>
      <c r="E34" s="48">
        <v>820</v>
      </c>
      <c r="F34" s="48">
        <v>122.32342700000001</v>
      </c>
      <c r="G34" s="47">
        <f t="shared" si="0"/>
        <v>0.14917491097560978</v>
      </c>
      <c r="H34" s="47">
        <f t="shared" si="2"/>
        <v>0.87270733641929576</v>
      </c>
    </row>
    <row r="35" spans="1:8" ht="18.75" customHeight="1">
      <c r="A35" s="891"/>
      <c r="B35" s="20">
        <v>9</v>
      </c>
      <c r="C35" s="7" t="s">
        <v>1840</v>
      </c>
      <c r="D35" s="64">
        <v>108.00999999999999</v>
      </c>
      <c r="E35" s="48">
        <v>1484</v>
      </c>
      <c r="F35" s="48">
        <v>146</v>
      </c>
      <c r="G35" s="47">
        <f t="shared" si="0"/>
        <v>9.8382749326145547E-2</v>
      </c>
      <c r="H35" s="47">
        <f t="shared" si="2"/>
        <v>1.3517266919729656</v>
      </c>
    </row>
    <row r="36" spans="1:8" ht="18.75" customHeight="1">
      <c r="A36" s="891"/>
      <c r="B36" s="20">
        <v>10</v>
      </c>
      <c r="C36" s="49" t="s">
        <v>716</v>
      </c>
      <c r="D36" s="64">
        <v>201</v>
      </c>
      <c r="E36" s="48">
        <v>89.82</v>
      </c>
      <c r="F36" s="48">
        <v>106.3</v>
      </c>
      <c r="G36" s="47">
        <f t="shared" si="0"/>
        <v>1.1834780672456024</v>
      </c>
      <c r="H36" s="47">
        <f t="shared" si="2"/>
        <v>0.52885572139303483</v>
      </c>
    </row>
    <row r="37" spans="1:8" ht="27.75" customHeight="1">
      <c r="A37" s="890" t="s">
        <v>874</v>
      </c>
      <c r="B37" s="31">
        <v>1</v>
      </c>
      <c r="C37" s="35" t="s">
        <v>749</v>
      </c>
      <c r="D37" s="66">
        <v>42.103099999999998</v>
      </c>
      <c r="E37" s="35">
        <v>10.6853</v>
      </c>
      <c r="F37" s="35">
        <v>8</v>
      </c>
      <c r="G37" s="33">
        <f t="shared" si="0"/>
        <v>0.7486921284381346</v>
      </c>
      <c r="H37" s="33">
        <f t="shared" si="2"/>
        <v>0.19000976175150999</v>
      </c>
    </row>
    <row r="38" spans="1:8" ht="18.75" customHeight="1">
      <c r="A38" s="891"/>
      <c r="B38" s="31">
        <v>2</v>
      </c>
      <c r="C38" s="7" t="s">
        <v>1850</v>
      </c>
      <c r="D38" s="35">
        <v>173.701424</v>
      </c>
      <c r="E38" s="70">
        <v>45</v>
      </c>
      <c r="F38" s="70">
        <v>54.120072</v>
      </c>
      <c r="G38" s="51">
        <f t="shared" ref="G38:G66" si="3">F38/E38</f>
        <v>1.2026682666666666</v>
      </c>
      <c r="H38" s="51">
        <f t="shared" si="2"/>
        <v>0.3115695355496913</v>
      </c>
    </row>
    <row r="39" spans="1:8" ht="28.5" customHeight="1">
      <c r="A39" s="891"/>
      <c r="B39" s="31">
        <v>3</v>
      </c>
      <c r="C39" s="35" t="s">
        <v>1851</v>
      </c>
      <c r="D39" s="35">
        <v>38.856726999999999</v>
      </c>
      <c r="E39" s="35">
        <v>76</v>
      </c>
      <c r="F39" s="35">
        <v>53</v>
      </c>
      <c r="G39" s="33">
        <f t="shared" si="3"/>
        <v>0.69736842105263153</v>
      </c>
      <c r="H39" s="33">
        <f t="shared" si="2"/>
        <v>1.363985185885574</v>
      </c>
    </row>
    <row r="40" spans="1:8" ht="32.25" customHeight="1">
      <c r="A40" s="891"/>
      <c r="B40" s="31">
        <v>4</v>
      </c>
      <c r="C40" s="35" t="s">
        <v>1843</v>
      </c>
      <c r="D40" s="35">
        <v>71.847000000000008</v>
      </c>
      <c r="E40" s="35">
        <v>3.2494999999999998</v>
      </c>
      <c r="F40" s="35">
        <v>7</v>
      </c>
      <c r="G40" s="33">
        <f t="shared" si="3"/>
        <v>2.1541775657793507</v>
      </c>
      <c r="H40" s="33">
        <f t="shared" si="2"/>
        <v>9.7429259398443907E-2</v>
      </c>
    </row>
    <row r="41" spans="1:8" ht="27.75" customHeight="1">
      <c r="A41" s="891"/>
      <c r="B41" s="31">
        <v>5</v>
      </c>
      <c r="C41" s="36" t="s">
        <v>846</v>
      </c>
      <c r="D41" s="35">
        <v>0.39</v>
      </c>
      <c r="E41" s="66">
        <v>2.2000000000000002</v>
      </c>
      <c r="F41" s="66">
        <v>1.1000000000000001</v>
      </c>
      <c r="G41" s="32">
        <f t="shared" si="3"/>
        <v>0.5</v>
      </c>
      <c r="H41" s="32">
        <f t="shared" si="2"/>
        <v>2.8205128205128207</v>
      </c>
    </row>
    <row r="42" spans="1:8" ht="37.5" customHeight="1">
      <c r="A42" s="890" t="s">
        <v>1034</v>
      </c>
      <c r="B42" s="19">
        <v>1</v>
      </c>
      <c r="C42" s="8" t="s">
        <v>875</v>
      </c>
      <c r="D42" s="64">
        <v>158.27649</v>
      </c>
      <c r="E42" s="48">
        <v>71.713899999999995</v>
      </c>
      <c r="F42" s="48">
        <v>63.367005999999989</v>
      </c>
      <c r="G42" s="47">
        <f t="shared" si="3"/>
        <v>0.88360842179828447</v>
      </c>
      <c r="H42" s="47">
        <f t="shared" si="2"/>
        <v>0.40035640163614944</v>
      </c>
    </row>
    <row r="43" spans="1:8" ht="24" customHeight="1">
      <c r="A43" s="891"/>
      <c r="B43" s="19">
        <v>2</v>
      </c>
      <c r="C43" s="8" t="s">
        <v>1841</v>
      </c>
      <c r="D43" s="48">
        <v>25</v>
      </c>
      <c r="E43" s="48">
        <v>37.520000000000003</v>
      </c>
      <c r="F43" s="48">
        <v>83.687117999999998</v>
      </c>
      <c r="G43" s="47">
        <f t="shared" si="3"/>
        <v>2.2304668976545838</v>
      </c>
      <c r="H43" s="47">
        <f t="shared" si="2"/>
        <v>3.3474847199999997</v>
      </c>
    </row>
    <row r="44" spans="1:8" ht="38.25" customHeight="1">
      <c r="A44" s="891"/>
      <c r="B44" s="19">
        <v>3</v>
      </c>
      <c r="C44" s="8" t="s">
        <v>1842</v>
      </c>
      <c r="D44" s="64">
        <v>289.08000000000004</v>
      </c>
      <c r="E44" s="40">
        <v>395.1</v>
      </c>
      <c r="F44" s="40">
        <v>393.15</v>
      </c>
      <c r="G44" s="28">
        <f t="shared" si="3"/>
        <v>0.99506454062262706</v>
      </c>
      <c r="H44" s="28">
        <f t="shared" si="2"/>
        <v>1.3600041511000411</v>
      </c>
    </row>
    <row r="45" spans="1:8" ht="30" customHeight="1">
      <c r="A45" s="891"/>
      <c r="B45" s="19">
        <v>4</v>
      </c>
      <c r="C45" s="3" t="s">
        <v>940</v>
      </c>
      <c r="D45" s="64">
        <v>62.591499999999996</v>
      </c>
      <c r="E45" s="40">
        <v>255.5</v>
      </c>
      <c r="F45" s="40">
        <v>80.37</v>
      </c>
      <c r="G45" s="28">
        <f t="shared" si="3"/>
        <v>0.31455968688845404</v>
      </c>
      <c r="H45" s="28">
        <f t="shared" si="2"/>
        <v>1.2840401651981501</v>
      </c>
    </row>
    <row r="46" spans="1:8" ht="22.5" customHeight="1">
      <c r="A46" s="891"/>
      <c r="B46" s="19">
        <v>5</v>
      </c>
      <c r="C46" s="7" t="s">
        <v>966</v>
      </c>
      <c r="D46" s="64">
        <v>67.516899999999993</v>
      </c>
      <c r="E46" s="40">
        <v>148</v>
      </c>
      <c r="F46" s="40">
        <v>145.72337999999999</v>
      </c>
      <c r="G46" s="28">
        <f t="shared" si="3"/>
        <v>0.98461743243243238</v>
      </c>
      <c r="H46" s="28">
        <f t="shared" si="2"/>
        <v>2.1583245083823459</v>
      </c>
    </row>
    <row r="47" spans="1:8" ht="24.75" customHeight="1">
      <c r="A47" s="891"/>
      <c r="B47" s="19">
        <v>6</v>
      </c>
      <c r="C47" s="8" t="s">
        <v>974</v>
      </c>
      <c r="D47" s="64">
        <v>107.69999999999999</v>
      </c>
      <c r="E47" s="40">
        <v>86</v>
      </c>
      <c r="F47" s="40">
        <v>274.08</v>
      </c>
      <c r="G47" s="28">
        <f t="shared" si="3"/>
        <v>3.1869767441860462</v>
      </c>
      <c r="H47" s="28">
        <f t="shared" si="2"/>
        <v>2.5448467966573816</v>
      </c>
    </row>
    <row r="48" spans="1:8" ht="18.75" customHeight="1">
      <c r="A48" s="890" t="s">
        <v>1257</v>
      </c>
      <c r="B48" s="56">
        <v>1</v>
      </c>
      <c r="C48" s="57" t="s">
        <v>1042</v>
      </c>
      <c r="D48" s="40">
        <v>111.2516</v>
      </c>
      <c r="E48" s="40">
        <v>9.7900999999999989</v>
      </c>
      <c r="F48" s="40">
        <v>8.3355999999999995</v>
      </c>
      <c r="G48" s="28">
        <f t="shared" si="3"/>
        <v>0.85143154819664768</v>
      </c>
      <c r="H48" s="28">
        <f t="shared" si="2"/>
        <v>7.4925663990450475E-2</v>
      </c>
    </row>
    <row r="49" spans="1:8" ht="18.75" customHeight="1">
      <c r="A49" s="891"/>
      <c r="B49" s="39">
        <v>2</v>
      </c>
      <c r="C49" s="52" t="s">
        <v>1053</v>
      </c>
      <c r="D49" s="40">
        <v>180.92160999999999</v>
      </c>
      <c r="E49" s="67">
        <v>97.776200000000003</v>
      </c>
      <c r="F49" s="67">
        <v>137.972081</v>
      </c>
      <c r="G49" s="28">
        <f t="shared" si="3"/>
        <v>1.4111008711731485</v>
      </c>
      <c r="H49" s="28">
        <f t="shared" si="2"/>
        <v>0.7626069710522696</v>
      </c>
    </row>
    <row r="50" spans="1:8" ht="18.75" customHeight="1">
      <c r="A50" s="891"/>
      <c r="B50" s="56">
        <v>3</v>
      </c>
      <c r="C50" s="52" t="s">
        <v>1852</v>
      </c>
      <c r="D50" s="40">
        <v>197.416279</v>
      </c>
      <c r="E50" s="40">
        <v>226.61</v>
      </c>
      <c r="F50" s="40">
        <v>118.19591400000002</v>
      </c>
      <c r="G50" s="28">
        <f t="shared" si="3"/>
        <v>0.5215829575040819</v>
      </c>
      <c r="H50" s="28">
        <f t="shared" si="2"/>
        <v>0.59871412124022461</v>
      </c>
    </row>
    <row r="51" spans="1:8" ht="18.75" customHeight="1">
      <c r="A51" s="891"/>
      <c r="B51" s="39">
        <v>4</v>
      </c>
      <c r="C51" s="52" t="s">
        <v>1853</v>
      </c>
      <c r="D51" s="40">
        <v>247</v>
      </c>
      <c r="E51" s="40">
        <v>108.07000000000001</v>
      </c>
      <c r="F51" s="40">
        <v>83</v>
      </c>
      <c r="G51" s="28">
        <f t="shared" si="3"/>
        <v>0.76802072730637549</v>
      </c>
      <c r="H51" s="28">
        <f t="shared" si="2"/>
        <v>0.33603238866396762</v>
      </c>
    </row>
    <row r="52" spans="1:8" ht="18.75" customHeight="1">
      <c r="A52" s="891"/>
      <c r="B52" s="56">
        <v>5</v>
      </c>
      <c r="C52" s="57" t="s">
        <v>1854</v>
      </c>
      <c r="D52" s="40">
        <v>235.776274</v>
      </c>
      <c r="E52" s="40">
        <v>61</v>
      </c>
      <c r="F52" s="40">
        <v>55.804712000000002</v>
      </c>
      <c r="G52" s="28">
        <f t="shared" si="3"/>
        <v>0.91483134426229507</v>
      </c>
      <c r="H52" s="28">
        <f t="shared" si="2"/>
        <v>0.23668501946043988</v>
      </c>
    </row>
    <row r="53" spans="1:8" ht="18.75" customHeight="1">
      <c r="A53" s="891"/>
      <c r="B53" s="39">
        <v>6</v>
      </c>
      <c r="C53" s="57" t="s">
        <v>1140</v>
      </c>
      <c r="D53" s="68">
        <v>118.56</v>
      </c>
      <c r="E53" s="40">
        <v>742.52</v>
      </c>
      <c r="F53" s="40">
        <v>240</v>
      </c>
      <c r="G53" s="28">
        <f t="shared" si="3"/>
        <v>0.3232236168722728</v>
      </c>
      <c r="H53" s="28">
        <f t="shared" si="2"/>
        <v>2.0242914979757085</v>
      </c>
    </row>
    <row r="54" spans="1:8" ht="18.75" customHeight="1">
      <c r="A54" s="891"/>
      <c r="B54" s="56">
        <v>7</v>
      </c>
      <c r="C54" s="3" t="s">
        <v>1855</v>
      </c>
      <c r="D54" s="40">
        <v>200.93</v>
      </c>
      <c r="E54" s="40">
        <v>545</v>
      </c>
      <c r="F54" s="40">
        <v>348</v>
      </c>
      <c r="G54" s="28">
        <f t="shared" si="3"/>
        <v>0.63853211009174315</v>
      </c>
      <c r="H54" s="28">
        <f t="shared" si="2"/>
        <v>1.7319464490120937</v>
      </c>
    </row>
    <row r="55" spans="1:8" ht="18.75" customHeight="1">
      <c r="A55" s="891"/>
      <c r="B55" s="39">
        <v>8</v>
      </c>
      <c r="C55" s="52" t="s">
        <v>1856</v>
      </c>
      <c r="D55" s="40">
        <v>66</v>
      </c>
      <c r="E55" s="40">
        <v>5.9492409999999998</v>
      </c>
      <c r="F55" s="40">
        <v>3.6282350000000001</v>
      </c>
      <c r="G55" s="58">
        <f t="shared" si="3"/>
        <v>0.60986519120674387</v>
      </c>
      <c r="H55" s="58">
        <f t="shared" si="2"/>
        <v>5.4973257575757578E-2</v>
      </c>
    </row>
    <row r="56" spans="1:8" ht="18.75" customHeight="1">
      <c r="A56" s="891"/>
      <c r="B56" s="56">
        <v>9</v>
      </c>
      <c r="C56" s="57" t="s">
        <v>1857</v>
      </c>
      <c r="D56" s="68">
        <v>271.1071</v>
      </c>
      <c r="E56" s="40">
        <v>93.047316000000009</v>
      </c>
      <c r="F56" s="40">
        <v>59.109085999999998</v>
      </c>
      <c r="G56" s="28">
        <f t="shared" si="3"/>
        <v>0.63525836682919468</v>
      </c>
      <c r="H56" s="28">
        <f t="shared" si="2"/>
        <v>0.21802854296327909</v>
      </c>
    </row>
    <row r="57" spans="1:8" ht="18.75" customHeight="1">
      <c r="A57" s="891"/>
      <c r="B57" s="39">
        <v>10</v>
      </c>
      <c r="C57" s="57" t="s">
        <v>1188</v>
      </c>
      <c r="D57" s="68">
        <v>73.699806999999993</v>
      </c>
      <c r="E57" s="40">
        <v>125.92999999999999</v>
      </c>
      <c r="F57" s="40">
        <v>92.37</v>
      </c>
      <c r="G57" s="58">
        <f t="shared" si="3"/>
        <v>0.73350273961724777</v>
      </c>
      <c r="H57" s="58">
        <f t="shared" si="2"/>
        <v>1.2533275697723336</v>
      </c>
    </row>
    <row r="58" spans="1:8" ht="18.75" customHeight="1">
      <c r="A58" s="891"/>
      <c r="B58" s="56">
        <v>11</v>
      </c>
      <c r="C58" s="59" t="s">
        <v>1858</v>
      </c>
      <c r="D58" s="64">
        <v>75.986049999999992</v>
      </c>
      <c r="E58" s="64">
        <v>57.674799999999998</v>
      </c>
      <c r="F58" s="64">
        <v>74.965900000000005</v>
      </c>
      <c r="G58" s="30">
        <f t="shared" si="3"/>
        <v>1.2998033803324851</v>
      </c>
      <c r="H58" s="30">
        <f t="shared" si="2"/>
        <v>0.98657450940008085</v>
      </c>
    </row>
    <row r="59" spans="1:8" ht="18.75" customHeight="1">
      <c r="A59" s="891"/>
      <c r="B59" s="39">
        <v>12</v>
      </c>
      <c r="C59" s="60" t="s">
        <v>1859</v>
      </c>
      <c r="D59" s="40">
        <v>297.15009499999996</v>
      </c>
      <c r="E59" s="40">
        <v>0.24</v>
      </c>
      <c r="F59" s="40">
        <v>0.18</v>
      </c>
      <c r="G59" s="28">
        <f t="shared" si="3"/>
        <v>0.75</v>
      </c>
      <c r="H59" s="28">
        <f t="shared" si="2"/>
        <v>6.0575447569686971E-4</v>
      </c>
    </row>
    <row r="60" spans="1:8" ht="18.75" customHeight="1">
      <c r="A60" s="891"/>
      <c r="B60" s="56">
        <v>13</v>
      </c>
      <c r="C60" s="52" t="s">
        <v>1860</v>
      </c>
      <c r="D60" s="40">
        <v>240.8</v>
      </c>
      <c r="E60" s="40">
        <v>25.3</v>
      </c>
      <c r="F60" s="40">
        <v>2.1</v>
      </c>
      <c r="G60" s="28">
        <f t="shared" si="3"/>
        <v>8.3003952569169967E-2</v>
      </c>
      <c r="H60" s="28">
        <f t="shared" si="2"/>
        <v>8.7209302325581394E-3</v>
      </c>
    </row>
    <row r="61" spans="1:8" ht="18.75" customHeight="1">
      <c r="A61" s="890" t="s">
        <v>1334</v>
      </c>
      <c r="B61" s="20">
        <v>1</v>
      </c>
      <c r="C61" s="7" t="s">
        <v>1275</v>
      </c>
      <c r="D61" s="64">
        <v>77.069299999999998</v>
      </c>
      <c r="E61" s="69">
        <v>15</v>
      </c>
      <c r="F61" s="69">
        <v>10</v>
      </c>
      <c r="G61" s="61">
        <f t="shared" si="3"/>
        <v>0.66666666666666663</v>
      </c>
      <c r="H61" s="61">
        <f t="shared" ref="H61:H85" si="4">F61/D61</f>
        <v>0.12975335185346176</v>
      </c>
    </row>
    <row r="62" spans="1:8" ht="18.75" customHeight="1">
      <c r="A62" s="891"/>
      <c r="B62" s="62">
        <v>2</v>
      </c>
      <c r="C62" s="41" t="s">
        <v>1281</v>
      </c>
      <c r="D62" s="70">
        <v>101.31070000000001</v>
      </c>
      <c r="E62" s="40">
        <v>155.69999999999999</v>
      </c>
      <c r="F62" s="40">
        <v>123.18549999999999</v>
      </c>
      <c r="G62" s="28">
        <f t="shared" si="3"/>
        <v>0.79117212588310859</v>
      </c>
      <c r="H62" s="28">
        <f t="shared" si="4"/>
        <v>1.2159179632556085</v>
      </c>
    </row>
    <row r="63" spans="1:8" ht="18.75" customHeight="1">
      <c r="A63" s="891"/>
      <c r="B63" s="20">
        <v>3</v>
      </c>
      <c r="C63" s="7" t="s">
        <v>1295</v>
      </c>
      <c r="D63" s="64">
        <v>120.12310000000001</v>
      </c>
      <c r="E63" s="40">
        <v>22.8245</v>
      </c>
      <c r="F63" s="40">
        <v>200.3229</v>
      </c>
      <c r="G63" s="28">
        <f t="shared" si="3"/>
        <v>8.7766610440535384</v>
      </c>
      <c r="H63" s="28">
        <f t="shared" si="4"/>
        <v>1.6676467723526949</v>
      </c>
    </row>
    <row r="64" spans="1:8" ht="18.75" customHeight="1">
      <c r="A64" s="891"/>
      <c r="B64" s="62">
        <v>4</v>
      </c>
      <c r="C64" s="41" t="s">
        <v>1327</v>
      </c>
      <c r="D64" s="40">
        <v>53.594589999999997</v>
      </c>
      <c r="E64" s="40">
        <v>14.82</v>
      </c>
      <c r="F64" s="40">
        <v>16.828100000000003</v>
      </c>
      <c r="G64" s="28">
        <f t="shared" si="3"/>
        <v>1.1354993252361676</v>
      </c>
      <c r="H64" s="28">
        <f t="shared" si="4"/>
        <v>0.31398878133035452</v>
      </c>
    </row>
    <row r="65" spans="1:8" ht="22.5" customHeight="1">
      <c r="A65" s="890" t="s">
        <v>1526</v>
      </c>
      <c r="B65" s="19">
        <v>1</v>
      </c>
      <c r="C65" s="10" t="s">
        <v>1335</v>
      </c>
      <c r="D65" s="71">
        <v>257.62842000000001</v>
      </c>
      <c r="E65" s="48">
        <v>181.11660799999996</v>
      </c>
      <c r="F65" s="48">
        <v>145.042148</v>
      </c>
      <c r="G65" s="47">
        <f t="shared" si="3"/>
        <v>0.80082191026899108</v>
      </c>
      <c r="H65" s="47">
        <f t="shared" si="4"/>
        <v>0.56298970431911199</v>
      </c>
    </row>
    <row r="66" spans="1:8" ht="18.75" customHeight="1">
      <c r="A66" s="891"/>
      <c r="B66" s="19">
        <v>2</v>
      </c>
      <c r="C66" s="50" t="s">
        <v>1374</v>
      </c>
      <c r="D66" s="72">
        <v>308.26133110000001</v>
      </c>
      <c r="E66" s="48">
        <v>340.08472273999996</v>
      </c>
      <c r="F66" s="48">
        <v>173.43237500000001</v>
      </c>
      <c r="G66" s="47">
        <f t="shared" si="3"/>
        <v>0.50996814441615401</v>
      </c>
      <c r="H66" s="47">
        <f t="shared" si="4"/>
        <v>0.56261476060303695</v>
      </c>
    </row>
    <row r="67" spans="1:8" ht="30" customHeight="1">
      <c r="A67" s="891"/>
      <c r="B67" s="19">
        <v>3</v>
      </c>
      <c r="C67" s="10" t="s">
        <v>1844</v>
      </c>
      <c r="D67" s="71">
        <v>180.123887</v>
      </c>
      <c r="E67" s="48">
        <v>56.739801240000006</v>
      </c>
      <c r="F67" s="48">
        <v>12.632864</v>
      </c>
      <c r="G67" s="47">
        <f>F67/D67</f>
        <v>7.0134307061672507E-2</v>
      </c>
      <c r="H67" s="47">
        <f t="shared" si="4"/>
        <v>7.0134307061672507E-2</v>
      </c>
    </row>
    <row r="68" spans="1:8" ht="30" customHeight="1">
      <c r="A68" s="891"/>
      <c r="B68" s="19">
        <v>4</v>
      </c>
      <c r="C68" s="10" t="s">
        <v>1845</v>
      </c>
      <c r="D68" s="71">
        <v>163.76</v>
      </c>
      <c r="E68" s="48">
        <v>480.3707</v>
      </c>
      <c r="F68" s="48">
        <v>626.68112600000006</v>
      </c>
      <c r="G68" s="47">
        <f t="shared" ref="G68:G85" si="5">F68/E68</f>
        <v>1.3045781643218457</v>
      </c>
      <c r="H68" s="47">
        <f t="shared" si="4"/>
        <v>3.8268266121152914</v>
      </c>
    </row>
    <row r="69" spans="1:8" ht="27" customHeight="1">
      <c r="A69" s="891"/>
      <c r="B69" s="19">
        <v>5</v>
      </c>
      <c r="C69" s="10" t="s">
        <v>1489</v>
      </c>
      <c r="D69" s="71">
        <v>183.3896</v>
      </c>
      <c r="E69" s="48">
        <v>143.72</v>
      </c>
      <c r="F69" s="48">
        <v>91.1</v>
      </c>
      <c r="G69" s="47">
        <f t="shared" si="5"/>
        <v>0.63387141664347335</v>
      </c>
      <c r="H69" s="47">
        <f t="shared" si="4"/>
        <v>0.49675663178282736</v>
      </c>
    </row>
    <row r="70" spans="1:8" ht="24.75" customHeight="1">
      <c r="A70" s="890" t="s">
        <v>1827</v>
      </c>
      <c r="B70" s="19">
        <v>1</v>
      </c>
      <c r="C70" s="23" t="s">
        <v>1709</v>
      </c>
      <c r="D70" s="40">
        <v>170.85704199999998</v>
      </c>
      <c r="E70" s="40">
        <v>109.06193100000002</v>
      </c>
      <c r="F70" s="40">
        <v>108.82043100000001</v>
      </c>
      <c r="G70" s="28">
        <f t="shared" si="5"/>
        <v>0.99778566179980799</v>
      </c>
      <c r="H70" s="28">
        <f t="shared" si="4"/>
        <v>0.63690925305847224</v>
      </c>
    </row>
    <row r="71" spans="1:8" ht="27" customHeight="1">
      <c r="A71" s="891"/>
      <c r="B71" s="19">
        <v>2</v>
      </c>
      <c r="C71" s="23" t="s">
        <v>1720</v>
      </c>
      <c r="D71" s="40">
        <v>234.6961</v>
      </c>
      <c r="E71" s="40">
        <v>65</v>
      </c>
      <c r="F71" s="40">
        <v>90.523820999999998</v>
      </c>
      <c r="G71" s="28">
        <f t="shared" si="5"/>
        <v>1.3926741692307691</v>
      </c>
      <c r="H71" s="28">
        <f t="shared" si="4"/>
        <v>0.38570654135283883</v>
      </c>
    </row>
    <row r="72" spans="1:8" ht="27" customHeight="1">
      <c r="A72" s="891"/>
      <c r="B72" s="19">
        <v>3</v>
      </c>
      <c r="C72" s="23" t="s">
        <v>1727</v>
      </c>
      <c r="D72" s="40">
        <v>207.70999999999998</v>
      </c>
      <c r="E72" s="40">
        <v>216.4</v>
      </c>
      <c r="F72" s="40">
        <v>193.84</v>
      </c>
      <c r="G72" s="28">
        <f t="shared" si="5"/>
        <v>0.89574861367837333</v>
      </c>
      <c r="H72" s="28">
        <f t="shared" si="4"/>
        <v>0.93322420682682594</v>
      </c>
    </row>
    <row r="73" spans="1:8" ht="18.75" customHeight="1">
      <c r="A73" s="891"/>
      <c r="B73" s="19">
        <v>4</v>
      </c>
      <c r="C73" s="23" t="s">
        <v>1741</v>
      </c>
      <c r="D73" s="40">
        <v>259.98</v>
      </c>
      <c r="E73" s="40">
        <v>79</v>
      </c>
      <c r="F73" s="40">
        <v>61.597103000000004</v>
      </c>
      <c r="G73" s="28">
        <f t="shared" si="5"/>
        <v>0.77971016455696207</v>
      </c>
      <c r="H73" s="28">
        <f t="shared" si="4"/>
        <v>0.23693016001230863</v>
      </c>
    </row>
    <row r="74" spans="1:8" ht="48" customHeight="1">
      <c r="A74" s="891"/>
      <c r="B74" s="19">
        <v>5</v>
      </c>
      <c r="C74" s="37" t="s">
        <v>1861</v>
      </c>
      <c r="D74" s="64">
        <v>239.12</v>
      </c>
      <c r="E74" s="64">
        <v>60</v>
      </c>
      <c r="F74" s="64">
        <v>53.1</v>
      </c>
      <c r="G74" s="30">
        <f t="shared" si="5"/>
        <v>0.88500000000000001</v>
      </c>
      <c r="H74" s="30">
        <f t="shared" si="4"/>
        <v>0.22206423553027768</v>
      </c>
    </row>
    <row r="75" spans="1:8" ht="21.75" customHeight="1">
      <c r="A75" s="891"/>
      <c r="B75" s="19">
        <v>6</v>
      </c>
      <c r="C75" s="23" t="s">
        <v>1754</v>
      </c>
      <c r="D75" s="40">
        <v>157.29570000000001</v>
      </c>
      <c r="E75" s="70">
        <v>924.13151300000004</v>
      </c>
      <c r="F75" s="70">
        <v>175.42561899999998</v>
      </c>
      <c r="G75" s="51">
        <f t="shared" si="5"/>
        <v>0.18982754784599579</v>
      </c>
      <c r="H75" s="51">
        <f t="shared" si="4"/>
        <v>1.1152601056481517</v>
      </c>
    </row>
    <row r="76" spans="1:8" ht="45" customHeight="1">
      <c r="A76" s="891"/>
      <c r="B76" s="19">
        <v>7</v>
      </c>
      <c r="C76" s="23" t="s">
        <v>1862</v>
      </c>
      <c r="D76" s="40">
        <v>149.72190000000001</v>
      </c>
      <c r="E76" s="70">
        <v>101.962813</v>
      </c>
      <c r="F76" s="70">
        <v>105.61242799999999</v>
      </c>
      <c r="G76" s="51">
        <f t="shared" si="5"/>
        <v>1.0357935887861391</v>
      </c>
      <c r="H76" s="51">
        <f t="shared" si="4"/>
        <v>0.70539064759397252</v>
      </c>
    </row>
    <row r="77" spans="1:8" ht="18.75" customHeight="1">
      <c r="A77" s="891"/>
      <c r="B77" s="19">
        <v>8</v>
      </c>
      <c r="C77" s="52" t="s">
        <v>1787</v>
      </c>
      <c r="D77" s="40">
        <v>298.90027339999995</v>
      </c>
      <c r="E77" s="40">
        <v>133.02654999999999</v>
      </c>
      <c r="F77" s="40">
        <v>116.324455</v>
      </c>
      <c r="G77" s="28">
        <f t="shared" si="5"/>
        <v>0.87444540206447519</v>
      </c>
      <c r="H77" s="28">
        <f t="shared" si="4"/>
        <v>0.38917480294281998</v>
      </c>
    </row>
    <row r="78" spans="1:8" ht="18.75" customHeight="1">
      <c r="A78" s="891"/>
      <c r="B78" s="19">
        <v>9</v>
      </c>
      <c r="C78" s="23" t="s">
        <v>1797</v>
      </c>
      <c r="D78" s="70">
        <v>282.95999999999998</v>
      </c>
      <c r="E78" s="70">
        <v>22.522271</v>
      </c>
      <c r="F78" s="70">
        <v>14.052772000000001</v>
      </c>
      <c r="G78" s="51">
        <f t="shared" si="5"/>
        <v>0.62395004482452066</v>
      </c>
      <c r="H78" s="51">
        <f t="shared" si="4"/>
        <v>4.9663457732541709E-2</v>
      </c>
    </row>
    <row r="79" spans="1:8" ht="18.75" customHeight="1">
      <c r="A79" s="891"/>
      <c r="B79" s="19">
        <v>10</v>
      </c>
      <c r="C79" s="37" t="s">
        <v>1800</v>
      </c>
      <c r="D79" s="64">
        <v>242.14009999999999</v>
      </c>
      <c r="E79" s="64">
        <v>370</v>
      </c>
      <c r="F79" s="64">
        <v>210</v>
      </c>
      <c r="G79" s="30">
        <f t="shared" si="5"/>
        <v>0.56756756756756754</v>
      </c>
      <c r="H79" s="30">
        <f t="shared" si="4"/>
        <v>0.86726651223816298</v>
      </c>
    </row>
    <row r="80" spans="1:8" ht="18.75" customHeight="1">
      <c r="A80" s="891"/>
      <c r="B80" s="19">
        <v>11</v>
      </c>
      <c r="C80" s="53" t="s">
        <v>1801</v>
      </c>
      <c r="D80" s="64">
        <v>267.65570000000002</v>
      </c>
      <c r="E80" s="64">
        <v>50</v>
      </c>
      <c r="F80" s="64">
        <v>52.383099999999999</v>
      </c>
      <c r="G80" s="30">
        <f t="shared" si="5"/>
        <v>1.0476619999999999</v>
      </c>
      <c r="H80" s="30">
        <f t="shared" si="4"/>
        <v>0.19571075826145304</v>
      </c>
    </row>
    <row r="81" spans="1:8" ht="26.25" customHeight="1">
      <c r="A81" s="891"/>
      <c r="B81" s="19">
        <v>12</v>
      </c>
      <c r="C81" s="52" t="s">
        <v>1802</v>
      </c>
      <c r="D81" s="40">
        <v>201.71059500000001</v>
      </c>
      <c r="E81" s="40">
        <v>40</v>
      </c>
      <c r="F81" s="40">
        <v>82.375499999999988</v>
      </c>
      <c r="G81" s="28">
        <f t="shared" si="5"/>
        <v>2.0593874999999997</v>
      </c>
      <c r="H81" s="28">
        <f t="shared" si="4"/>
        <v>0.40838459675358146</v>
      </c>
    </row>
    <row r="82" spans="1:8" ht="24.75" customHeight="1">
      <c r="A82" s="891"/>
      <c r="B82" s="19">
        <v>13</v>
      </c>
      <c r="C82" s="23" t="s">
        <v>1803</v>
      </c>
      <c r="D82" s="40">
        <v>207.47389451000001</v>
      </c>
      <c r="E82" s="40">
        <v>52.510300000000001</v>
      </c>
      <c r="F82" s="40">
        <v>161.97579999999999</v>
      </c>
      <c r="G82" s="28">
        <f t="shared" si="5"/>
        <v>3.084648154742974</v>
      </c>
      <c r="H82" s="28">
        <f t="shared" si="4"/>
        <v>0.78070448517171365</v>
      </c>
    </row>
    <row r="83" spans="1:8" ht="27" customHeight="1">
      <c r="A83" s="891"/>
      <c r="B83" s="19">
        <v>14</v>
      </c>
      <c r="C83" s="23" t="s">
        <v>1805</v>
      </c>
      <c r="D83" s="40">
        <v>203.73500000000001</v>
      </c>
      <c r="E83" s="40">
        <v>147.8202</v>
      </c>
      <c r="F83" s="40">
        <v>98.865299999999991</v>
      </c>
      <c r="G83" s="28">
        <f t="shared" si="5"/>
        <v>0.66882131129574973</v>
      </c>
      <c r="H83" s="28">
        <f t="shared" si="4"/>
        <v>0.48526419122880204</v>
      </c>
    </row>
    <row r="84" spans="1:8" ht="18.75" customHeight="1">
      <c r="A84" s="891"/>
      <c r="B84" s="19">
        <v>15</v>
      </c>
      <c r="C84" s="22" t="s">
        <v>1821</v>
      </c>
      <c r="D84" s="70">
        <v>401.8064</v>
      </c>
      <c r="E84" s="40">
        <v>1109.4079180000001</v>
      </c>
      <c r="F84" s="40">
        <v>386.45375156900002</v>
      </c>
      <c r="G84" s="28">
        <f t="shared" si="5"/>
        <v>0.34834234126044877</v>
      </c>
      <c r="H84" s="28">
        <f t="shared" si="4"/>
        <v>0.96179093107775293</v>
      </c>
    </row>
    <row r="85" spans="1:8" ht="18.75" customHeight="1">
      <c r="A85" s="891"/>
      <c r="B85" s="19">
        <v>16</v>
      </c>
      <c r="C85" s="38" t="s">
        <v>1826</v>
      </c>
      <c r="D85" s="64">
        <v>137</v>
      </c>
      <c r="E85" s="64">
        <v>120</v>
      </c>
      <c r="F85" s="64">
        <v>206</v>
      </c>
      <c r="G85" s="30">
        <f t="shared" si="5"/>
        <v>1.7166666666666666</v>
      </c>
      <c r="H85" s="30">
        <f t="shared" si="4"/>
        <v>1.5036496350364963</v>
      </c>
    </row>
  </sheetData>
  <mergeCells count="21">
    <mergeCell ref="A37:A41"/>
    <mergeCell ref="B1:H1"/>
    <mergeCell ref="E2:H2"/>
    <mergeCell ref="A3:A5"/>
    <mergeCell ref="B3:B5"/>
    <mergeCell ref="C3:C5"/>
    <mergeCell ref="D3:D5"/>
    <mergeCell ref="E3:H3"/>
    <mergeCell ref="E4:E5"/>
    <mergeCell ref="F4:F5"/>
    <mergeCell ref="G4:G5"/>
    <mergeCell ref="H4:H5"/>
    <mergeCell ref="A6:A9"/>
    <mergeCell ref="A10:A18"/>
    <mergeCell ref="A19:A26"/>
    <mergeCell ref="A27:A36"/>
    <mergeCell ref="A42:A47"/>
    <mergeCell ref="A48:A60"/>
    <mergeCell ref="A61:A64"/>
    <mergeCell ref="A65:A69"/>
    <mergeCell ref="A70:A85"/>
  </mergeCells>
  <phoneticPr fontId="1" type="noConversion"/>
  <conditionalFormatting sqref="C53:D53">
    <cfRule type="cellIs" dxfId="1" priority="1" stopIfTrue="1" operator="equal">
      <formula>0</formula>
    </cfRule>
    <cfRule type="expression" dxfId="0" priority="2" stopIfTrue="1">
      <formula>0</formula>
    </cfRule>
  </conditionalFormatting>
  <pageMargins left="0.7" right="0.7" top="0.75" bottom="0.75" header="0.3" footer="0.3"/>
  <pageSetup paperSize="9" orientation="landscape" horizontalDpi="200" verticalDpi="200" r:id="rId1"/>
  <legacyDrawing r:id="rId2"/>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在建项目保险理赔情况统计季报</vt:lpstr>
      <vt:lpstr>工程汇总草稿1</vt:lpstr>
      <vt:lpstr>人身汇总草稿2</vt:lpstr>
      <vt:lpstr>草稿留底</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2016-04-19T04:26:20Z</dcterms:modified>
</cp:coreProperties>
</file>