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ufdenkampe/LimnoTech-Data/Market/Business_Development/BD_Areas/BDEO/HardwareInfo/YosemiTech_stuff/"/>
    </mc:Choice>
  </mc:AlternateContent>
  <xr:revisionPtr revIDLastSave="0" documentId="13_ncr:1_{65795921-1AC9-8942-B41B-DEF26B5C5109}" xr6:coauthVersionLast="47" xr6:coauthVersionMax="47" xr10:uidLastSave="{00000000-0000-0000-0000-000000000000}"/>
  <bookViews>
    <workbookView xWindow="10520" yWindow="640" windowWidth="25320" windowHeight="21360" activeTab="2" xr2:uid="{4627764A-B6D7-6A4B-816A-844D532489A4}"/>
  </bookViews>
  <sheets>
    <sheet name="YL09-example" sheetId="3" r:id="rId1"/>
    <sheet name="Info" sheetId="1" r:id="rId2"/>
    <sheet name="method from YosemiTech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1" l="1"/>
  <c r="O13" i="1" s="1"/>
  <c r="Q13" i="1"/>
  <c r="R8" i="1" s="1"/>
  <c r="F9" i="4"/>
  <c r="F10" i="4" s="1"/>
  <c r="N16" i="1"/>
  <c r="O16" i="1" s="1"/>
  <c r="N15" i="1"/>
  <c r="O15" i="1" s="1"/>
  <c r="N9" i="1"/>
  <c r="N10" i="1"/>
  <c r="N11" i="1"/>
  <c r="N12" i="1"/>
  <c r="N8" i="1"/>
  <c r="O9" i="1"/>
  <c r="O10" i="1"/>
  <c r="O11" i="1"/>
  <c r="O12" i="1"/>
  <c r="O8" i="1"/>
  <c r="Q9" i="1"/>
  <c r="Q10" i="1"/>
  <c r="Q11" i="1"/>
  <c r="Q12" i="1"/>
  <c r="E26" i="3"/>
  <c r="E27" i="3"/>
  <c r="E25" i="3"/>
  <c r="S8" i="1" l="1"/>
  <c r="F25" i="3" l="1"/>
  <c r="F26" i="3"/>
  <c r="F27" i="3"/>
  <c r="V27" i="3"/>
  <c r="V26" i="3"/>
  <c r="V25" i="3"/>
  <c r="U28" i="3"/>
  <c r="U27" i="3"/>
  <c r="U26" i="3"/>
  <c r="U25" i="3"/>
  <c r="T28" i="3"/>
  <c r="T27" i="3"/>
  <c r="T26" i="3"/>
  <c r="T25" i="3"/>
  <c r="R20" i="3"/>
  <c r="O20" i="3"/>
  <c r="I20" i="3"/>
  <c r="L20" i="3"/>
  <c r="R18" i="3"/>
  <c r="R19" i="3" s="1"/>
  <c r="Q18" i="3"/>
  <c r="Q19" i="3" s="1"/>
  <c r="O18" i="3"/>
  <c r="O19" i="3" s="1"/>
  <c r="N18" i="3"/>
  <c r="N19" i="3" s="1"/>
  <c r="L18" i="3"/>
  <c r="L19" i="3" s="1"/>
  <c r="K18" i="3"/>
  <c r="K19" i="3" s="1"/>
  <c r="I18" i="3"/>
  <c r="I19" i="3" s="1"/>
  <c r="H18" i="3"/>
  <c r="H19" i="3" s="1"/>
  <c r="F18" i="3"/>
  <c r="F19" i="3" s="1"/>
  <c r="E18" i="3"/>
  <c r="E19" i="3" s="1"/>
  <c r="R17" i="3"/>
  <c r="Q17" i="3"/>
  <c r="Q20" i="3" s="1"/>
  <c r="O17" i="3"/>
  <c r="N17" i="3"/>
  <c r="N20" i="3" s="1"/>
  <c r="L17" i="3"/>
  <c r="K17" i="3"/>
  <c r="K20" i="3" s="1"/>
  <c r="I17" i="3"/>
  <c r="H17" i="3"/>
  <c r="H20" i="3" s="1"/>
  <c r="F17" i="3"/>
  <c r="E17" i="3"/>
  <c r="E20" i="3" s="1"/>
  <c r="H25" i="3" l="1"/>
  <c r="I25" i="3" s="1"/>
  <c r="H27" i="3"/>
  <c r="I27" i="3" s="1"/>
  <c r="F32" i="3"/>
  <c r="B32" i="3" s="1"/>
  <c r="H26" i="3"/>
  <c r="I26" i="3" s="1"/>
  <c r="H28" i="3"/>
  <c r="I28" i="3" s="1"/>
  <c r="F31" i="3"/>
  <c r="B31" i="3" l="1"/>
  <c r="K26" i="3"/>
  <c r="K28" i="3"/>
  <c r="K25" i="3"/>
  <c r="K27" i="3"/>
  <c r="Q16" i="1" l="1"/>
  <c r="Q15" i="1"/>
  <c r="S15" i="1" s="1"/>
  <c r="Q8" i="1"/>
  <c r="G14" i="1"/>
  <c r="G10" i="1"/>
  <c r="C14" i="1"/>
  <c r="C10" i="1"/>
  <c r="T8" i="1" l="1"/>
  <c r="R15" i="1"/>
  <c r="I11" i="1" l="1"/>
  <c r="I8" i="1" s="1"/>
  <c r="I10" i="1" s="1"/>
  <c r="E11" i="1"/>
  <c r="E8" i="1" s="1"/>
  <c r="E10" i="1" s="1"/>
</calcChain>
</file>

<file path=xl/sharedStrings.xml><?xml version="1.0" encoding="utf-8"?>
<sst xmlns="http://schemas.openxmlformats.org/spreadsheetml/2006/main" count="165" uniqueCount="113">
  <si>
    <t>Resistance</t>
  </si>
  <si>
    <t>Temp in Ice water</t>
  </si>
  <si>
    <t>*C</t>
  </si>
  <si>
    <t>*K</t>
  </si>
  <si>
    <t>Steinhart-Hart equation</t>
  </si>
  <si>
    <t>2-term form:</t>
  </si>
  <si>
    <t>1/T</t>
  </si>
  <si>
    <t>T</t>
  </si>
  <si>
    <t>C1'</t>
  </si>
  <si>
    <t>C2'</t>
  </si>
  <si>
    <t>3-term form:</t>
  </si>
  <si>
    <t>1/T = C1+ C2 * ln(R) + C3 * ln(R)^3</t>
  </si>
  <si>
    <t xml:space="preserve">1/T = C1’ + C2’ * ln(R) </t>
  </si>
  <si>
    <t>ln(R)</t>
  </si>
  <si>
    <t>https://www.newport.com/medias/sys_master/images/images/h67/hc1/8797049487390/AN04-Thermistor-Calibration-and-Steinhart-Hart.pdf</t>
  </si>
  <si>
    <t>https://www.mstarlabs.com/sensors/thermistor-calibration.html</t>
  </si>
  <si>
    <t>Temp in room temp</t>
  </si>
  <si>
    <t>Kitchen Thermometer</t>
  </si>
  <si>
    <t>Temp coef. 1</t>
  </si>
  <si>
    <t>Temp coef. 2</t>
  </si>
  <si>
    <t>John's Y520</t>
  </si>
  <si>
    <t>Beth's Y520</t>
  </si>
  <si>
    <t>Measured Temp  C</t>
  </si>
  <si>
    <t>Known Temp  C</t>
  </si>
  <si>
    <t>Resistence</t>
  </si>
  <si>
    <t>Resistence Ω</t>
  </si>
  <si>
    <t>https://electronics.stackexchange.com/questions/454954/whats-the-simplest-way-to-calibrate-a-thermistor</t>
  </si>
  <si>
    <t>https://www.thinksrs.com/downloads/programs/Therm%20Calc/NTCCalibrator/NTCcalculator.htm</t>
  </si>
  <si>
    <t>slope</t>
  </si>
  <si>
    <t>intercept</t>
  </si>
  <si>
    <t>slope (B)</t>
  </si>
  <si>
    <t>intercept (A)</t>
  </si>
  <si>
    <t>β (=1/B)</t>
  </si>
  <si>
    <t>YL0917101101</t>
  </si>
  <si>
    <t>hw 1.2,sw 1.7</t>
  </si>
  <si>
    <t>Calibration Standards: Known Values</t>
  </si>
  <si>
    <t>Anthony Aufdenkampe &lt;aaufdenkampe@limno.com&gt;</t>
  </si>
  <si>
    <t>Reference Standards</t>
  </si>
  <si>
    <t>Distilled water</t>
  </si>
  <si>
    <t>µS/cm</t>
  </si>
  <si>
    <t>Not used in calibration</t>
  </si>
  <si>
    <t>Calibration Standards: Measured Values (with default K=1 &amp; B=0)</t>
  </si>
  <si>
    <t>Instructions</t>
  </si>
  <si>
    <t>mS/cm</t>
  </si>
  <si>
    <t>°C</t>
  </si>
  <si>
    <t>Calibration Date:</t>
  </si>
  <si>
    <t>1. GET &amp; paste sensor info from Modbus Runner software.</t>
  </si>
  <si>
    <t>SN:</t>
  </si>
  <si>
    <t>Version:</t>
  </si>
  <si>
    <t>Probe:</t>
  </si>
  <si>
    <t>User Coefficients (previous)</t>
  </si>
  <si>
    <t>K:</t>
  </si>
  <si>
    <t>(slope)</t>
  </si>
  <si>
    <t>B:</t>
  </si>
  <si>
    <t>(intercept)</t>
  </si>
  <si>
    <t>2. Re-SET "User Coefficients" to defaults.</t>
  </si>
  <si>
    <t>Average</t>
  </si>
  <si>
    <t>Std</t>
  </si>
  <si>
    <t>3. Fill in reference standard known values.</t>
  </si>
  <si>
    <t>%CV</t>
  </si>
  <si>
    <t>Type into pale yellow cells G3, J3, M3, P3</t>
  </si>
  <si>
    <t>Converted units:</t>
  </si>
  <si>
    <t>4."GET Cond" &amp; paste measured values for each standard.</t>
  </si>
  <si>
    <t>Calibration Curve</t>
  </si>
  <si>
    <t>Measure 3-10 "Times" to get best values.</t>
  </si>
  <si>
    <t>X</t>
  </si>
  <si>
    <t>Y</t>
  </si>
  <si>
    <t>Paste into pale yellow cells.</t>
  </si>
  <si>
    <t>Measured</t>
  </si>
  <si>
    <t>Reference</t>
  </si>
  <si>
    <t>predicted Y</t>
  </si>
  <si>
    <t>residual Y</t>
  </si>
  <si>
    <t>calibrated X</t>
  </si>
  <si>
    <t>5. Delete calibration X:Y pairs that are not valid.</t>
  </si>
  <si>
    <t xml:space="preserve"> Delete green values in pale yellow cells D25:E28</t>
  </si>
  <si>
    <t>6. Re-SET "User Coefficients" to new calibration values.</t>
  </si>
  <si>
    <t>Paste these blue values into Modbus Runner and hit "SET".</t>
  </si>
  <si>
    <t xml:space="preserve">NOTE: </t>
  </si>
  <si>
    <t>Standard practice is for calibration curves to have the known reference values on the X-axis, because they are the "independent" variable.</t>
  </si>
  <si>
    <t>intercept in mS/cm</t>
  </si>
  <si>
    <t xml:space="preserve">YosemiTech puts the measured values on the X-axis, despite it being the "independent variable". </t>
  </si>
  <si>
    <t>Many other well-known sensor companies also follow this practice, even though it does not technically follow statistical best practice.</t>
  </si>
  <si>
    <t>7. Save this sheet for your records.</t>
  </si>
  <si>
    <t>Rename tab with serial number and date, or keep a workbook for each serial number.</t>
  </si>
  <si>
    <t>Y520 Temperature Calibrator</t>
  </si>
  <si>
    <t>v0.2.1: 2022-04-07</t>
  </si>
  <si>
    <t>°K</t>
  </si>
  <si>
    <t>Then write K and B.</t>
  </si>
  <si>
    <t>Best Regards,</t>
  </si>
  <si>
    <t>Zoe</t>
  </si>
  <si>
    <t>measured</t>
  </si>
  <si>
    <t>For example : At 5 degrees Celsius , read resistance value recorded as X. </t>
  </si>
  <si>
    <t>At 30 degrees Celsius , read resistance value recorded as Y . </t>
  </si>
  <si>
    <t>From: 高文幸 &lt;wenxing@yosemitech.com&gt;</t>
  </si>
  <si>
    <r>
      <t>Date: </t>
    </r>
    <r>
      <rPr>
        <sz val="12"/>
        <color rgb="FF000000"/>
        <rFont val="Calibri"/>
        <family val="2"/>
        <scheme val="minor"/>
      </rPr>
      <t>Thursday, April 7, 2022 at 8:34 PM</t>
    </r>
  </si>
  <si>
    <r>
      <t>To: </t>
    </r>
    <r>
      <rPr>
        <sz val="12"/>
        <color rgb="FF000000"/>
        <rFont val="Calibri"/>
        <family val="2"/>
        <scheme val="minor"/>
      </rPr>
      <t>mike &lt;</t>
    </r>
    <r>
      <rPr>
        <u/>
        <sz val="12"/>
        <color rgb="FF0000FF"/>
        <rFont val="Calibri"/>
        <family val="2"/>
        <scheme val="minor"/>
      </rPr>
      <t>mike@yosemitech.com</t>
    </r>
    <r>
      <rPr>
        <sz val="12"/>
        <color rgb="FF000000"/>
        <rFont val="Calibri"/>
        <family val="2"/>
        <scheme val="minor"/>
      </rPr>
      <t>&gt;, Anthony Aufdenkampe &lt;</t>
    </r>
    <r>
      <rPr>
        <u/>
        <sz val="12"/>
        <color rgb="FF0000FF"/>
        <rFont val="Calibri"/>
        <family val="2"/>
        <scheme val="minor"/>
      </rPr>
      <t>aaufdenkampe@limno.com</t>
    </r>
    <r>
      <rPr>
        <sz val="12"/>
        <color rgb="FF000000"/>
        <rFont val="Calibri"/>
        <family val="2"/>
        <scheme val="minor"/>
      </rPr>
      <t>&gt;</t>
    </r>
  </si>
  <si>
    <t>Cc: 孙贤 &lt;sunxian@yosemitech.com&gt;</t>
  </si>
  <si>
    <r>
      <t>Subject: </t>
    </r>
    <r>
      <rPr>
        <sz val="12"/>
        <color rgb="FF000000"/>
        <rFont val="Calibri"/>
        <family val="2"/>
        <scheme val="minor"/>
      </rPr>
      <t>Re: Help with temperature calibration of Y520</t>
    </r>
  </si>
  <si>
    <t>We do use  Steinhart-Hart model to calculate temperature.</t>
  </si>
  <si>
    <t xml:space="preserve"> But the temperature calibration coefficients including Slope and Offset are working on resistance.</t>
  </si>
  <si>
    <t xml:space="preserve">Then K = (23462.8-8196.25)/(X-Y); </t>
  </si>
  <si>
    <t>B = 23462.8-X*(23462.8-8196.25)/(X-Y).</t>
  </si>
  <si>
    <t>Hi Anthony，</t>
  </si>
  <si>
    <t> This method is worked for Conductivity too.</t>
  </si>
  <si>
    <t>The turbidity  is not recommended for calibration.</t>
  </si>
  <si>
    <t>Temp C</t>
  </si>
  <si>
    <t>known 1/T</t>
  </si>
  <si>
    <t>Known Temp  K</t>
  </si>
  <si>
    <t>Measured (after resetting temp K=1, B=0) based on interpolation from the online calculator below.</t>
  </si>
  <si>
    <t>Ref resistence (from table)</t>
  </si>
  <si>
    <t>New Temp Calibration Coefficients</t>
  </si>
  <si>
    <t>Measured Resistence (with K=1, B=0)</t>
  </si>
  <si>
    <t>NOTE: only measure after resetting temp K=1, B=0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</si>
</sst>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71" formatCode="yyyy\-mm\-dd"/>
    <numFmt numFmtId="172" formatCode="0.000000"/>
    <numFmt numFmtId="173" formatCode="0.00000"/>
  </numFmts>
  <fonts count="20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theme="1"/>
      <name val="ArialMT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70C0"/>
      <name val="Arial"/>
      <family val="2"/>
    </font>
    <font>
      <sz val="11"/>
      <color rgb="FF00B050"/>
      <name val="Arial"/>
      <family val="2"/>
    </font>
    <font>
      <b/>
      <sz val="11"/>
      <color rgb="FF0070C0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00FF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1" fontId="1" fillId="0" borderId="0" xfId="0" applyNumberFormat="1" applyFont="1"/>
    <xf numFmtId="11" fontId="0" fillId="0" borderId="0" xfId="0" applyNumberFormat="1"/>
    <xf numFmtId="0" fontId="7" fillId="0" borderId="0" xfId="2" applyFont="1"/>
    <xf numFmtId="0" fontId="8" fillId="0" borderId="0" xfId="2" applyFont="1"/>
    <xf numFmtId="0" fontId="8" fillId="0" borderId="0" xfId="2" applyFont="1" applyAlignment="1">
      <alignment horizontal="left" indent="1"/>
    </xf>
    <xf numFmtId="0" fontId="9" fillId="0" borderId="1" xfId="2" applyFont="1" applyBorder="1"/>
    <xf numFmtId="0" fontId="8" fillId="0" borderId="1" xfId="2" applyFont="1" applyBorder="1"/>
    <xf numFmtId="0" fontId="8" fillId="0" borderId="0" xfId="2" applyFont="1" applyAlignment="1">
      <alignment horizontal="left" wrapText="1" indent="1"/>
    </xf>
    <xf numFmtId="0" fontId="8" fillId="0" borderId="0" xfId="2" applyFont="1" applyAlignment="1">
      <alignment wrapText="1"/>
    </xf>
    <xf numFmtId="0" fontId="9" fillId="0" borderId="0" xfId="2" applyFont="1" applyAlignment="1">
      <alignment horizontal="right" wrapText="1"/>
    </xf>
    <xf numFmtId="0" fontId="8" fillId="2" borderId="0" xfId="2" applyFont="1" applyFill="1" applyAlignment="1">
      <alignment wrapText="1"/>
    </xf>
    <xf numFmtId="0" fontId="8" fillId="2" borderId="0" xfId="2" applyFont="1" applyFill="1"/>
    <xf numFmtId="0" fontId="7" fillId="0" borderId="1" xfId="2" applyFont="1" applyBorder="1"/>
    <xf numFmtId="0" fontId="8" fillId="0" borderId="0" xfId="2" applyFont="1" applyAlignment="1">
      <alignment horizontal="center"/>
    </xf>
    <xf numFmtId="0" fontId="8" fillId="0" borderId="0" xfId="2" applyFont="1" applyAlignment="1">
      <alignment horizontal="right"/>
    </xf>
    <xf numFmtId="171" fontId="8" fillId="2" borderId="0" xfId="2" applyNumberFormat="1" applyFont="1" applyFill="1" applyAlignment="1">
      <alignment horizontal="left"/>
    </xf>
    <xf numFmtId="0" fontId="10" fillId="0" borderId="0" xfId="2" applyFont="1"/>
    <xf numFmtId="172" fontId="8" fillId="2" borderId="0" xfId="2" applyNumberFormat="1" applyFont="1" applyFill="1"/>
    <xf numFmtId="172" fontId="8" fillId="0" borderId="0" xfId="2" applyNumberFormat="1" applyFont="1"/>
    <xf numFmtId="173" fontId="8" fillId="0" borderId="0" xfId="2" applyNumberFormat="1" applyFont="1"/>
    <xf numFmtId="172" fontId="11" fillId="0" borderId="0" xfId="2" applyNumberFormat="1" applyFont="1"/>
    <xf numFmtId="173" fontId="11" fillId="0" borderId="0" xfId="2" applyNumberFormat="1" applyFont="1"/>
    <xf numFmtId="10" fontId="11" fillId="0" borderId="0" xfId="3" applyNumberFormat="1" applyFont="1"/>
    <xf numFmtId="2" fontId="11" fillId="0" borderId="0" xfId="2" applyNumberFormat="1" applyFont="1"/>
    <xf numFmtId="2" fontId="8" fillId="0" borderId="0" xfId="2" applyNumberFormat="1" applyFont="1" applyAlignment="1">
      <alignment horizontal="center"/>
    </xf>
    <xf numFmtId="2" fontId="12" fillId="2" borderId="0" xfId="2" applyNumberFormat="1" applyFont="1" applyFill="1"/>
    <xf numFmtId="2" fontId="8" fillId="0" borderId="0" xfId="2" applyNumberFormat="1" applyFont="1"/>
    <xf numFmtId="172" fontId="13" fillId="0" borderId="2" xfId="2" applyNumberFormat="1" applyFont="1" applyBorder="1"/>
    <xf numFmtId="0" fontId="11" fillId="0" borderId="0" xfId="2" applyFont="1"/>
    <xf numFmtId="0" fontId="8" fillId="0" borderId="0" xfId="2" applyFont="1" applyAlignment="1">
      <alignment horizontal="left"/>
    </xf>
    <xf numFmtId="0" fontId="14" fillId="0" borderId="0" xfId="0" applyFont="1"/>
    <xf numFmtId="0" fontId="6" fillId="0" borderId="0" xfId="2" applyFont="1"/>
    <xf numFmtId="0" fontId="17" fillId="0" borderId="0" xfId="1" applyFont="1"/>
    <xf numFmtId="0" fontId="15" fillId="0" borderId="0" xfId="0" applyFont="1"/>
    <xf numFmtId="0" fontId="6" fillId="0" borderId="0" xfId="0" applyFont="1"/>
    <xf numFmtId="0" fontId="6" fillId="0" borderId="0" xfId="2" applyFont="1" applyAlignment="1">
      <alignment wrapText="1"/>
    </xf>
    <xf numFmtId="0" fontId="15" fillId="0" borderId="0" xfId="0" applyFont="1" applyAlignment="1">
      <alignment wrapText="1"/>
    </xf>
    <xf numFmtId="2" fontId="1" fillId="0" borderId="0" xfId="0" applyNumberFormat="1" applyFont="1"/>
    <xf numFmtId="0" fontId="18" fillId="0" borderId="0" xfId="2" applyFont="1"/>
    <xf numFmtId="0" fontId="6" fillId="0" borderId="0" xfId="2" applyFont="1" applyAlignment="1">
      <alignment horizontal="right"/>
    </xf>
    <xf numFmtId="0" fontId="19" fillId="0" borderId="0" xfId="2" applyFont="1"/>
  </cellXfs>
  <cellStyles count="4">
    <cellStyle name="Hyperlink" xfId="1" builtinId="8"/>
    <cellStyle name="Normal" xfId="0" builtinId="0"/>
    <cellStyle name="Normal 2" xfId="2" xr:uid="{3074BEB6-0CB8-C545-9C58-A43467A2F1A6}"/>
    <cellStyle name="Percent 2" xfId="3" xr:uid="{8789F65E-8BB3-7F4B-BB03-CB9FE79513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21831013640900501"/>
          <c:y val="1.904761904761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1259434539595"/>
          <c:y val="0.104761843865186"/>
          <c:w val="0.82739280323120235"/>
          <c:h val="0.70952339708693901"/>
        </c:manualLayout>
      </c:layout>
      <c:scatterChart>
        <c:scatterStyle val="lineMarker"/>
        <c:varyColors val="0"/>
        <c:ser>
          <c:idx val="0"/>
          <c:order val="0"/>
          <c:tx>
            <c:v>References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name>linear fit</c:name>
            <c:spPr>
              <a:ln w="3175">
                <a:solidFill>
                  <a:srgbClr val="003366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6287177185753335"/>
                  <c:y val="6.4440874262914449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'YL09-example'!$E$25:$E$29</c:f>
              <c:numCache>
                <c:formatCode>0.00</c:formatCode>
                <c:ptCount val="5"/>
                <c:pt idx="0">
                  <c:v>2.4</c:v>
                </c:pt>
                <c:pt idx="1">
                  <c:v>29.4</c:v>
                </c:pt>
                <c:pt idx="2">
                  <c:v>28.2</c:v>
                </c:pt>
              </c:numCache>
            </c:numRef>
          </c:xVal>
          <c:yVal>
            <c:numRef>
              <c:f>'YL09-example'!$F$25:$F$29</c:f>
              <c:numCache>
                <c:formatCode>0.00</c:formatCode>
                <c:ptCount val="5"/>
                <c:pt idx="0">
                  <c:v>34895.910000000003</c:v>
                </c:pt>
                <c:pt idx="1">
                  <c:v>11773.31</c:v>
                </c:pt>
                <c:pt idx="2">
                  <c:v>12178.98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3-8A4F-A7A1-5C93917A4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8904"/>
        <c:axId val="-2133566584"/>
      </c:scatterChart>
      <c:valAx>
        <c:axId val="-2133558904"/>
        <c:scaling>
          <c:orientation val="minMax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Values</a:t>
                </a:r>
              </a:p>
            </c:rich>
          </c:tx>
          <c:layout>
            <c:manualLayout>
              <c:xMode val="edge"/>
              <c:yMode val="edge"/>
              <c:x val="0.36267661084617903"/>
              <c:y val="0.904761529808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66584"/>
        <c:crosses val="autoZero"/>
        <c:crossBetween val="midCat"/>
      </c:valAx>
      <c:valAx>
        <c:axId val="-21335665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Values</a:t>
                </a:r>
              </a:p>
            </c:rich>
          </c:tx>
          <c:layout>
            <c:manualLayout>
              <c:xMode val="edge"/>
              <c:yMode val="edge"/>
              <c:x val="2.8169014084507001E-2"/>
              <c:y val="0.3142857142857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8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Curvature</a:t>
            </a:r>
          </a:p>
        </c:rich>
      </c:tx>
      <c:layout>
        <c:manualLayout>
          <c:xMode val="edge"/>
          <c:yMode val="edge"/>
          <c:x val="0.21428599550056199"/>
          <c:y val="3.389830508474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6634262555676"/>
          <c:y val="0.169492226778613"/>
          <c:w val="0.83523410807949572"/>
          <c:h val="0.669494295775522"/>
        </c:manualLayout>
      </c:layout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9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'YL09-example'!$E$25:$E$29</c:f>
              <c:numCache>
                <c:formatCode>0.00</c:formatCode>
                <c:ptCount val="5"/>
                <c:pt idx="0">
                  <c:v>2.4</c:v>
                </c:pt>
                <c:pt idx="1">
                  <c:v>29.4</c:v>
                </c:pt>
                <c:pt idx="2">
                  <c:v>28.2</c:v>
                </c:pt>
              </c:numCache>
            </c:numRef>
          </c:xVal>
          <c:yVal>
            <c:numRef>
              <c:f>'YL09-example'!$I$25:$I$31</c:f>
              <c:numCache>
                <c:formatCode>0.00</c:formatCode>
                <c:ptCount val="7"/>
                <c:pt idx="0">
                  <c:v>14.435301701909339</c:v>
                </c:pt>
                <c:pt idx="1">
                  <c:v>310.35898659102349</c:v>
                </c:pt>
                <c:pt idx="2">
                  <c:v>-324.79428829293465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44-4F46-9F04-88DA3B32B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5320"/>
        <c:axId val="-2092779288"/>
      </c:scatterChart>
      <c:valAx>
        <c:axId val="-2092785320"/>
        <c:scaling>
          <c:orientation val="minMax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aseline="0"/>
                  <a:t>Measured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42913385826801"/>
              <c:y val="0.8305118110236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79288"/>
        <c:crosses val="autoZero"/>
        <c:crossBetween val="midCat"/>
      </c:valAx>
      <c:valAx>
        <c:axId val="-209277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2.8571428571428598E-2"/>
              <c:y val="0.29661150407046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85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004680664916886"/>
                  <c:y val="2.7308982210557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Info!$Q$8:$Q$14</c:f>
              <c:numCache>
                <c:formatCode>General</c:formatCode>
                <c:ptCount val="7"/>
                <c:pt idx="0">
                  <c:v>10.580648379555027</c:v>
                </c:pt>
                <c:pt idx="1">
                  <c:v>10.460124909345925</c:v>
                </c:pt>
                <c:pt idx="2">
                  <c:v>9.7632071507841314</c:v>
                </c:pt>
                <c:pt idx="3">
                  <c:v>9.4074667939148124</c:v>
                </c:pt>
                <c:pt idx="4">
                  <c:v>9.3735903841678674</c:v>
                </c:pt>
                <c:pt idx="5">
                  <c:v>10.231494055743841</c:v>
                </c:pt>
              </c:numCache>
            </c:numRef>
          </c:xVal>
          <c:yVal>
            <c:numRef>
              <c:f>Info!$O$8:$O$14</c:f>
              <c:numCache>
                <c:formatCode>General</c:formatCode>
                <c:ptCount val="7"/>
                <c:pt idx="0">
                  <c:v>3.6596523330283625E-3</c:v>
                </c:pt>
                <c:pt idx="1">
                  <c:v>3.6291054255126118E-3</c:v>
                </c:pt>
                <c:pt idx="2">
                  <c:v>3.3996260411354754E-3</c:v>
                </c:pt>
                <c:pt idx="3">
                  <c:v>3.3184005309440851E-3</c:v>
                </c:pt>
                <c:pt idx="4">
                  <c:v>3.3052388035035535E-3</c:v>
                </c:pt>
                <c:pt idx="5">
                  <c:v>3.5618878005342831E-3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F-714B-AFC3-314DE8E5A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68895"/>
        <c:axId val="698646079"/>
      </c:scatterChart>
      <c:valAx>
        <c:axId val="69866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46079"/>
        <c:crosses val="autoZero"/>
        <c:crossBetween val="midCat"/>
      </c:valAx>
      <c:valAx>
        <c:axId val="69864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6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21</xdr:row>
      <xdr:rowOff>0</xdr:rowOff>
    </xdr:from>
    <xdr:to>
      <xdr:col>18</xdr:col>
      <xdr:colOff>330200</xdr:colOff>
      <xdr:row>35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141FD-4555-D24B-9954-6575B81D1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63501</xdr:colOff>
      <xdr:row>35</xdr:row>
      <xdr:rowOff>63500</xdr:rowOff>
    </xdr:from>
    <xdr:to>
      <xdr:col>18</xdr:col>
      <xdr:colOff>332317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307BE8-A79C-D643-909C-8FDE829FB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18</xdr:row>
      <xdr:rowOff>165100</xdr:rowOff>
    </xdr:from>
    <xdr:to>
      <xdr:col>12</xdr:col>
      <xdr:colOff>626605</xdr:colOff>
      <xdr:row>56</xdr:row>
      <xdr:rowOff>9769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E7F12D-86C1-2245-B77E-B85ABCFE9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4492869"/>
          <a:ext cx="9543959" cy="7269285"/>
        </a:xfrm>
        <a:prstGeom prst="rect">
          <a:avLst/>
        </a:prstGeom>
      </xdr:spPr>
    </xdr:pic>
    <xdr:clientData/>
  </xdr:twoCellAnchor>
  <xdr:twoCellAnchor>
    <xdr:from>
      <xdr:col>14</xdr:col>
      <xdr:colOff>424962</xdr:colOff>
      <xdr:row>21</xdr:row>
      <xdr:rowOff>977</xdr:rowOff>
    </xdr:from>
    <xdr:to>
      <xdr:col>20</xdr:col>
      <xdr:colOff>14654</xdr:colOff>
      <xdr:row>35</xdr:row>
      <xdr:rowOff>8793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7DD009-2A79-6649-B235-F37D4FD4E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55033</xdr:colOff>
      <xdr:row>10</xdr:row>
      <xdr:rowOff>143933</xdr:rowOff>
    </xdr:from>
    <xdr:to>
      <xdr:col>8</xdr:col>
      <xdr:colOff>608054</xdr:colOff>
      <xdr:row>24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1A12C8-5137-CF4E-B161-72E7CF0B8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3533" y="2154766"/>
          <a:ext cx="1378521" cy="2766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759883</xdr:colOff>
      <xdr:row>11</xdr:row>
      <xdr:rowOff>29633</xdr:rowOff>
    </xdr:from>
    <xdr:to>
      <xdr:col>10</xdr:col>
      <xdr:colOff>497417</xdr:colOff>
      <xdr:row>24</xdr:row>
      <xdr:rowOff>192618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8ED1FE-F73F-524E-93A8-4DE129AF6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3883" y="2241550"/>
          <a:ext cx="1388534" cy="277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76200</xdr:rowOff>
    </xdr:from>
    <xdr:to>
      <xdr:col>10</xdr:col>
      <xdr:colOff>673100</xdr:colOff>
      <xdr:row>35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FE2245-22B8-7345-B472-2B52CF3C5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5638800"/>
          <a:ext cx="3149600" cy="161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6</xdr:col>
      <xdr:colOff>807823</xdr:colOff>
      <xdr:row>34</xdr:row>
      <xdr:rowOff>21167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0077DB6-AEB7-3C4D-A5E7-407969409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048000"/>
          <a:ext cx="5760823" cy="40428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7</xdr:col>
      <xdr:colOff>12485</xdr:colOff>
      <xdr:row>55</xdr:row>
      <xdr:rowOff>42334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CBDD4D8-8438-7948-97EF-E94DE3076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270750"/>
          <a:ext cx="5790985" cy="406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ufdenkampe/Documents/Arduino/YosemitechModbus/utilities/CalibrationProtocolSpreadsheet/Y520-Conductivity-Calibr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L09-example"/>
      <sheetName val="YL09-blank"/>
    </sheetNames>
    <sheetDataSet>
      <sheetData sheetId="0">
        <row r="25">
          <cell r="E25">
            <v>136.650125</v>
          </cell>
          <cell r="F25">
            <v>125</v>
          </cell>
          <cell r="I25">
            <v>-0.60071942311057569</v>
          </cell>
        </row>
        <row r="26">
          <cell r="E26">
            <v>257.74474999999995</v>
          </cell>
          <cell r="F26">
            <v>250</v>
          </cell>
          <cell r="I26">
            <v>-0.27799536020171445</v>
          </cell>
        </row>
        <row r="27">
          <cell r="E27">
            <v>498.87049999999999</v>
          </cell>
          <cell r="F27">
            <v>500</v>
          </cell>
          <cell r="I27">
            <v>1.4624169967622151</v>
          </cell>
        </row>
        <row r="28">
          <cell r="E28">
            <v>986.49012500000003</v>
          </cell>
          <cell r="F28">
            <v>1000</v>
          </cell>
          <cell r="I28">
            <v>-0.58370221344989659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lectronics.stackexchange.com/questions/454954/whats-the-simplest-way-to-calibrate-a-thermistor" TargetMode="External"/><Relationship Id="rId2" Type="http://schemas.openxmlformats.org/officeDocument/2006/relationships/hyperlink" Target="https://www.newport.com/medias/sys_master/images/images/h67/hc1/8797049487390/AN04-Thermistor-Calibration-and-Steinhart-Hart.pdf" TargetMode="External"/><Relationship Id="rId1" Type="http://schemas.openxmlformats.org/officeDocument/2006/relationships/hyperlink" Target="https://www.mstarlabs.com/sensors/thermistor-calibration.html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www.thinksrs.com/downloads/programs/Therm%20Calc/NTCCalibrator/NTCcalculator.ht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inksrs.com/downloads/programs/Therm%20Calc/NTCCalibrator/NTCcalculator.htm" TargetMode="External"/><Relationship Id="rId2" Type="http://schemas.openxmlformats.org/officeDocument/2006/relationships/hyperlink" Target="mailto:sunxian@yosemitech.com" TargetMode="External"/><Relationship Id="rId1" Type="http://schemas.openxmlformats.org/officeDocument/2006/relationships/hyperlink" Target="mailto:wenxing@yosemitech.com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CA17-DEF4-FA40-B3C3-4F5CDAE99892}">
  <dimension ref="A1:V38"/>
  <sheetViews>
    <sheetView zoomScale="120" zoomScaleNormal="120" workbookViewId="0">
      <selection activeCell="A15" sqref="A15:B17"/>
    </sheetView>
  </sheetViews>
  <sheetFormatPr baseColWidth="10" defaultRowHeight="14"/>
  <cols>
    <col min="1" max="1" width="30.83203125" style="11" customWidth="1"/>
    <col min="2" max="2" width="11.83203125" style="11" customWidth="1"/>
    <col min="3" max="4" width="10.83203125" style="11" customWidth="1"/>
    <col min="5" max="5" width="10.83203125" style="11"/>
    <col min="6" max="6" width="13.33203125" style="11" customWidth="1"/>
    <col min="7" max="7" width="3.33203125" style="11" customWidth="1"/>
    <col min="8" max="9" width="10.83203125" style="11"/>
    <col min="10" max="10" width="3.33203125" style="11" customWidth="1"/>
    <col min="11" max="12" width="10.83203125" style="11"/>
    <col min="13" max="13" width="3.33203125" style="11" customWidth="1"/>
    <col min="14" max="15" width="10.83203125" style="11"/>
    <col min="16" max="16" width="3.33203125" style="11" customWidth="1"/>
    <col min="17" max="16384" width="10.83203125" style="11"/>
  </cols>
  <sheetData>
    <row r="1" spans="1:18" ht="18">
      <c r="A1" s="10" t="s">
        <v>84</v>
      </c>
      <c r="I1" s="11">
        <v>34895.910000000003</v>
      </c>
      <c r="L1" s="11">
        <v>11773.31</v>
      </c>
      <c r="O1" s="11">
        <v>12178.98</v>
      </c>
    </row>
    <row r="2" spans="1:18">
      <c r="A2" s="12" t="s">
        <v>85</v>
      </c>
      <c r="H2" s="13" t="s">
        <v>35</v>
      </c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s="16" customFormat="1" ht="30">
      <c r="A3" s="15" t="s">
        <v>36</v>
      </c>
      <c r="C3" s="17"/>
      <c r="D3" s="17" t="s">
        <v>37</v>
      </c>
      <c r="E3" s="18" t="s">
        <v>38</v>
      </c>
      <c r="F3" s="11" t="s">
        <v>39</v>
      </c>
      <c r="G3" s="11"/>
      <c r="H3" s="21" t="s">
        <v>44</v>
      </c>
      <c r="I3" s="19">
        <v>2.4</v>
      </c>
      <c r="J3" s="11"/>
      <c r="K3" s="21" t="s">
        <v>44</v>
      </c>
      <c r="L3" s="19">
        <v>29.4</v>
      </c>
      <c r="M3" s="11"/>
      <c r="N3" s="21" t="s">
        <v>44</v>
      </c>
      <c r="O3" s="19">
        <v>28.2</v>
      </c>
      <c r="P3" s="11"/>
      <c r="Q3" s="21" t="s">
        <v>44</v>
      </c>
      <c r="R3" s="19"/>
    </row>
    <row r="4" spans="1:18">
      <c r="E4" s="11" t="s">
        <v>40</v>
      </c>
      <c r="H4" s="13" t="s">
        <v>41</v>
      </c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 ht="18">
      <c r="A5" s="20" t="s">
        <v>42</v>
      </c>
      <c r="B5" s="14"/>
      <c r="C5" s="14"/>
      <c r="E5" s="11" t="s">
        <v>43</v>
      </c>
      <c r="F5" s="11" t="s">
        <v>44</v>
      </c>
      <c r="H5" s="21" t="s">
        <v>43</v>
      </c>
      <c r="I5" s="21" t="s">
        <v>44</v>
      </c>
      <c r="J5" s="21"/>
      <c r="K5" s="21" t="s">
        <v>43</v>
      </c>
      <c r="L5" s="21" t="s">
        <v>44</v>
      </c>
      <c r="M5" s="21"/>
      <c r="N5" s="21" t="s">
        <v>43</v>
      </c>
      <c r="O5" s="21" t="s">
        <v>44</v>
      </c>
      <c r="P5" s="21"/>
      <c r="Q5" s="21" t="s">
        <v>43</v>
      </c>
      <c r="R5" s="21" t="s">
        <v>44</v>
      </c>
    </row>
    <row r="6" spans="1:18">
      <c r="A6" s="22" t="s">
        <v>45</v>
      </c>
      <c r="B6" s="23">
        <v>44658</v>
      </c>
      <c r="E6" s="19"/>
      <c r="F6" s="19"/>
      <c r="H6" s="19">
        <v>0.21351300000000001</v>
      </c>
      <c r="I6" s="19">
        <v>-3.9338069999999998</v>
      </c>
      <c r="K6" s="19">
        <v>0.60815699999999995</v>
      </c>
      <c r="L6" s="19">
        <v>20.907170000000001</v>
      </c>
      <c r="N6" s="19">
        <v>0.604271</v>
      </c>
      <c r="O6" s="19">
        <v>20.197939999999999</v>
      </c>
      <c r="Q6" s="19"/>
      <c r="R6" s="19"/>
    </row>
    <row r="7" spans="1:18">
      <c r="E7" s="19"/>
      <c r="F7" s="19"/>
      <c r="H7" s="19">
        <v>0.21351300000000001</v>
      </c>
      <c r="I7" s="19">
        <v>-3.9602659999999998</v>
      </c>
      <c r="K7" s="19">
        <v>0.60796399999999995</v>
      </c>
      <c r="L7" s="19">
        <v>20.913150000000002</v>
      </c>
      <c r="N7" s="19">
        <v>0.60412100000000002</v>
      </c>
      <c r="O7" s="19">
        <v>20.19556</v>
      </c>
      <c r="Q7" s="19"/>
      <c r="R7" s="19"/>
    </row>
    <row r="8" spans="1:18" ht="16">
      <c r="A8" s="24" t="s">
        <v>46</v>
      </c>
      <c r="E8" s="19"/>
      <c r="F8" s="19"/>
      <c r="H8" s="19">
        <v>0.21181700000000001</v>
      </c>
      <c r="I8" s="19">
        <v>-3.9589539999999999</v>
      </c>
      <c r="K8" s="19">
        <v>0.60781499999999999</v>
      </c>
      <c r="L8" s="19">
        <v>20.970580000000002</v>
      </c>
      <c r="N8" s="19">
        <v>0.60454300000000005</v>
      </c>
      <c r="O8" s="19">
        <v>20.193239999999999</v>
      </c>
      <c r="Q8" s="19"/>
      <c r="R8" s="19"/>
    </row>
    <row r="9" spans="1:18">
      <c r="A9" s="22" t="s">
        <v>47</v>
      </c>
      <c r="B9" s="19" t="s">
        <v>33</v>
      </c>
      <c r="E9" s="19"/>
      <c r="F9" s="19"/>
      <c r="H9" s="19">
        <v>0.213504</v>
      </c>
      <c r="I9" s="19">
        <v>-3.9238590000000002</v>
      </c>
      <c r="K9" s="19">
        <v>0.607765</v>
      </c>
      <c r="L9" s="19">
        <v>20.976590000000002</v>
      </c>
      <c r="N9" s="19">
        <v>0.60438099999999995</v>
      </c>
      <c r="O9" s="19">
        <v>20.19089</v>
      </c>
      <c r="Q9" s="19"/>
      <c r="R9" s="19"/>
    </row>
    <row r="10" spans="1:18">
      <c r="A10" s="22" t="s">
        <v>48</v>
      </c>
      <c r="B10" s="19" t="s">
        <v>34</v>
      </c>
      <c r="E10" s="19"/>
      <c r="F10" s="19"/>
      <c r="H10" s="19">
        <v>0.21493899999999999</v>
      </c>
      <c r="I10" s="19">
        <v>-3.9126280000000002</v>
      </c>
      <c r="K10" s="19">
        <v>0.60769600000000001</v>
      </c>
      <c r="L10" s="19">
        <v>20.93347</v>
      </c>
      <c r="N10" s="19"/>
      <c r="O10" s="19"/>
      <c r="Q10" s="19"/>
      <c r="R10" s="19"/>
    </row>
    <row r="11" spans="1:18">
      <c r="A11" s="22" t="s">
        <v>49</v>
      </c>
      <c r="B11" s="11" t="s">
        <v>50</v>
      </c>
      <c r="E11" s="19"/>
      <c r="F11" s="19"/>
      <c r="H11" s="19">
        <v>0.21493899999999999</v>
      </c>
      <c r="I11" s="19">
        <v>-3.9192499999999999</v>
      </c>
      <c r="K11" s="19">
        <v>0.60741400000000001</v>
      </c>
      <c r="L11" s="19">
        <v>20.93826</v>
      </c>
      <c r="N11" s="19"/>
      <c r="O11" s="19"/>
      <c r="Q11" s="19"/>
      <c r="R11" s="19"/>
    </row>
    <row r="12" spans="1:18">
      <c r="A12" s="22" t="s">
        <v>51</v>
      </c>
      <c r="B12" s="25">
        <v>1.038646</v>
      </c>
      <c r="C12" s="11" t="s">
        <v>52</v>
      </c>
      <c r="E12" s="19"/>
      <c r="F12" s="19"/>
      <c r="H12" s="19">
        <v>0.212396</v>
      </c>
      <c r="I12" s="19">
        <v>-3.870911</v>
      </c>
      <c r="K12" s="19">
        <v>0.60706199999999999</v>
      </c>
      <c r="L12" s="19">
        <v>20.944240000000001</v>
      </c>
      <c r="N12" s="19"/>
      <c r="O12" s="19"/>
      <c r="Q12" s="19"/>
      <c r="R12" s="19"/>
    </row>
    <row r="13" spans="1:18">
      <c r="A13" s="22" t="s">
        <v>53</v>
      </c>
      <c r="B13" s="25">
        <v>62.186</v>
      </c>
      <c r="C13" s="11" t="s">
        <v>54</v>
      </c>
      <c r="E13" s="19"/>
      <c r="F13" s="19"/>
      <c r="H13" s="19">
        <v>0.215558</v>
      </c>
      <c r="I13" s="19">
        <v>-3.8563230000000002</v>
      </c>
      <c r="K13" s="19">
        <v>0.60746800000000001</v>
      </c>
      <c r="L13" s="19">
        <v>20.951419999999999</v>
      </c>
      <c r="N13" s="19"/>
      <c r="O13" s="19"/>
      <c r="Q13" s="19"/>
      <c r="R13" s="19"/>
    </row>
    <row r="14" spans="1:18">
      <c r="E14" s="19"/>
      <c r="F14" s="19"/>
      <c r="H14" s="19"/>
      <c r="I14" s="19"/>
      <c r="K14" s="19">
        <v>0.60701499999999997</v>
      </c>
      <c r="L14" s="19">
        <v>20.959810000000001</v>
      </c>
      <c r="N14" s="19"/>
      <c r="O14" s="19"/>
      <c r="Q14" s="19"/>
      <c r="R14" s="19"/>
    </row>
    <row r="15" spans="1:18" ht="16">
      <c r="A15" s="24" t="s">
        <v>55</v>
      </c>
      <c r="E15" s="19"/>
      <c r="F15" s="19"/>
      <c r="H15" s="19"/>
      <c r="I15" s="19"/>
      <c r="K15" s="19">
        <v>0.60639399999999999</v>
      </c>
      <c r="L15" s="19">
        <v>20.96698</v>
      </c>
      <c r="N15" s="19"/>
      <c r="O15" s="19"/>
      <c r="Q15" s="19"/>
      <c r="R15" s="19"/>
    </row>
    <row r="16" spans="1:18">
      <c r="A16" s="22" t="s">
        <v>51</v>
      </c>
      <c r="B16" s="26">
        <v>1</v>
      </c>
      <c r="E16" s="26"/>
      <c r="F16" s="27"/>
    </row>
    <row r="17" spans="1:22">
      <c r="A17" s="22" t="s">
        <v>53</v>
      </c>
      <c r="B17" s="26">
        <v>0</v>
      </c>
      <c r="C17" s="22"/>
      <c r="D17" s="22" t="s">
        <v>56</v>
      </c>
      <c r="E17" s="28" t="e">
        <f>AVERAGE(E6:E15)</f>
        <v>#DIV/0!</v>
      </c>
      <c r="F17" s="29" t="e">
        <f>AVERAGE(F6:F15)</f>
        <v>#DIV/0!</v>
      </c>
      <c r="H17" s="28">
        <f>AVERAGE(H6:H15)</f>
        <v>0.21377237500000001</v>
      </c>
      <c r="I17" s="29">
        <f>AVERAGE(I6:I15)</f>
        <v>-3.91699975</v>
      </c>
      <c r="K17" s="28">
        <f>AVERAGE(K6:K15)</f>
        <v>0.60747499999999999</v>
      </c>
      <c r="L17" s="29">
        <f>AVERAGE(L6:L15)</f>
        <v>20.946166999999999</v>
      </c>
      <c r="N17" s="28">
        <f>AVERAGE(N6:N15)</f>
        <v>0.60432900000000001</v>
      </c>
      <c r="O17" s="29">
        <f>AVERAGE(O6:O15)</f>
        <v>20.194407500000001</v>
      </c>
      <c r="Q17" s="28" t="e">
        <f>AVERAGE(Q6:Q15)</f>
        <v>#DIV/0!</v>
      </c>
      <c r="R17" s="29" t="e">
        <f>AVERAGE(R6:R15)</f>
        <v>#DIV/0!</v>
      </c>
    </row>
    <row r="18" spans="1:22">
      <c r="C18" s="22"/>
      <c r="D18" s="22" t="s">
        <v>57</v>
      </c>
      <c r="E18" s="28" t="e">
        <f>STDEV(E6:E15)</f>
        <v>#DIV/0!</v>
      </c>
      <c r="F18" s="29" t="e">
        <f>STDEV(F6:F15)</f>
        <v>#DIV/0!</v>
      </c>
      <c r="H18" s="28">
        <f>STDEV(H6:H15)</f>
        <v>1.3002724920459625E-3</v>
      </c>
      <c r="I18" s="29">
        <f>STDEV(I6:I15)</f>
        <v>3.740068207074753E-2</v>
      </c>
      <c r="K18" s="28">
        <f>STDEV(K6:K15)</f>
        <v>5.2781372976962854E-4</v>
      </c>
      <c r="L18" s="29">
        <f>STDEV(L6:L15)</f>
        <v>2.3586238949391231E-2</v>
      </c>
      <c r="N18" s="28">
        <f>STDEV(N6:N15)</f>
        <v>1.7807114682995731E-4</v>
      </c>
      <c r="O18" s="29">
        <f>STDEV(O6:O15)</f>
        <v>3.0299986248621272E-3</v>
      </c>
      <c r="Q18" s="28" t="e">
        <f>STDEV(Q6:Q15)</f>
        <v>#DIV/0!</v>
      </c>
      <c r="R18" s="29" t="e">
        <f>STDEV(R6:R15)</f>
        <v>#DIV/0!</v>
      </c>
    </row>
    <row r="19" spans="1:22" ht="16">
      <c r="A19" s="24" t="s">
        <v>58</v>
      </c>
      <c r="C19" s="22"/>
      <c r="D19" s="22" t="s">
        <v>59</v>
      </c>
      <c r="E19" s="30" t="e">
        <f>E18/E17</f>
        <v>#DIV/0!</v>
      </c>
      <c r="F19" s="30" t="e">
        <f>F18/F17</f>
        <v>#DIV/0!</v>
      </c>
      <c r="H19" s="30">
        <f>H18/H17</f>
        <v>6.0825094544885066E-3</v>
      </c>
      <c r="I19" s="30">
        <f>I18/I17</f>
        <v>-9.5482983042691101E-3</v>
      </c>
      <c r="K19" s="30">
        <f>K18/K17</f>
        <v>8.688649405648439E-4</v>
      </c>
      <c r="L19" s="30">
        <f>L18/L17</f>
        <v>1.1260408145027791E-3</v>
      </c>
      <c r="N19" s="30">
        <f>N18/N17</f>
        <v>2.946592780256405E-4</v>
      </c>
      <c r="O19" s="30">
        <f>O18/O17</f>
        <v>1.5004147187096858E-4</v>
      </c>
      <c r="Q19" s="30" t="e">
        <f>Q18/Q17</f>
        <v>#DIV/0!</v>
      </c>
      <c r="R19" s="30" t="e">
        <f>R18/R17</f>
        <v>#DIV/0!</v>
      </c>
    </row>
    <row r="20" spans="1:22">
      <c r="A20" s="12" t="s">
        <v>60</v>
      </c>
      <c r="C20" s="22"/>
      <c r="D20" s="22" t="s">
        <v>61</v>
      </c>
      <c r="E20" s="31" t="e">
        <f>E17*1000</f>
        <v>#DIV/0!</v>
      </c>
      <c r="F20" s="11" t="s">
        <v>39</v>
      </c>
      <c r="H20" s="31">
        <f>H17*1000</f>
        <v>213.77237500000001</v>
      </c>
      <c r="I20" s="29">
        <f>I17 + 273.15</f>
        <v>269.23300024999998</v>
      </c>
      <c r="K20" s="31">
        <f>K17*1000</f>
        <v>607.47500000000002</v>
      </c>
      <c r="L20" s="29">
        <f>L17 + 273.15</f>
        <v>294.09616699999998</v>
      </c>
      <c r="N20" s="31">
        <f>N17*1000</f>
        <v>604.32899999999995</v>
      </c>
      <c r="O20" s="29">
        <f>O17 + 273.15</f>
        <v>293.34440749999999</v>
      </c>
      <c r="Q20" s="31" t="e">
        <f>Q17*1000</f>
        <v>#DIV/0!</v>
      </c>
      <c r="R20" s="29" t="e">
        <f>R17 + 273.15</f>
        <v>#DIV/0!</v>
      </c>
    </row>
    <row r="21" spans="1:22">
      <c r="H21" s="11" t="s">
        <v>39</v>
      </c>
      <c r="I21" s="21" t="s">
        <v>86</v>
      </c>
      <c r="K21" s="11" t="s">
        <v>39</v>
      </c>
      <c r="L21" s="21" t="s">
        <v>86</v>
      </c>
      <c r="O21" s="21" t="s">
        <v>86</v>
      </c>
      <c r="R21" s="21" t="s">
        <v>86</v>
      </c>
    </row>
    <row r="22" spans="1:22" ht="16">
      <c r="A22" s="24" t="s">
        <v>62</v>
      </c>
      <c r="E22" s="13" t="s">
        <v>63</v>
      </c>
      <c r="F22" s="14"/>
      <c r="G22" s="14"/>
      <c r="H22" s="14"/>
      <c r="I22" s="14"/>
    </row>
    <row r="23" spans="1:22">
      <c r="A23" s="12" t="s">
        <v>64</v>
      </c>
      <c r="E23" s="32" t="s">
        <v>65</v>
      </c>
      <c r="F23" s="21" t="s">
        <v>66</v>
      </c>
      <c r="T23" s="32" t="s">
        <v>65</v>
      </c>
      <c r="U23" s="21" t="s">
        <v>66</v>
      </c>
      <c r="V23" s="11" t="s">
        <v>90</v>
      </c>
    </row>
    <row r="24" spans="1:22">
      <c r="A24" s="12" t="s">
        <v>67</v>
      </c>
      <c r="E24" s="21" t="s">
        <v>68</v>
      </c>
      <c r="F24" s="21" t="s">
        <v>69</v>
      </c>
      <c r="H24" s="11" t="s">
        <v>70</v>
      </c>
      <c r="I24" s="11" t="s">
        <v>71</v>
      </c>
      <c r="K24" s="11" t="s">
        <v>72</v>
      </c>
      <c r="T24" s="21" t="s">
        <v>68</v>
      </c>
      <c r="U24" s="21" t="s">
        <v>69</v>
      </c>
      <c r="V24" s="11" t="s">
        <v>24</v>
      </c>
    </row>
    <row r="25" spans="1:22">
      <c r="E25" s="33">
        <f>U25</f>
        <v>2.4</v>
      </c>
      <c r="F25" s="33">
        <f>V25</f>
        <v>34895.910000000003</v>
      </c>
      <c r="H25" s="31">
        <f t="shared" ref="H25:H28" si="0">IF(ISNUMBER(E25), FORECAST(E25,$F$25:$F$28,$E$25:$E$28), "")</f>
        <v>34881.474698298094</v>
      </c>
      <c r="I25" s="31">
        <f>IF(ISNUMBER(F25), F25-H25, "")</f>
        <v>14.435301701909339</v>
      </c>
      <c r="K25" s="31">
        <f>$F$31 * E25 + $F$32</f>
        <v>34881.474698298094</v>
      </c>
      <c r="T25" s="31">
        <f>I17</f>
        <v>-3.91699975</v>
      </c>
      <c r="U25" s="31">
        <f>I3</f>
        <v>2.4</v>
      </c>
      <c r="V25" s="11">
        <f>I1</f>
        <v>34895.910000000003</v>
      </c>
    </row>
    <row r="26" spans="1:22" ht="16">
      <c r="A26" s="24" t="s">
        <v>73</v>
      </c>
      <c r="E26" s="33">
        <f t="shared" ref="E26:E27" si="1">U26</f>
        <v>29.4</v>
      </c>
      <c r="F26" s="33">
        <f t="shared" ref="F26:F27" si="2">V26</f>
        <v>11773.31</v>
      </c>
      <c r="H26" s="31">
        <f t="shared" si="0"/>
        <v>11462.951013408976</v>
      </c>
      <c r="I26" s="31">
        <f>IF(ISNUMBER(F26), F26-H26, "")</f>
        <v>310.35898659102349</v>
      </c>
      <c r="K26" s="31">
        <f t="shared" ref="K26:K28" si="3">$F$31 * E26 + $F$32</f>
        <v>11462.951013408976</v>
      </c>
      <c r="T26" s="31">
        <f>L17</f>
        <v>20.946166999999999</v>
      </c>
      <c r="U26" s="31">
        <f>L3</f>
        <v>29.4</v>
      </c>
      <c r="V26" s="11">
        <f>L1</f>
        <v>11773.31</v>
      </c>
    </row>
    <row r="27" spans="1:22">
      <c r="A27" s="12" t="s">
        <v>74</v>
      </c>
      <c r="E27" s="33">
        <f t="shared" si="1"/>
        <v>28.2</v>
      </c>
      <c r="F27" s="33">
        <f t="shared" si="2"/>
        <v>12178.98</v>
      </c>
      <c r="H27" s="31">
        <f t="shared" si="0"/>
        <v>12503.774288292934</v>
      </c>
      <c r="I27" s="31">
        <f t="shared" ref="I27:I28" si="4">IF(ISNUMBER(F27), F27-H27, "")</f>
        <v>-324.79428829293465</v>
      </c>
      <c r="K27" s="31">
        <f t="shared" si="3"/>
        <v>12503.774288292934</v>
      </c>
      <c r="T27" s="31">
        <f>O17</f>
        <v>20.194407500000001</v>
      </c>
      <c r="U27" s="31">
        <f>O3</f>
        <v>28.2</v>
      </c>
      <c r="V27" s="11">
        <f>O1</f>
        <v>12178.98</v>
      </c>
    </row>
    <row r="28" spans="1:22">
      <c r="E28" s="33"/>
      <c r="F28" s="33"/>
      <c r="H28" s="31" t="str">
        <f t="shared" si="0"/>
        <v/>
      </c>
      <c r="I28" s="31" t="str">
        <f t="shared" si="4"/>
        <v/>
      </c>
      <c r="K28" s="31">
        <f t="shared" si="3"/>
        <v>36963.121248066018</v>
      </c>
      <c r="T28" s="31" t="e">
        <f>R17</f>
        <v>#DIV/0!</v>
      </c>
      <c r="U28" s="31">
        <f>R3</f>
        <v>0</v>
      </c>
    </row>
    <row r="29" spans="1:22" ht="16">
      <c r="A29" s="24" t="s">
        <v>75</v>
      </c>
      <c r="E29" s="34"/>
      <c r="F29" s="34"/>
    </row>
    <row r="30" spans="1:22">
      <c r="A30" s="12" t="s">
        <v>76</v>
      </c>
      <c r="T30" s="11" t="s">
        <v>77</v>
      </c>
    </row>
    <row r="31" spans="1:22">
      <c r="A31" s="22" t="s">
        <v>51</v>
      </c>
      <c r="B31" s="35">
        <f>F31</f>
        <v>-867.35272906996749</v>
      </c>
      <c r="C31" s="11" t="s">
        <v>28</v>
      </c>
      <c r="E31" s="22" t="s">
        <v>28</v>
      </c>
      <c r="F31" s="28">
        <f>SLOPE($F$25:$F$28,$E$25:$E$28)</f>
        <v>-867.35272906996749</v>
      </c>
      <c r="T31" s="11" t="s">
        <v>78</v>
      </c>
    </row>
    <row r="32" spans="1:22">
      <c r="A32" s="22" t="s">
        <v>53</v>
      </c>
      <c r="B32" s="35">
        <f>F32</f>
        <v>36963.121248066018</v>
      </c>
      <c r="C32" s="11" t="s">
        <v>79</v>
      </c>
      <c r="E32" s="22" t="s">
        <v>29</v>
      </c>
      <c r="F32" s="28">
        <f>INTERCEPT($F$25:$F$28,$E$25:$E$28)</f>
        <v>36963.121248066018</v>
      </c>
      <c r="G32" s="11" t="s">
        <v>44</v>
      </c>
      <c r="T32" s="11" t="s">
        <v>80</v>
      </c>
    </row>
    <row r="33" spans="1:20">
      <c r="F33" s="36"/>
      <c r="T33" s="11" t="s">
        <v>81</v>
      </c>
    </row>
    <row r="34" spans="1:20">
      <c r="A34" s="37"/>
      <c r="E34" s="22"/>
      <c r="F34" s="28"/>
    </row>
    <row r="35" spans="1:20" ht="16">
      <c r="A35" s="24" t="s">
        <v>82</v>
      </c>
    </row>
    <row r="36" spans="1:20">
      <c r="A36" s="12" t="s">
        <v>83</v>
      </c>
    </row>
    <row r="37" spans="1:20">
      <c r="E37" s="22"/>
    </row>
    <row r="38" spans="1:20">
      <c r="E38" s="2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869E-F36A-FE4D-8781-F8CD3ADF7ED2}">
  <dimension ref="A1:T16"/>
  <sheetViews>
    <sheetView topLeftCell="G1" zoomScale="130" zoomScaleNormal="130" workbookViewId="0">
      <selection activeCell="M13" sqref="M13"/>
    </sheetView>
  </sheetViews>
  <sheetFormatPr baseColWidth="10" defaultRowHeight="15"/>
  <cols>
    <col min="2" max="2" width="18.6640625" customWidth="1"/>
    <col min="4" max="4" width="4.1640625" customWidth="1"/>
    <col min="6" max="6" width="7.33203125" customWidth="1"/>
    <col min="8" max="8" width="4.5" customWidth="1"/>
    <col min="9" max="9" width="8.83203125" customWidth="1"/>
    <col min="12" max="14" width="8.6640625" customWidth="1"/>
  </cols>
  <sheetData>
    <row r="1" spans="1:20" ht="16">
      <c r="K1" s="2" t="s">
        <v>4</v>
      </c>
      <c r="P1" s="4" t="s">
        <v>14</v>
      </c>
    </row>
    <row r="2" spans="1:20">
      <c r="C2" s="5" t="s">
        <v>20</v>
      </c>
      <c r="G2" s="5" t="s">
        <v>21</v>
      </c>
      <c r="K2" t="s">
        <v>10</v>
      </c>
      <c r="L2" s="3" t="s">
        <v>11</v>
      </c>
      <c r="P2" s="4" t="s">
        <v>15</v>
      </c>
    </row>
    <row r="3" spans="1:20">
      <c r="C3" t="s">
        <v>33</v>
      </c>
      <c r="K3" t="s">
        <v>5</v>
      </c>
      <c r="L3" s="3" t="s">
        <v>12</v>
      </c>
      <c r="P3" s="4" t="s">
        <v>26</v>
      </c>
    </row>
    <row r="4" spans="1:20">
      <c r="C4" t="s">
        <v>34</v>
      </c>
      <c r="P4" s="4" t="s">
        <v>27</v>
      </c>
    </row>
    <row r="5" spans="1:20">
      <c r="B5" t="s">
        <v>18</v>
      </c>
      <c r="C5">
        <v>1.038646</v>
      </c>
      <c r="F5" t="s">
        <v>8</v>
      </c>
      <c r="G5">
        <v>1.026438</v>
      </c>
      <c r="J5" t="s">
        <v>8</v>
      </c>
    </row>
    <row r="6" spans="1:20">
      <c r="B6" t="s">
        <v>19</v>
      </c>
      <c r="C6">
        <v>62.186</v>
      </c>
      <c r="F6" t="s">
        <v>9</v>
      </c>
      <c r="G6">
        <v>132.35380000000001</v>
      </c>
      <c r="J6" t="s">
        <v>9</v>
      </c>
    </row>
    <row r="7" spans="1:20" s="6" customFormat="1" ht="32">
      <c r="L7" s="6" t="s">
        <v>23</v>
      </c>
      <c r="M7" s="6" t="s">
        <v>22</v>
      </c>
      <c r="N7" s="6" t="s">
        <v>107</v>
      </c>
      <c r="O7" s="6" t="s">
        <v>106</v>
      </c>
      <c r="P7" s="6" t="s">
        <v>25</v>
      </c>
      <c r="Q7" s="6" t="s">
        <v>13</v>
      </c>
      <c r="R7" s="6" t="s">
        <v>31</v>
      </c>
      <c r="S7" s="6" t="s">
        <v>30</v>
      </c>
      <c r="T7" s="6" t="s">
        <v>32</v>
      </c>
    </row>
    <row r="8" spans="1:20">
      <c r="A8" t="s">
        <v>17</v>
      </c>
      <c r="E8" s="1">
        <f>C6 +C5*E11</f>
        <v>73.175548116831308</v>
      </c>
      <c r="F8" t="s">
        <v>6</v>
      </c>
      <c r="I8" s="1">
        <f>G6 +G5*I11</f>
        <v>142.83668020176748</v>
      </c>
      <c r="J8" t="s">
        <v>6</v>
      </c>
      <c r="K8" s="5" t="s">
        <v>20</v>
      </c>
      <c r="L8" s="7">
        <v>0.1</v>
      </c>
      <c r="M8">
        <v>-6.2018430000000002</v>
      </c>
      <c r="N8" s="45">
        <f>L8 + 273.15</f>
        <v>273.25</v>
      </c>
      <c r="O8" s="1">
        <f>1/N8</f>
        <v>3.6596523330283625E-3</v>
      </c>
      <c r="P8">
        <v>39365.629999999997</v>
      </c>
      <c r="Q8" s="1">
        <f>LN(P8)</f>
        <v>10.580648379555027</v>
      </c>
      <c r="R8" s="8">
        <f>INTERCEPT(O8:O14,Q8:Q14)</f>
        <v>5.0937154557424962E-4</v>
      </c>
      <c r="S8" s="8">
        <f>SLOPE(O8:O12,Q8:Q12)</f>
        <v>2.9671412280457798E-4</v>
      </c>
      <c r="T8">
        <f>1/S8</f>
        <v>3370.2473968811405</v>
      </c>
    </row>
    <row r="9" spans="1:20">
      <c r="A9">
        <v>0.1</v>
      </c>
      <c r="B9" t="s">
        <v>1</v>
      </c>
      <c r="C9">
        <v>-6.2018430000000002</v>
      </c>
      <c r="D9" t="s">
        <v>2</v>
      </c>
      <c r="G9">
        <v>1.654358</v>
      </c>
      <c r="H9" t="s">
        <v>2</v>
      </c>
      <c r="L9">
        <v>2.4</v>
      </c>
      <c r="M9">
        <v>-3.92</v>
      </c>
      <c r="N9" s="45">
        <f t="shared" ref="N9:N13" si="0">L9 + 273.15</f>
        <v>275.54999999999995</v>
      </c>
      <c r="O9" s="1">
        <f t="shared" ref="O9:O13" si="1">1/N9</f>
        <v>3.6291054255126118E-3</v>
      </c>
      <c r="P9">
        <v>34895.910000000003</v>
      </c>
      <c r="Q9" s="1">
        <f t="shared" ref="Q9:Q13" si="2">LN(P9)</f>
        <v>10.460124909345925</v>
      </c>
    </row>
    <row r="10" spans="1:20">
      <c r="C10" s="1">
        <f>C9 + 273.15</f>
        <v>266.94815699999998</v>
      </c>
      <c r="D10" t="s">
        <v>3</v>
      </c>
      <c r="E10" s="1">
        <f>1/E8</f>
        <v>1.3665767127612225E-2</v>
      </c>
      <c r="F10" t="s">
        <v>7</v>
      </c>
      <c r="G10" s="1">
        <f>G9 + 273.15</f>
        <v>274.80435799999998</v>
      </c>
      <c r="H10" t="s">
        <v>3</v>
      </c>
      <c r="I10" s="1">
        <f>1/I8</f>
        <v>7.0010028137550192E-3</v>
      </c>
      <c r="J10" t="s">
        <v>7</v>
      </c>
      <c r="K10" s="5" t="s">
        <v>20</v>
      </c>
      <c r="L10" s="7">
        <v>21</v>
      </c>
      <c r="M10">
        <v>11.764559999999999</v>
      </c>
      <c r="N10" s="45">
        <f t="shared" si="0"/>
        <v>294.14999999999998</v>
      </c>
      <c r="O10" s="1">
        <f t="shared" si="1"/>
        <v>3.3996260411354754E-3</v>
      </c>
      <c r="P10">
        <v>17382.29</v>
      </c>
      <c r="Q10" s="1">
        <f t="shared" si="2"/>
        <v>9.7632071507841314</v>
      </c>
    </row>
    <row r="11" spans="1:20">
      <c r="B11" t="s">
        <v>0</v>
      </c>
      <c r="C11">
        <v>39365.629999999997</v>
      </c>
      <c r="E11" s="1">
        <f>LN(C11)</f>
        <v>10.580648379555027</v>
      </c>
      <c r="F11" t="s">
        <v>13</v>
      </c>
      <c r="G11">
        <v>27251.73</v>
      </c>
      <c r="I11" s="1">
        <f>LN(G11)</f>
        <v>10.212872284314756</v>
      </c>
      <c r="J11" t="s">
        <v>13</v>
      </c>
      <c r="L11">
        <v>28.2</v>
      </c>
      <c r="M11" s="6">
        <v>20.190000000000001</v>
      </c>
      <c r="N11" s="45">
        <f t="shared" si="0"/>
        <v>301.34999999999997</v>
      </c>
      <c r="O11" s="1">
        <f t="shared" si="1"/>
        <v>3.3184005309440851E-3</v>
      </c>
      <c r="P11">
        <v>12178.98</v>
      </c>
      <c r="Q11" s="1">
        <f t="shared" si="2"/>
        <v>9.4074667939148124</v>
      </c>
    </row>
    <row r="12" spans="1:20">
      <c r="L12">
        <v>29.4</v>
      </c>
      <c r="M12" s="6">
        <v>20.95</v>
      </c>
      <c r="N12" s="45">
        <f t="shared" si="0"/>
        <v>302.54999999999995</v>
      </c>
      <c r="O12" s="1">
        <f t="shared" si="1"/>
        <v>3.3052388035035535E-3</v>
      </c>
      <c r="P12">
        <v>11773.31</v>
      </c>
      <c r="Q12" s="1">
        <f t="shared" si="2"/>
        <v>9.3735903841678674</v>
      </c>
    </row>
    <row r="13" spans="1:20">
      <c r="A13">
        <v>21</v>
      </c>
      <c r="B13" t="s">
        <v>16</v>
      </c>
      <c r="C13">
        <v>11.764559999999999</v>
      </c>
      <c r="D13" t="s">
        <v>2</v>
      </c>
      <c r="G13">
        <v>18.987490000000001</v>
      </c>
      <c r="H13" t="s">
        <v>2</v>
      </c>
      <c r="L13">
        <v>7.6</v>
      </c>
      <c r="N13" s="45">
        <f t="shared" si="0"/>
        <v>280.75</v>
      </c>
      <c r="O13" s="1">
        <f t="shared" si="1"/>
        <v>3.5618878005342831E-3</v>
      </c>
      <c r="P13">
        <v>27763.96</v>
      </c>
      <c r="Q13" s="1">
        <f t="shared" si="2"/>
        <v>10.231494055743841</v>
      </c>
      <c r="R13" s="9"/>
      <c r="S13" s="9"/>
    </row>
    <row r="14" spans="1:20">
      <c r="C14" s="1">
        <f>C13 + 273.15</f>
        <v>284.91455999999999</v>
      </c>
      <c r="D14" t="s">
        <v>3</v>
      </c>
      <c r="G14" s="1">
        <f>G13 + 273.15</f>
        <v>292.13748999999996</v>
      </c>
      <c r="H14" t="s">
        <v>3</v>
      </c>
      <c r="N14" s="1"/>
      <c r="O14" s="1"/>
      <c r="Q14" s="1"/>
      <c r="R14" s="9"/>
      <c r="S14" s="9"/>
    </row>
    <row r="15" spans="1:20">
      <c r="B15" t="s">
        <v>0</v>
      </c>
      <c r="C15">
        <v>17382.29</v>
      </c>
      <c r="G15">
        <v>12812.24</v>
      </c>
      <c r="K15" s="5" t="s">
        <v>21</v>
      </c>
      <c r="L15" s="7">
        <v>0.1</v>
      </c>
      <c r="M15">
        <v>1.654358</v>
      </c>
      <c r="N15" s="45">
        <f t="shared" ref="N15:N16" si="3">L15 + 273.15</f>
        <v>273.25</v>
      </c>
      <c r="O15" s="1">
        <f t="shared" ref="O15:O16" si="4">1/N15</f>
        <v>3.6596523330283625E-3</v>
      </c>
      <c r="P15">
        <v>27251.73</v>
      </c>
      <c r="Q15" s="1">
        <f t="shared" ref="Q13:Q16" si="5">LN(P15)</f>
        <v>10.212872284314756</v>
      </c>
      <c r="R15" s="8">
        <f>INTERCEPT(O15:O16,Q15:Q16)</f>
        <v>1.4095766607598835E-4</v>
      </c>
      <c r="S15" s="8">
        <f>SLOPE(O15:O16,Q15:Q16)</f>
        <v>3.4453526578967345E-4</v>
      </c>
    </row>
    <row r="16" spans="1:20">
      <c r="K16" s="5" t="s">
        <v>21</v>
      </c>
      <c r="L16" s="7">
        <v>21</v>
      </c>
      <c r="M16">
        <v>18.987490000000001</v>
      </c>
      <c r="N16" s="45">
        <f t="shared" si="3"/>
        <v>294.14999999999998</v>
      </c>
      <c r="O16" s="1">
        <f t="shared" si="4"/>
        <v>3.3996260411354754E-3</v>
      </c>
      <c r="P16">
        <v>12812.24</v>
      </c>
      <c r="Q16" s="1">
        <f t="shared" si="5"/>
        <v>9.4581562429919384</v>
      </c>
    </row>
  </sheetData>
  <hyperlinks>
    <hyperlink ref="P2" r:id="rId1" xr:uid="{BE4AD00D-0A53-4D4A-BCF7-445619A89419}"/>
    <hyperlink ref="P1" r:id="rId2" xr:uid="{7397AE43-8EE0-C544-A82B-3CFD7092BB59}"/>
    <hyperlink ref="P3" r:id="rId3" xr:uid="{2A0987AB-655E-DA4D-AB4E-736DC7B48E3A}"/>
    <hyperlink ref="P4" r:id="rId4" xr:uid="{0F66BDD8-4C58-3E47-A24E-83421D331628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2861-E211-3F48-A45C-6AAF43115A2C}">
  <dimension ref="A1:J39"/>
  <sheetViews>
    <sheetView tabSelected="1" zoomScale="120" zoomScaleNormal="120" workbookViewId="0">
      <selection activeCell="M15" sqref="M15"/>
    </sheetView>
  </sheetViews>
  <sheetFormatPr baseColWidth="10" defaultRowHeight="16"/>
  <cols>
    <col min="1" max="16384" width="10.83203125" style="39"/>
  </cols>
  <sheetData>
    <row r="1" spans="1:10">
      <c r="A1" s="40" t="s">
        <v>93</v>
      </c>
      <c r="H1" s="41" t="s">
        <v>102</v>
      </c>
    </row>
    <row r="2" spans="1:10">
      <c r="A2" s="38" t="s">
        <v>94</v>
      </c>
      <c r="H2" s="41" t="s">
        <v>98</v>
      </c>
    </row>
    <row r="3" spans="1:10">
      <c r="A3" s="38" t="s">
        <v>95</v>
      </c>
      <c r="H3" s="41" t="s">
        <v>99</v>
      </c>
    </row>
    <row r="4" spans="1:10">
      <c r="A4" s="40" t="s">
        <v>96</v>
      </c>
      <c r="H4" s="41" t="s">
        <v>91</v>
      </c>
    </row>
    <row r="5" spans="1:10">
      <c r="A5" s="38" t="s">
        <v>97</v>
      </c>
      <c r="H5" s="41" t="s">
        <v>92</v>
      </c>
    </row>
    <row r="6" spans="1:10">
      <c r="H6" s="41" t="s">
        <v>100</v>
      </c>
    </row>
    <row r="7" spans="1:10">
      <c r="H7" s="39" t="s">
        <v>101</v>
      </c>
    </row>
    <row r="8" spans="1:10" s="43" customFormat="1" ht="68">
      <c r="B8" s="43" t="s">
        <v>105</v>
      </c>
      <c r="C8" s="43" t="s">
        <v>109</v>
      </c>
      <c r="D8" s="43" t="s">
        <v>111</v>
      </c>
      <c r="F8" s="43" t="s">
        <v>110</v>
      </c>
      <c r="J8" s="44"/>
    </row>
    <row r="9" spans="1:10">
      <c r="A9" s="47" t="s">
        <v>65</v>
      </c>
      <c r="B9" s="39">
        <v>5</v>
      </c>
      <c r="C9" s="39">
        <v>23462.799999999999</v>
      </c>
      <c r="D9" s="39">
        <v>31310</v>
      </c>
      <c r="E9" s="47" t="s">
        <v>51</v>
      </c>
      <c r="F9" s="48">
        <f xml:space="preserve"> (C9-C10) / (D9-D10)</f>
        <v>0.77185651448505987</v>
      </c>
      <c r="J9" s="41"/>
    </row>
    <row r="10" spans="1:10">
      <c r="A10" s="47" t="s">
        <v>66</v>
      </c>
      <c r="B10" s="39">
        <v>30</v>
      </c>
      <c r="C10" s="39">
        <v>8196.25</v>
      </c>
      <c r="D10" s="39">
        <v>11531</v>
      </c>
      <c r="E10" s="47" t="s">
        <v>53</v>
      </c>
      <c r="F10" s="48">
        <f>C9 - D9*F9</f>
        <v>-704.02746852722703</v>
      </c>
      <c r="J10" s="42"/>
    </row>
    <row r="11" spans="1:10">
      <c r="D11" s="39" t="s">
        <v>112</v>
      </c>
    </row>
    <row r="13" spans="1:10">
      <c r="A13" s="39" t="s">
        <v>108</v>
      </c>
    </row>
    <row r="14" spans="1:10">
      <c r="A14" s="4" t="s">
        <v>27</v>
      </c>
    </row>
    <row r="16" spans="1:10">
      <c r="A16" s="46"/>
    </row>
    <row r="27" spans="8:8">
      <c r="H27" s="41" t="s">
        <v>87</v>
      </c>
    </row>
    <row r="36" spans="8:8">
      <c r="H36" s="41" t="s">
        <v>103</v>
      </c>
    </row>
    <row r="37" spans="8:8">
      <c r="H37" s="41" t="s">
        <v>104</v>
      </c>
    </row>
    <row r="38" spans="8:8">
      <c r="H38" s="41" t="s">
        <v>88</v>
      </c>
    </row>
    <row r="39" spans="8:8">
      <c r="H39" s="41" t="s">
        <v>89</v>
      </c>
    </row>
  </sheetData>
  <hyperlinks>
    <hyperlink ref="A1" r:id="rId1" display="mailto:wenxing@yosemitech.com" xr:uid="{8844A73F-E889-EA46-B886-18D637A9C54D}"/>
    <hyperlink ref="A4" r:id="rId2" tooltip="mailto:sunxian@yosemitech.com" display="mailto:sunxian@yosemitech.com" xr:uid="{AF855298-A886-4F4B-AEA7-6FDE1928D5C1}"/>
    <hyperlink ref="A14" r:id="rId3" xr:uid="{368DF313-920C-A541-83BC-C96FFD554B8A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YL09-example</vt:lpstr>
      <vt:lpstr>Info</vt:lpstr>
      <vt:lpstr>method from YosemiTech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2022-03-25T14:50:19Z</dcterms:created>
  <dcterms:modified xsi:type="dcterms:W3CDTF">2022-04-11T01:44:08Z</dcterms:modified>
</cp:coreProperties>
</file>