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ufdenkampe/Documents/Arduino/YosemitechModbus/utilities/CalibrationProtocolSpreadsheet/"/>
    </mc:Choice>
  </mc:AlternateContent>
  <xr:revisionPtr revIDLastSave="0" documentId="13_ncr:1_{50C17F07-FA6E-5340-A065-F76A9A716CC5}" xr6:coauthVersionLast="45" xr6:coauthVersionMax="45" xr10:uidLastSave="{00000000-0000-0000-0000-000000000000}"/>
  <bookViews>
    <workbookView xWindow="-1840" yWindow="-20600" windowWidth="25780" windowHeight="21040" xr2:uid="{A01D2E8A-3A02-234A-9567-63BD2965B45A}"/>
  </bookViews>
  <sheets>
    <sheet name="YL09-example" sheetId="7" r:id="rId1"/>
    <sheet name="YL09-blank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7" l="1"/>
  <c r="B33" i="7"/>
  <c r="I33" i="7"/>
  <c r="I32" i="7"/>
  <c r="G25" i="7"/>
  <c r="G26" i="7"/>
  <c r="G27" i="7"/>
  <c r="V27" i="7"/>
  <c r="V26" i="7"/>
  <c r="V25" i="7"/>
  <c r="U25" i="7"/>
  <c r="B35" i="7"/>
  <c r="B32" i="7"/>
  <c r="G33" i="7"/>
  <c r="G32" i="7"/>
  <c r="F32" i="7"/>
  <c r="F35" i="7"/>
  <c r="F33" i="7"/>
  <c r="E33" i="7"/>
  <c r="E32" i="7"/>
  <c r="B34" i="7"/>
  <c r="B31" i="7"/>
  <c r="U27" i="7"/>
  <c r="F27" i="7" s="1"/>
  <c r="U26" i="7"/>
  <c r="F26" i="7" s="1"/>
  <c r="F25" i="7"/>
  <c r="E26" i="7"/>
  <c r="E27" i="7"/>
  <c r="E25" i="7"/>
  <c r="S18" i="7"/>
  <c r="R18" i="7"/>
  <c r="R19" i="7" s="1"/>
  <c r="Q18" i="7"/>
  <c r="Q19" i="7" s="1"/>
  <c r="S17" i="7"/>
  <c r="R17" i="7"/>
  <c r="Q17" i="7"/>
  <c r="O18" i="7"/>
  <c r="O19" i="7" s="1"/>
  <c r="N18" i="7"/>
  <c r="N19" i="7" s="1"/>
  <c r="M18" i="7"/>
  <c r="O17" i="7"/>
  <c r="N17" i="7"/>
  <c r="M17" i="7"/>
  <c r="G18" i="7"/>
  <c r="F18" i="7"/>
  <c r="E18" i="7"/>
  <c r="E19" i="7" s="1"/>
  <c r="G17" i="7"/>
  <c r="F17" i="7"/>
  <c r="E17" i="7"/>
  <c r="J17" i="7"/>
  <c r="J18" i="7"/>
  <c r="J19" i="7" s="1"/>
  <c r="F19" i="7" l="1"/>
  <c r="G19" i="7"/>
  <c r="M19" i="7"/>
  <c r="S19" i="7"/>
  <c r="T27" i="7" l="1"/>
  <c r="T26" i="7"/>
  <c r="T25" i="7"/>
  <c r="K18" i="7"/>
  <c r="I18" i="7"/>
  <c r="K17" i="7"/>
  <c r="I17" i="7"/>
  <c r="I19" i="7" l="1"/>
  <c r="K19" i="7"/>
  <c r="I27" i="7"/>
  <c r="J27" i="7" s="1"/>
  <c r="R47" i="6"/>
  <c r="R48" i="6" s="1"/>
  <c r="Q47" i="6"/>
  <c r="Q48" i="6" s="1"/>
  <c r="O47" i="6"/>
  <c r="O48" i="6" s="1"/>
  <c r="N47" i="6"/>
  <c r="N48" i="6" s="1"/>
  <c r="L47" i="6"/>
  <c r="L48" i="6" s="1"/>
  <c r="K47" i="6"/>
  <c r="K48" i="6" s="1"/>
  <c r="I47" i="6"/>
  <c r="I48" i="6" s="1"/>
  <c r="H47" i="6"/>
  <c r="H48" i="6" s="1"/>
  <c r="R46" i="6"/>
  <c r="Q46" i="6"/>
  <c r="Q44" i="6" s="1"/>
  <c r="O46" i="6"/>
  <c r="N46" i="6"/>
  <c r="N44" i="6" s="1"/>
  <c r="N45" i="6" s="1"/>
  <c r="L46" i="6"/>
  <c r="K46" i="6"/>
  <c r="K44" i="6" s="1"/>
  <c r="K45" i="6" s="1"/>
  <c r="I46" i="6"/>
  <c r="H46" i="6"/>
  <c r="H44" i="6" s="1"/>
  <c r="H45" i="6" s="1"/>
  <c r="T28" i="6"/>
  <c r="F28" i="6" s="1"/>
  <c r="T27" i="6"/>
  <c r="F27" i="6" s="1"/>
  <c r="T26" i="6"/>
  <c r="F26" i="6" s="1"/>
  <c r="T25" i="6"/>
  <c r="F25" i="6" s="1"/>
  <c r="R18" i="6"/>
  <c r="Q18" i="6"/>
  <c r="O18" i="6"/>
  <c r="O19" i="6" s="1"/>
  <c r="N18" i="6"/>
  <c r="L18" i="6"/>
  <c r="K18" i="6"/>
  <c r="K19" i="6" s="1"/>
  <c r="I18" i="6"/>
  <c r="H18" i="6"/>
  <c r="H19" i="6" s="1"/>
  <c r="F18" i="6"/>
  <c r="F19" i="6" s="1"/>
  <c r="E18" i="6"/>
  <c r="E19" i="6" s="1"/>
  <c r="R17" i="6"/>
  <c r="R19" i="6" s="1"/>
  <c r="Q17" i="6"/>
  <c r="Q19" i="6" s="1"/>
  <c r="O17" i="6"/>
  <c r="N17" i="6"/>
  <c r="L17" i="6"/>
  <c r="K17" i="6"/>
  <c r="K20" i="6" s="1"/>
  <c r="S26" i="6" s="1"/>
  <c r="E26" i="6" s="1"/>
  <c r="I17" i="6"/>
  <c r="H17" i="6"/>
  <c r="H20" i="6" s="1"/>
  <c r="S25" i="6" s="1"/>
  <c r="E25" i="6" s="1"/>
  <c r="H25" i="6" s="1"/>
  <c r="F17" i="6"/>
  <c r="E17" i="6"/>
  <c r="E20" i="6" s="1"/>
  <c r="I26" i="7" l="1"/>
  <c r="J26" i="7" s="1"/>
  <c r="I25" i="7"/>
  <c r="J25" i="7" s="1"/>
  <c r="I25" i="6"/>
  <c r="Q20" i="6"/>
  <c r="S28" i="6" s="1"/>
  <c r="E28" i="6" s="1"/>
  <c r="I19" i="6"/>
  <c r="N19" i="6"/>
  <c r="L19" i="6"/>
  <c r="N20" i="6"/>
  <c r="S27" i="6" s="1"/>
  <c r="E27" i="6" s="1"/>
  <c r="H27" i="6" s="1"/>
  <c r="I27" i="6" s="1"/>
  <c r="H28" i="6" l="1"/>
  <c r="I28" i="6" s="1"/>
  <c r="F31" i="6"/>
  <c r="B31" i="6" s="1"/>
  <c r="F32" i="6"/>
  <c r="F34" i="6" s="1"/>
  <c r="B32" i="6" s="1"/>
  <c r="H26" i="6"/>
  <c r="I26" i="6" s="1"/>
</calcChain>
</file>

<file path=xl/sharedStrings.xml><?xml version="1.0" encoding="utf-8"?>
<sst xmlns="http://schemas.openxmlformats.org/spreadsheetml/2006/main" count="174" uniqueCount="85">
  <si>
    <t>mS/cm</t>
  </si>
  <si>
    <t>Average</t>
  </si>
  <si>
    <t>Std</t>
  </si>
  <si>
    <t>%CV</t>
  </si>
  <si>
    <t>µS/cm</t>
  </si>
  <si>
    <t>Reference</t>
  </si>
  <si>
    <t>SN:</t>
  </si>
  <si>
    <t>Version:</t>
  </si>
  <si>
    <t>K:</t>
  </si>
  <si>
    <t>B:</t>
  </si>
  <si>
    <t>Measured</t>
  </si>
  <si>
    <t>°C</t>
  </si>
  <si>
    <t>slope</t>
  </si>
  <si>
    <t>intercept</t>
  </si>
  <si>
    <t>X</t>
  </si>
  <si>
    <t>Y</t>
  </si>
  <si>
    <t>Y511 Conductivity Calibrator</t>
  </si>
  <si>
    <t>Anthony Aufdenkampe &lt;aaufdenkampe@limno.com&gt;</t>
  </si>
  <si>
    <t>Instructions</t>
  </si>
  <si>
    <t>Calibration Date:</t>
  </si>
  <si>
    <t>1. GET &amp; paste sensor info from Modbus Runner software.</t>
  </si>
  <si>
    <t>Probe:</t>
  </si>
  <si>
    <t>User Coefficients (previous)</t>
  </si>
  <si>
    <t>(slope)</t>
  </si>
  <si>
    <t>(intercept)</t>
  </si>
  <si>
    <t>Reference Standards</t>
  </si>
  <si>
    <t>Calibration Standards: Known Values</t>
  </si>
  <si>
    <t>Calibration Standards: Measured Values</t>
  </si>
  <si>
    <t>Not used in calibration</t>
  </si>
  <si>
    <t>Paste into pale yellow cells.</t>
  </si>
  <si>
    <t>Measure 3-10 "Times" to get best values.</t>
  </si>
  <si>
    <t>Calibration Curve</t>
  </si>
  <si>
    <t xml:space="preserve">NOTE: </t>
  </si>
  <si>
    <t>Standard practice is for calibration curves to have the known reference values on the X-axis, because they are the "independent" variable.</t>
  </si>
  <si>
    <t>YosemiTech puts the measured values on the X-axis, despite it being the "independent variable". Many other well-known sensor companies also follow this practice, even though it does not technically follow statistical best practice.</t>
  </si>
  <si>
    <t>predicted Y</t>
  </si>
  <si>
    <t>residual Y</t>
  </si>
  <si>
    <t>7. Save this sheet for your records.</t>
  </si>
  <si>
    <t>2. Re-SET "User Coefficients" to defaults.</t>
  </si>
  <si>
    <t>3. Fill in reference standard known values.</t>
  </si>
  <si>
    <t>4."GET Cond" &amp; paste measured values for each standard.</t>
  </si>
  <si>
    <t>6. Re-SET "User Coefficients" to new calibration values.</t>
  </si>
  <si>
    <t>5. Delete calibration X:Y pairs that are not valid.</t>
  </si>
  <si>
    <t xml:space="preserve"> Delete green values in pale yellow cells D25:E28</t>
  </si>
  <si>
    <t>intercept in mS/cm</t>
  </si>
  <si>
    <t>Paste these blue values into Modbus Runner and hit "SET".</t>
  </si>
  <si>
    <t>Rename tab with serial number and date, or keep a workbook for each serial number.</t>
  </si>
  <si>
    <t>v0.2.0: 2020-09-10</t>
  </si>
  <si>
    <t>Type into pale yellow cells G3, J3, M3, P3</t>
  </si>
  <si>
    <t>Y532 pH Calibrator</t>
  </si>
  <si>
    <t>pH</t>
  </si>
  <si>
    <t>mV</t>
  </si>
  <si>
    <t>@ 25°C</t>
  </si>
  <si>
    <t>YL4318052603</t>
  </si>
  <si>
    <t>hw 1.2,sw 2.0</t>
  </si>
  <si>
    <t>K1:</t>
  </si>
  <si>
    <t>pH+NH4_N:</t>
  </si>
  <si>
    <t>K2:</t>
  </si>
  <si>
    <t>K3:</t>
  </si>
  <si>
    <t>K4:</t>
  </si>
  <si>
    <t>K5:</t>
  </si>
  <si>
    <t>K6:</t>
  </si>
  <si>
    <t>pH coefficients (previous)</t>
  </si>
  <si>
    <t>tap water</t>
  </si>
  <si>
    <t>Type into pale yellow cells H3, L3, P3</t>
  </si>
  <si>
    <t>4."GET pH" &amp; paste measured values for each standard.</t>
  </si>
  <si>
    <t xml:space="preserve"> Delete green values in pale yellow cells D25:E27</t>
  </si>
  <si>
    <t>E(T), mV</t>
  </si>
  <si>
    <t xml:space="preserve"> Nernst equation :E=E0+S*(7-pH)</t>
    <phoneticPr fontId="1" type="noConversion"/>
  </si>
  <si>
    <t xml:space="preserve"> S = 54.2+0.1984*t(℃) +S0</t>
    <phoneticPr fontId="1" type="noConversion"/>
  </si>
  <si>
    <t>Where S0 = 0,E0=0 by default.</t>
    <phoneticPr fontId="1" type="noConversion"/>
  </si>
  <si>
    <t>K1=K4 = E (a sensor reading of  mV at  ph = 6.86)</t>
    <phoneticPr fontId="1" type="noConversion"/>
  </si>
  <si>
    <t xml:space="preserve">K2 is actual E0 in acidic solution ph =4 </t>
    <phoneticPr fontId="1" type="noConversion"/>
  </si>
  <si>
    <t xml:space="preserve">K5 is actual E0 in  alkaline solution ph =9.18 </t>
    <phoneticPr fontId="1" type="noConversion"/>
  </si>
  <si>
    <t>K3 is actual S0 in acidic solution ph =4</t>
    <phoneticPr fontId="1" type="noConversion"/>
  </si>
  <si>
    <t>K6 is actual S0 in  alkaline solution ph =9.18</t>
    <phoneticPr fontId="1" type="noConversion"/>
  </si>
  <si>
    <t>If E1 is read at pH=4.00,E2 is read at pH = 6.86,  E0 = (E2*(4.00-7)-E1*(6.86-7))/(4.00-6.86)</t>
    <phoneticPr fontId="1" type="noConversion"/>
  </si>
  <si>
    <t>Explanation of pH calibration equations</t>
  </si>
  <si>
    <t>isopotential pH</t>
  </si>
  <si>
    <r>
      <t>pH</t>
    </r>
    <r>
      <rPr>
        <vertAlign val="subscript"/>
        <sz val="11"/>
        <color theme="1"/>
        <rFont val="Arial"/>
        <family val="2"/>
      </rPr>
      <t>iso</t>
    </r>
  </si>
  <si>
    <t>Slope</t>
  </si>
  <si>
    <t>theoretical slope = -0.1984*T</t>
  </si>
  <si>
    <r>
      <t>mV@pH</t>
    </r>
    <r>
      <rPr>
        <vertAlign val="subscript"/>
        <sz val="11"/>
        <color theme="1"/>
        <rFont val="Arial"/>
        <family val="2"/>
      </rPr>
      <t>iso</t>
    </r>
  </si>
  <si>
    <t>temp</t>
  </si>
  <si>
    <t>temp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</si>
</sst>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yyyy\-mm\-dd"/>
    <numFmt numFmtId="169" formatCode="0.000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00B050"/>
      <name val="Arial"/>
      <family val="2"/>
    </font>
    <font>
      <b/>
      <sz val="11"/>
      <color rgb="FF0070C0"/>
      <name val="Arial"/>
      <family val="2"/>
    </font>
    <font>
      <sz val="11"/>
      <color theme="1"/>
      <name val="等线"/>
      <family val="3"/>
      <charset val="134"/>
    </font>
    <font>
      <vertAlign val="subscript"/>
      <sz val="11"/>
      <color theme="1"/>
      <name val="Arial"/>
      <family val="2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wrapText="1" indent="1"/>
    </xf>
    <xf numFmtId="0" fontId="4" fillId="2" borderId="0" xfId="0" applyFont="1" applyFill="1"/>
    <xf numFmtId="2" fontId="6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10" fontId="6" fillId="0" borderId="0" xfId="1" applyNumberFormat="1" applyFont="1"/>
    <xf numFmtId="0" fontId="4" fillId="0" borderId="0" xfId="0" applyFont="1" applyAlignment="1">
      <alignment horizontal="right"/>
    </xf>
    <xf numFmtId="167" fontId="4" fillId="2" borderId="0" xfId="0" applyNumberFormat="1" applyFont="1" applyFill="1" applyAlignment="1">
      <alignment horizontal="left"/>
    </xf>
    <xf numFmtId="164" fontId="4" fillId="2" borderId="0" xfId="0" applyNumberFormat="1" applyFont="1" applyFill="1"/>
    <xf numFmtId="164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0" fontId="4" fillId="0" borderId="0" xfId="0" applyFont="1" applyAlignment="1">
      <alignment horizontal="left"/>
    </xf>
    <xf numFmtId="166" fontId="4" fillId="0" borderId="0" xfId="0" applyNumberFormat="1" applyFont="1"/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4" fillId="0" borderId="1" xfId="0" applyFont="1" applyBorder="1"/>
    <xf numFmtId="0" fontId="5" fillId="0" borderId="1" xfId="0" applyFont="1" applyBorder="1"/>
    <xf numFmtId="0" fontId="4" fillId="0" borderId="0" xfId="0" applyFont="1" applyAlignment="1">
      <alignment horizontal="center"/>
    </xf>
    <xf numFmtId="2" fontId="7" fillId="2" borderId="0" xfId="0" applyNumberFormat="1" applyFont="1" applyFill="1"/>
    <xf numFmtId="0" fontId="6" fillId="0" borderId="0" xfId="0" applyFont="1"/>
    <xf numFmtId="164" fontId="8" fillId="0" borderId="2" xfId="0" applyNumberFormat="1" applyFont="1" applyBorder="1"/>
    <xf numFmtId="0" fontId="3" fillId="0" borderId="1" xfId="0" applyFont="1" applyBorder="1"/>
    <xf numFmtId="0" fontId="4" fillId="0" borderId="0" xfId="0" quotePrefix="1" applyFont="1"/>
    <xf numFmtId="2" fontId="4" fillId="2" borderId="0" xfId="0" applyNumberFormat="1" applyFont="1" applyFill="1"/>
    <xf numFmtId="169" fontId="6" fillId="0" borderId="0" xfId="0" applyNumberFormat="1" applyFont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2" fontId="4" fillId="0" borderId="0" xfId="0" applyNumberFormat="1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2" fontId="4" fillId="0" borderId="0" xfId="0" quotePrefix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1259434539595"/>
          <c:y val="0.104761843865186"/>
          <c:w val="0.8273928032312023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987889973187229"/>
                  <c:y val="0.33655268324546844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'YL09-example'!$E$25:$E$27</c:f>
              <c:numCache>
                <c:formatCode>0.00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9.18</c:v>
                </c:pt>
              </c:numCache>
            </c:numRef>
          </c:xVal>
          <c:yVal>
            <c:numRef>
              <c:f>'YL09-example'!$F$25:$F$27</c:f>
              <c:numCache>
                <c:formatCode>0.00</c:formatCode>
                <c:ptCount val="3"/>
                <c:pt idx="0">
                  <c:v>281.00384000000003</c:v>
                </c:pt>
                <c:pt idx="1">
                  <c:v>119.21576000000002</c:v>
                </c:pt>
                <c:pt idx="2">
                  <c:v>-11.621423000000002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2-A343-99EA-0FD389BF6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ax val="11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  <c:majorUnit val="1"/>
      </c:valAx>
      <c:valAx>
        <c:axId val="-213356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At val="7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6634262555676"/>
          <c:y val="0.169492226778613"/>
          <c:w val="0.83523410807949572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'YL09-example'!$E$25:$E$27</c:f>
              <c:numCache>
                <c:formatCode>0.00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9.18</c:v>
                </c:pt>
              </c:numCache>
            </c:numRef>
          </c:xVal>
          <c:yVal>
            <c:numRef>
              <c:f>'YL09-example'!$J$25:$J$27</c:f>
              <c:numCache>
                <c:formatCode>0.00</c:formatCode>
                <c:ptCount val="3"/>
                <c:pt idx="0">
                  <c:v>6.6278621551589367E-2</c:v>
                </c:pt>
                <c:pt idx="1">
                  <c:v>-0.1479841636364938</c:v>
                </c:pt>
                <c:pt idx="2">
                  <c:v>8.1705542085094507E-2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C-5C49-8220-821BDD98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ax val="11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  <c:majorUnit val="1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At val="7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1259434539595"/>
          <c:y val="0.104761843865186"/>
          <c:w val="0.8273928032312023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6287177185753335"/>
                  <c:y val="6.4440874262914449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'YL09-blank'!$E$25:$E$29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'YL09-blank'!$F$25:$F$29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C-9F48-8884-38C25ACB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6634262555676"/>
          <c:y val="0.169492226778613"/>
          <c:w val="0.83523410807949572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'YL09-blank'!$E$25:$E$29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'YL09-blank'!$I$25:$I$31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05-054A-8E2C-709CACC4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105833</xdr:colOff>
      <xdr:row>21</xdr:row>
      <xdr:rowOff>31750</xdr:rowOff>
    </xdr:from>
    <xdr:to>
      <xdr:col>18</xdr:col>
      <xdr:colOff>118533</xdr:colOff>
      <xdr:row>35</xdr:row>
      <xdr:rowOff>48684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ECE16-8B53-514E-A90A-563018CAE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105834</xdr:colOff>
      <xdr:row>35</xdr:row>
      <xdr:rowOff>105834</xdr:rowOff>
    </xdr:from>
    <xdr:to>
      <xdr:col>18</xdr:col>
      <xdr:colOff>120650</xdr:colOff>
      <xdr:row>42</xdr:row>
      <xdr:rowOff>175684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825C7-2C7F-3A4A-9D42-3F5CB771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317500</xdr:colOff>
      <xdr:row>0</xdr:row>
      <xdr:rowOff>148166</xdr:rowOff>
    </xdr:from>
    <xdr:to>
      <xdr:col>31</xdr:col>
      <xdr:colOff>83383</xdr:colOff>
      <xdr:row>28</xdr:row>
      <xdr:rowOff>105833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E25342-24DB-2F42-A4EB-F95A6C990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30750" y="148166"/>
          <a:ext cx="7195383" cy="5386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105833</xdr:colOff>
      <xdr:row>21</xdr:row>
      <xdr:rowOff>31750</xdr:rowOff>
    </xdr:from>
    <xdr:to>
      <xdr:col>17</xdr:col>
      <xdr:colOff>118533</xdr:colOff>
      <xdr:row>35</xdr:row>
      <xdr:rowOff>48684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91F21-CF98-3241-9C43-ED5FE6A01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105834</xdr:colOff>
      <xdr:row>35</xdr:row>
      <xdr:rowOff>105834</xdr:rowOff>
    </xdr:from>
    <xdr:to>
      <xdr:col>17</xdr:col>
      <xdr:colOff>120650</xdr:colOff>
      <xdr:row>42</xdr:row>
      <xdr:rowOff>175684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DE84E-5FE6-C247-A95C-EBD30B8CF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C2D1-1195-E443-A486-6715ED3C5E41}">
  <dimension ref="A1:Z40"/>
  <sheetViews>
    <sheetView tabSelected="1" zoomScale="120" zoomScaleNormal="120" workbookViewId="0">
      <selection activeCell="I38" sqref="I38"/>
    </sheetView>
  </sheetViews>
  <sheetFormatPr baseColWidth="10" defaultRowHeight="14"/>
  <cols>
    <col min="1" max="1" width="30.83203125" style="3" customWidth="1"/>
    <col min="2" max="2" width="11.83203125" style="3" customWidth="1"/>
    <col min="3" max="4" width="10.83203125" style="3" customWidth="1"/>
    <col min="5" max="7" width="8.83203125" style="3" customWidth="1"/>
    <col min="8" max="8" width="3.33203125" style="3" customWidth="1"/>
    <col min="9" max="19" width="8.83203125" style="3" customWidth="1"/>
    <col min="20" max="16384" width="10.83203125" style="3"/>
  </cols>
  <sheetData>
    <row r="1" spans="1:22" ht="18">
      <c r="A1" s="2" t="s">
        <v>49</v>
      </c>
    </row>
    <row r="2" spans="1:22">
      <c r="A2" s="5" t="s">
        <v>47</v>
      </c>
      <c r="I2" s="23" t="s">
        <v>26</v>
      </c>
      <c r="J2" s="23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2" s="4" customFormat="1" ht="30">
      <c r="A3" s="6" t="s">
        <v>17</v>
      </c>
      <c r="C3" s="21"/>
      <c r="D3" s="21" t="s">
        <v>25</v>
      </c>
      <c r="E3" s="20" t="s">
        <v>63</v>
      </c>
      <c r="F3" s="3" t="s">
        <v>50</v>
      </c>
      <c r="G3" s="29" t="s">
        <v>52</v>
      </c>
      <c r="H3" s="3"/>
      <c r="I3" s="30">
        <v>4</v>
      </c>
      <c r="J3" s="3" t="s">
        <v>50</v>
      </c>
      <c r="K3" s="29" t="s">
        <v>52</v>
      </c>
      <c r="L3" s="3"/>
      <c r="M3" s="7">
        <v>6.86</v>
      </c>
      <c r="N3" s="3" t="s">
        <v>50</v>
      </c>
      <c r="O3" s="29" t="s">
        <v>52</v>
      </c>
      <c r="P3" s="3"/>
      <c r="Q3" s="7">
        <v>9.18</v>
      </c>
      <c r="R3" s="3" t="s">
        <v>50</v>
      </c>
      <c r="S3" s="29" t="s">
        <v>52</v>
      </c>
      <c r="T3" s="3"/>
      <c r="U3" s="3"/>
      <c r="V3" s="3"/>
    </row>
    <row r="4" spans="1:22">
      <c r="E4" s="3" t="s">
        <v>28</v>
      </c>
      <c r="I4" s="23" t="s">
        <v>27</v>
      </c>
      <c r="J4" s="23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2" ht="18">
      <c r="A5" s="28" t="s">
        <v>18</v>
      </c>
      <c r="B5" s="22"/>
      <c r="C5" s="22"/>
      <c r="E5" s="24" t="s">
        <v>50</v>
      </c>
      <c r="F5" s="24" t="s">
        <v>51</v>
      </c>
      <c r="G5" s="24" t="s">
        <v>11</v>
      </c>
      <c r="I5" s="24" t="s">
        <v>50</v>
      </c>
      <c r="J5" s="24" t="s">
        <v>51</v>
      </c>
      <c r="K5" s="24" t="s">
        <v>11</v>
      </c>
      <c r="L5" s="24"/>
      <c r="M5" s="24" t="s">
        <v>50</v>
      </c>
      <c r="N5" s="24" t="s">
        <v>51</v>
      </c>
      <c r="O5" s="24" t="s">
        <v>11</v>
      </c>
      <c r="P5" s="24"/>
      <c r="Q5" s="24" t="s">
        <v>50</v>
      </c>
      <c r="R5" s="24" t="s">
        <v>51</v>
      </c>
      <c r="S5" s="24" t="s">
        <v>11</v>
      </c>
      <c r="T5" s="24"/>
    </row>
    <row r="6" spans="1:22">
      <c r="A6" s="12" t="s">
        <v>19</v>
      </c>
      <c r="B6" s="13">
        <v>44084</v>
      </c>
      <c r="E6" s="7"/>
      <c r="F6" s="7"/>
      <c r="G6" s="7"/>
      <c r="I6" s="7">
        <v>3.851003</v>
      </c>
      <c r="J6" s="7">
        <v>280.79629999999997</v>
      </c>
      <c r="K6" s="7">
        <v>20.5838</v>
      </c>
      <c r="M6" s="7">
        <v>6.5008410000000003</v>
      </c>
      <c r="N6" s="7">
        <v>124.10039999999999</v>
      </c>
      <c r="O6" s="7">
        <v>20.696100000000001</v>
      </c>
      <c r="Q6" s="7">
        <v>8.8164800000000003</v>
      </c>
      <c r="R6" s="7">
        <v>-11.546860000000001</v>
      </c>
      <c r="S6" s="7">
        <v>20.923179999999999</v>
      </c>
    </row>
    <row r="7" spans="1:22">
      <c r="E7" s="7"/>
      <c r="F7" s="7"/>
      <c r="G7" s="7"/>
      <c r="I7" s="7">
        <v>3.8502209999999999</v>
      </c>
      <c r="J7" s="7">
        <v>280.8424</v>
      </c>
      <c r="K7" s="7">
        <v>20.583490000000001</v>
      </c>
      <c r="M7" s="7">
        <v>6.5420350000000003</v>
      </c>
      <c r="N7" s="7">
        <v>121.6635</v>
      </c>
      <c r="O7" s="7">
        <v>20.697289999999999</v>
      </c>
      <c r="Q7" s="7">
        <v>8.8162120000000002</v>
      </c>
      <c r="R7" s="7">
        <v>-11.53149</v>
      </c>
      <c r="S7" s="7">
        <v>20.924099999999999</v>
      </c>
    </row>
    <row r="8" spans="1:22" ht="16">
      <c r="A8" s="1" t="s">
        <v>20</v>
      </c>
      <c r="E8" s="7"/>
      <c r="F8" s="7"/>
      <c r="G8" s="7"/>
      <c r="I8" s="7">
        <v>3.85114</v>
      </c>
      <c r="J8" s="7">
        <v>280.78859999999997</v>
      </c>
      <c r="K8" s="7">
        <v>20.584379999999999</v>
      </c>
      <c r="M8" s="7">
        <v>6.5651659999999996</v>
      </c>
      <c r="N8" s="7">
        <v>120.29510000000001</v>
      </c>
      <c r="O8" s="7">
        <v>20.697870000000002</v>
      </c>
      <c r="Q8" s="7">
        <v>8.8142429999999994</v>
      </c>
      <c r="R8" s="7">
        <v>-11.416169999999999</v>
      </c>
      <c r="S8" s="7">
        <v>20.923490000000001</v>
      </c>
    </row>
    <row r="9" spans="1:22">
      <c r="A9" s="12" t="s">
        <v>6</v>
      </c>
      <c r="B9" s="7" t="s">
        <v>53</v>
      </c>
      <c r="E9" s="7"/>
      <c r="F9" s="7"/>
      <c r="G9" s="7"/>
      <c r="I9" s="7">
        <v>3.8506300000000002</v>
      </c>
      <c r="J9" s="7">
        <v>280.81939999999997</v>
      </c>
      <c r="K9" s="7">
        <v>20.585290000000001</v>
      </c>
      <c r="M9" s="7">
        <v>6.580762</v>
      </c>
      <c r="N9" s="7">
        <v>119.37260000000001</v>
      </c>
      <c r="O9" s="7">
        <v>20.700009999999999</v>
      </c>
      <c r="Q9" s="7">
        <v>8.8156890000000008</v>
      </c>
      <c r="R9" s="7">
        <v>-11.500730000000001</v>
      </c>
      <c r="S9" s="7">
        <v>20.923490000000001</v>
      </c>
    </row>
    <row r="10" spans="1:22">
      <c r="A10" s="12" t="s">
        <v>7</v>
      </c>
      <c r="B10" s="7" t="s">
        <v>54</v>
      </c>
      <c r="E10" s="7"/>
      <c r="F10" s="7"/>
      <c r="G10" s="7"/>
      <c r="I10" s="7">
        <v>3.8502429999999999</v>
      </c>
      <c r="J10" s="7">
        <v>280.8424</v>
      </c>
      <c r="K10" s="7">
        <v>20.585599999999999</v>
      </c>
      <c r="M10" s="7">
        <v>6.5905079999999998</v>
      </c>
      <c r="N10" s="7">
        <v>118.79600000000001</v>
      </c>
      <c r="O10" s="7">
        <v>20.700279999999999</v>
      </c>
      <c r="Q10" s="7">
        <v>8.8163420000000006</v>
      </c>
      <c r="R10" s="7">
        <v>-11.539160000000001</v>
      </c>
      <c r="S10" s="7">
        <v>20.924099999999999</v>
      </c>
    </row>
    <row r="11" spans="1:22">
      <c r="A11" s="12" t="s">
        <v>56</v>
      </c>
      <c r="B11" s="3" t="s">
        <v>62</v>
      </c>
      <c r="E11" s="7"/>
      <c r="F11" s="7"/>
      <c r="G11" s="7"/>
      <c r="I11" s="7">
        <v>3.848306</v>
      </c>
      <c r="J11" s="7">
        <v>280.95769999999999</v>
      </c>
      <c r="K11" s="7">
        <v>20.586790000000001</v>
      </c>
      <c r="M11" s="7">
        <v>6.599736</v>
      </c>
      <c r="N11" s="7">
        <v>118.25020000000001</v>
      </c>
      <c r="O11" s="7">
        <v>20.701809999999998</v>
      </c>
      <c r="Q11" s="7">
        <v>8.8181890000000003</v>
      </c>
      <c r="R11" s="7">
        <v>-11.646789999999999</v>
      </c>
      <c r="S11" s="7">
        <v>20.923179999999999</v>
      </c>
    </row>
    <row r="12" spans="1:22">
      <c r="A12" s="12" t="s">
        <v>55</v>
      </c>
      <c r="B12" s="14">
        <v>102.97190000000001</v>
      </c>
      <c r="E12" s="7"/>
      <c r="F12" s="7"/>
      <c r="G12" s="7"/>
      <c r="I12" s="7">
        <v>3.8420730000000001</v>
      </c>
      <c r="J12" s="7">
        <v>281.32670000000002</v>
      </c>
      <c r="K12" s="7">
        <v>20.587399999999999</v>
      </c>
      <c r="M12" s="7">
        <v>6.6064930000000004</v>
      </c>
      <c r="N12" s="7">
        <v>117.85039999999999</v>
      </c>
      <c r="O12" s="7">
        <v>20.702110000000001</v>
      </c>
      <c r="Q12" s="7">
        <v>8.8188399999999998</v>
      </c>
      <c r="R12" s="7">
        <v>-11.685219999999999</v>
      </c>
      <c r="S12" s="7">
        <v>20.924099999999999</v>
      </c>
    </row>
    <row r="13" spans="1:22">
      <c r="A13" s="12" t="s">
        <v>57</v>
      </c>
      <c r="B13" s="14">
        <v>94.569879999999998</v>
      </c>
      <c r="E13" s="7"/>
      <c r="F13" s="7"/>
      <c r="G13" s="7"/>
      <c r="I13" s="7">
        <v>3.84389</v>
      </c>
      <c r="J13" s="7">
        <v>281.21910000000003</v>
      </c>
      <c r="K13" s="7">
        <v>20.58709</v>
      </c>
      <c r="M13" s="7">
        <v>6.6116910000000004</v>
      </c>
      <c r="N13" s="7">
        <v>117.54300000000001</v>
      </c>
      <c r="O13" s="7">
        <v>20.70269</v>
      </c>
      <c r="Q13" s="7">
        <v>8.8198939999999997</v>
      </c>
      <c r="R13" s="7">
        <v>-11.746729999999999</v>
      </c>
      <c r="S13" s="7">
        <v>20.92379</v>
      </c>
    </row>
    <row r="14" spans="1:22">
      <c r="A14" s="12" t="s">
        <v>58</v>
      </c>
      <c r="B14" s="14">
        <v>0.854518</v>
      </c>
      <c r="E14" s="7"/>
      <c r="F14" s="7"/>
      <c r="G14" s="7"/>
      <c r="I14" s="7">
        <v>3.8451870000000001</v>
      </c>
      <c r="J14" s="7">
        <v>281.1422</v>
      </c>
      <c r="K14" s="7">
        <v>20.586790000000001</v>
      </c>
      <c r="M14" s="7">
        <v>6.6170200000000001</v>
      </c>
      <c r="N14" s="7">
        <v>117.2278</v>
      </c>
      <c r="O14" s="7">
        <v>20.703579999999999</v>
      </c>
      <c r="Q14" s="7">
        <v>8.8209420000000005</v>
      </c>
      <c r="R14" s="7">
        <v>-11.80822</v>
      </c>
      <c r="S14" s="7">
        <v>20.92437</v>
      </c>
    </row>
    <row r="15" spans="1:22">
      <c r="A15" s="12" t="s">
        <v>59</v>
      </c>
      <c r="B15" s="14">
        <v>102.97190000000001</v>
      </c>
      <c r="E15" s="7"/>
      <c r="F15" s="7"/>
      <c r="G15" s="7"/>
      <c r="I15" s="7">
        <v>3.84246</v>
      </c>
      <c r="J15" s="7">
        <v>281.30360000000002</v>
      </c>
      <c r="K15" s="7">
        <v>20.58709</v>
      </c>
      <c r="M15" s="7">
        <v>6.6198810000000003</v>
      </c>
      <c r="N15" s="7">
        <v>117.0586</v>
      </c>
      <c r="O15" s="7">
        <v>20.704799999999999</v>
      </c>
      <c r="Q15" s="7">
        <v>8.8206799999999994</v>
      </c>
      <c r="R15" s="7">
        <v>-11.792859999999999</v>
      </c>
      <c r="S15" s="7">
        <v>20.92437</v>
      </c>
    </row>
    <row r="16" spans="1:22">
      <c r="A16" s="12" t="s">
        <v>60</v>
      </c>
      <c r="B16" s="14">
        <v>94.672150000000002</v>
      </c>
      <c r="E16" s="15"/>
      <c r="F16" s="15"/>
      <c r="G16" s="16"/>
    </row>
    <row r="17" spans="1:26">
      <c r="A17" s="12" t="s">
        <v>61</v>
      </c>
      <c r="B17" s="14">
        <v>0.12403</v>
      </c>
      <c r="C17" s="12"/>
      <c r="D17" s="12" t="s">
        <v>1</v>
      </c>
      <c r="E17" s="31" t="e">
        <f>AVERAGE(E6:E15)</f>
        <v>#DIV/0!</v>
      </c>
      <c r="F17" s="31" t="e">
        <f>AVERAGE(F6:F15)</f>
        <v>#DIV/0!</v>
      </c>
      <c r="G17" s="31" t="e">
        <f>AVERAGE(G6:G15)</f>
        <v>#DIV/0!</v>
      </c>
      <c r="I17" s="31">
        <f>AVERAGE(I6:I15)</f>
        <v>3.8475153000000004</v>
      </c>
      <c r="J17" s="31">
        <f>AVERAGE(J6:J15)</f>
        <v>281.00384000000003</v>
      </c>
      <c r="K17" s="31">
        <f>AVERAGE(K6:K15)</f>
        <v>20.585771999999999</v>
      </c>
      <c r="M17" s="31">
        <f>AVERAGE(M6:M15)</f>
        <v>6.583413300000001</v>
      </c>
      <c r="N17" s="31">
        <f>AVERAGE(N6:N15)</f>
        <v>119.21576000000002</v>
      </c>
      <c r="O17" s="31">
        <f>AVERAGE(O6:O15)</f>
        <v>20.700653999999997</v>
      </c>
      <c r="Q17" s="31">
        <f>AVERAGE(Q6:Q15)</f>
        <v>8.8177510999999988</v>
      </c>
      <c r="R17" s="31">
        <f>AVERAGE(R6:R15)</f>
        <v>-11.621423000000002</v>
      </c>
      <c r="S17" s="31">
        <f>AVERAGE(S6:S15)</f>
        <v>20.923817000000003</v>
      </c>
    </row>
    <row r="18" spans="1:26">
      <c r="C18" s="12"/>
      <c r="D18" s="12" t="s">
        <v>2</v>
      </c>
      <c r="E18" s="31" t="e">
        <f>STDEV(E6:E15)</f>
        <v>#DIV/0!</v>
      </c>
      <c r="F18" s="31" t="e">
        <f>STDEV(F6:F15)</f>
        <v>#DIV/0!</v>
      </c>
      <c r="G18" s="31" t="e">
        <f>STDEV(G6:G15)</f>
        <v>#DIV/0!</v>
      </c>
      <c r="I18" s="31">
        <f>STDEV(I6:I15)</f>
        <v>3.7137685576782795E-3</v>
      </c>
      <c r="J18" s="31">
        <f>STDEV(J6:J15)</f>
        <v>0.2204159865144055</v>
      </c>
      <c r="K18" s="31">
        <f>STDEV(K6:K15)</f>
        <v>1.4717019625813961E-3</v>
      </c>
      <c r="M18" s="31">
        <f>STDEV(M6:M15)</f>
        <v>3.7974715839914117E-2</v>
      </c>
      <c r="N18" s="31">
        <f>STDEV(N6:N15)</f>
        <v>2.2464014532877519</v>
      </c>
      <c r="O18" s="31">
        <f>STDEV(O6:O15)</f>
        <v>2.8618766181955943E-3</v>
      </c>
      <c r="Q18" s="31">
        <f>STDEV(Q6:Q15)</f>
        <v>2.2915033129657339E-3</v>
      </c>
      <c r="R18" s="31">
        <f>STDEV(R6:R15)</f>
        <v>0.13408518486809443</v>
      </c>
      <c r="S18" s="31">
        <f>STDEV(S6:S15)</f>
        <v>4.5680168320379248E-4</v>
      </c>
    </row>
    <row r="19" spans="1:26" ht="16">
      <c r="A19" s="1" t="s">
        <v>39</v>
      </c>
      <c r="C19" s="12"/>
      <c r="D19" s="12" t="s">
        <v>3</v>
      </c>
      <c r="E19" s="11" t="e">
        <f>E18/E17</f>
        <v>#DIV/0!</v>
      </c>
      <c r="F19" s="11" t="e">
        <f>F18/F17</f>
        <v>#DIV/0!</v>
      </c>
      <c r="G19" s="11" t="e">
        <f>G18/G17</f>
        <v>#DIV/0!</v>
      </c>
      <c r="I19" s="11">
        <f>I18/I17</f>
        <v>9.6523815192581014E-4</v>
      </c>
      <c r="J19" s="11">
        <f>J18/J17</f>
        <v>7.8438780948475819E-4</v>
      </c>
      <c r="K19" s="11">
        <f>K18/K17</f>
        <v>7.1491220372080105E-5</v>
      </c>
      <c r="M19" s="11">
        <f>M18/M17</f>
        <v>5.7682412009457326E-3</v>
      </c>
      <c r="N19" s="11">
        <f>N18/N17</f>
        <v>1.8843158432138095E-2</v>
      </c>
      <c r="O19" s="11">
        <f>O18/O17</f>
        <v>1.3825054117592588E-4</v>
      </c>
      <c r="Q19" s="11">
        <f>Q18/Q17</f>
        <v>2.5987389380561382E-4</v>
      </c>
      <c r="R19" s="11">
        <f>R18/R17</f>
        <v>-1.153775960724383E-2</v>
      </c>
      <c r="S19" s="11">
        <f>S18/S17</f>
        <v>2.1831661173665993E-5</v>
      </c>
    </row>
    <row r="20" spans="1:26">
      <c r="A20" s="5" t="s">
        <v>64</v>
      </c>
      <c r="C20" s="12"/>
      <c r="D20" s="12"/>
      <c r="E20" s="8"/>
      <c r="F20" s="8"/>
      <c r="I20" s="8"/>
      <c r="J20" s="8"/>
      <c r="M20" s="8"/>
      <c r="N20" s="8"/>
      <c r="Q20" s="8"/>
      <c r="R20" s="8"/>
    </row>
    <row r="22" spans="1:26" ht="16">
      <c r="A22" s="1" t="s">
        <v>65</v>
      </c>
      <c r="E22" s="23" t="s">
        <v>31</v>
      </c>
      <c r="F22" s="23"/>
      <c r="G22" s="22"/>
      <c r="H22" s="22"/>
      <c r="I22" s="22"/>
      <c r="J22" s="22"/>
    </row>
    <row r="23" spans="1:26">
      <c r="A23" s="5" t="s">
        <v>30</v>
      </c>
      <c r="E23" s="17" t="s">
        <v>14</v>
      </c>
      <c r="F23" s="3" t="s">
        <v>15</v>
      </c>
      <c r="T23" s="17" t="s">
        <v>14</v>
      </c>
      <c r="U23" s="3" t="s">
        <v>15</v>
      </c>
    </row>
    <row r="24" spans="1:26">
      <c r="A24" s="5" t="s">
        <v>29</v>
      </c>
      <c r="E24" s="3" t="s">
        <v>50</v>
      </c>
      <c r="F24" s="3" t="s">
        <v>67</v>
      </c>
      <c r="I24" s="3" t="s">
        <v>35</v>
      </c>
      <c r="J24" s="3" t="s">
        <v>36</v>
      </c>
      <c r="T24" s="3" t="s">
        <v>50</v>
      </c>
      <c r="U24" s="3" t="s">
        <v>67</v>
      </c>
      <c r="V24" s="3" t="s">
        <v>83</v>
      </c>
    </row>
    <row r="25" spans="1:26">
      <c r="E25" s="25">
        <f>T25</f>
        <v>4</v>
      </c>
      <c r="F25" s="25">
        <f>U25</f>
        <v>281.00384000000003</v>
      </c>
      <c r="G25" s="25">
        <f>V25</f>
        <v>20.585771999999999</v>
      </c>
      <c r="I25" s="8">
        <f>IF(ISNUMBER(E25), FORECAST(E25,$F$25:$F$28,$E$25:$E$28), "")</f>
        <v>280.93756137844844</v>
      </c>
      <c r="J25" s="8">
        <f>IF(ISNUMBER(F25), F25-I25, "")</f>
        <v>6.6278621551589367E-2</v>
      </c>
      <c r="T25" s="8">
        <f>I3</f>
        <v>4</v>
      </c>
      <c r="U25" s="8">
        <f>J17</f>
        <v>281.00384000000003</v>
      </c>
      <c r="V25" s="8">
        <f>K17</f>
        <v>20.585771999999999</v>
      </c>
    </row>
    <row r="26" spans="1:26" ht="16">
      <c r="A26" s="1" t="s">
        <v>42</v>
      </c>
      <c r="E26" s="25">
        <f t="shared" ref="E26:E27" si="0">T26</f>
        <v>6.86</v>
      </c>
      <c r="F26" s="25">
        <f t="shared" ref="F26:G27" si="1">U26</f>
        <v>119.21576000000002</v>
      </c>
      <c r="G26" s="25">
        <f t="shared" si="1"/>
        <v>20.700653999999997</v>
      </c>
      <c r="I26" s="8">
        <f>IF(ISNUMBER(E26), FORECAST(E26,$F$25:$F$28,$E$25:$E$28), "")</f>
        <v>119.36374416363651</v>
      </c>
      <c r="J26" s="8">
        <f>IF(ISNUMBER(F26), F26-I26, "")</f>
        <v>-0.1479841636364938</v>
      </c>
      <c r="T26" s="8">
        <f>M3</f>
        <v>6.86</v>
      </c>
      <c r="U26" s="8">
        <f>N17</f>
        <v>119.21576000000002</v>
      </c>
      <c r="V26" s="8">
        <f>O17</f>
        <v>20.700653999999997</v>
      </c>
    </row>
    <row r="27" spans="1:26">
      <c r="A27" s="5" t="s">
        <v>66</v>
      </c>
      <c r="E27" s="25">
        <f t="shared" si="0"/>
        <v>9.18</v>
      </c>
      <c r="F27" s="25">
        <f t="shared" si="1"/>
        <v>-11.621423000000002</v>
      </c>
      <c r="G27" s="25">
        <f t="shared" si="1"/>
        <v>20.923817000000003</v>
      </c>
      <c r="I27" s="8">
        <f>IF(ISNUMBER(E27), FORECAST(E27,$F$25:$F$28,$E$25:$E$28), "")</f>
        <v>-11.703128542085096</v>
      </c>
      <c r="J27" s="8">
        <f>IF(ISNUMBER(F27), F27-I27, "")</f>
        <v>8.1705542085094507E-2</v>
      </c>
      <c r="T27" s="8">
        <f>Q3</f>
        <v>9.18</v>
      </c>
      <c r="U27" s="8">
        <f>R17</f>
        <v>-11.621423000000002</v>
      </c>
      <c r="V27" s="8">
        <f>S17</f>
        <v>20.923817000000003</v>
      </c>
    </row>
    <row r="28" spans="1:26">
      <c r="E28" s="17"/>
      <c r="F28" s="17"/>
      <c r="T28" s="8"/>
      <c r="U28" s="8"/>
    </row>
    <row r="29" spans="1:26" ht="16">
      <c r="A29" s="1" t="s">
        <v>41</v>
      </c>
      <c r="E29" s="34" t="s">
        <v>79</v>
      </c>
      <c r="F29" s="17">
        <v>7</v>
      </c>
      <c r="G29" s="17" t="s">
        <v>78</v>
      </c>
    </row>
    <row r="30" spans="1:26">
      <c r="A30" s="5" t="s">
        <v>45</v>
      </c>
      <c r="T30" s="23" t="s">
        <v>77</v>
      </c>
      <c r="U30" s="22"/>
      <c r="V30" s="22"/>
      <c r="W30" s="22"/>
    </row>
    <row r="31" spans="1:26" ht="16">
      <c r="A31" s="12" t="s">
        <v>55</v>
      </c>
      <c r="B31" s="27">
        <f>F26</f>
        <v>119.21576000000002</v>
      </c>
      <c r="F31" s="3" t="s">
        <v>80</v>
      </c>
      <c r="G31" s="37" t="s">
        <v>82</v>
      </c>
      <c r="I31" s="3" t="s">
        <v>84</v>
      </c>
      <c r="T31" s="32" t="s">
        <v>68</v>
      </c>
      <c r="U31" s="33"/>
      <c r="V31" s="33"/>
      <c r="W31" s="32" t="s">
        <v>69</v>
      </c>
      <c r="X31" s="33"/>
      <c r="Y31" s="33"/>
      <c r="Z31" s="32" t="s">
        <v>70</v>
      </c>
    </row>
    <row r="32" spans="1:26" ht="16">
      <c r="A32" s="12" t="s">
        <v>57</v>
      </c>
      <c r="B32" s="27">
        <f>G32</f>
        <v>111.29606377622378</v>
      </c>
      <c r="E32" s="35" t="str">
        <f>_xlfn.CONCAT("measured ",I3, " to ",M3)</f>
        <v>measured 4 to 6.86</v>
      </c>
      <c r="F32" s="36">
        <f xml:space="preserve"> SLOPE(F25:F26,E25:E26)</f>
        <v>-56.569258741258736</v>
      </c>
      <c r="G32" s="26">
        <f xml:space="preserve"> FORECAST($F$29,F25:F26,E25:E26)</f>
        <v>111.29606377622378</v>
      </c>
      <c r="I32" s="26">
        <f xml:space="preserve"> -1 * F32  -54.2 -0.1984*G25</f>
        <v>-1.7149584235412663</v>
      </c>
      <c r="T32" s="32" t="s">
        <v>71</v>
      </c>
      <c r="U32" s="33"/>
      <c r="V32" s="33"/>
      <c r="W32" s="33"/>
      <c r="X32" s="33"/>
      <c r="Y32" s="33"/>
      <c r="Z32" s="33"/>
    </row>
    <row r="33" spans="1:26" ht="16">
      <c r="A33" s="12" t="s">
        <v>58</v>
      </c>
      <c r="B33" s="27">
        <f>I32</f>
        <v>-1.7149584235412663</v>
      </c>
      <c r="E33" s="35" t="str">
        <f>_xlfn.CONCAT("measured ",M3, " to ",Q3)</f>
        <v>measured 6.86 to 9.18</v>
      </c>
      <c r="F33" s="36">
        <f xml:space="preserve"> SLOPE(F26:F27,E26:E27)</f>
        <v>-56.395337500000025</v>
      </c>
      <c r="G33" s="26">
        <f xml:space="preserve"> FORECAST($F$29,F26:F27,E26:E27)</f>
        <v>111.32041275</v>
      </c>
      <c r="I33" s="26">
        <f xml:space="preserve"> -1 * F33  -54.2 -0.1984*G27</f>
        <v>-1.9559477927999787</v>
      </c>
      <c r="T33" s="32" t="s">
        <v>72</v>
      </c>
      <c r="U33" s="33"/>
      <c r="V33" s="33"/>
      <c r="W33" s="33"/>
      <c r="X33" s="33"/>
      <c r="Y33" s="32" t="s">
        <v>73</v>
      </c>
      <c r="Z33" s="33"/>
    </row>
    <row r="34" spans="1:26" ht="16">
      <c r="A34" s="12" t="s">
        <v>59</v>
      </c>
      <c r="B34" s="27">
        <f>F26</f>
        <v>119.21576000000002</v>
      </c>
      <c r="T34" s="32" t="s">
        <v>74</v>
      </c>
      <c r="U34" s="33"/>
      <c r="V34" s="33"/>
      <c r="W34" s="33"/>
      <c r="X34" s="33"/>
      <c r="Y34" s="32" t="s">
        <v>75</v>
      </c>
      <c r="Z34" s="33"/>
    </row>
    <row r="35" spans="1:26" ht="16">
      <c r="A35" s="12" t="s">
        <v>60</v>
      </c>
      <c r="B35" s="27">
        <f>G33</f>
        <v>111.32041275</v>
      </c>
      <c r="E35" s="35" t="s">
        <v>81</v>
      </c>
      <c r="F35" s="36">
        <f>-0.1984*(B25+273.15)</f>
        <v>-54.192959999999992</v>
      </c>
      <c r="T35" s="32" t="s">
        <v>76</v>
      </c>
      <c r="U35" s="33"/>
      <c r="V35" s="33"/>
      <c r="W35" s="33"/>
      <c r="X35" s="33"/>
      <c r="Y35" s="32"/>
      <c r="Z35" s="33"/>
    </row>
    <row r="36" spans="1:26">
      <c r="A36" s="12" t="s">
        <v>61</v>
      </c>
      <c r="B36" s="27">
        <f>I33</f>
        <v>-1.9559477927999787</v>
      </c>
    </row>
    <row r="37" spans="1:26">
      <c r="E37" s="12"/>
      <c r="F37" s="12"/>
    </row>
    <row r="38" spans="1:26">
      <c r="E38" s="12"/>
      <c r="F38" s="12"/>
    </row>
    <row r="39" spans="1:26" ht="16">
      <c r="A39" s="1" t="s">
        <v>37</v>
      </c>
    </row>
    <row r="40" spans="1:26">
      <c r="A40" s="5" t="s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962D-6FE3-4441-B9CE-70AD44481102}">
  <dimension ref="A1:T54"/>
  <sheetViews>
    <sheetView zoomScale="120" zoomScaleNormal="120" workbookViewId="0">
      <selection activeCell="B12" sqref="B12:B13"/>
    </sheetView>
  </sheetViews>
  <sheetFormatPr baseColWidth="10" defaultRowHeight="14"/>
  <cols>
    <col min="1" max="1" width="30.83203125" style="3" customWidth="1"/>
    <col min="2" max="2" width="11.83203125" style="3" customWidth="1"/>
    <col min="3" max="4" width="10.83203125" style="3" customWidth="1"/>
    <col min="5" max="6" width="10.83203125" style="3"/>
    <col min="7" max="7" width="3.33203125" style="3" customWidth="1"/>
    <col min="8" max="9" width="10.83203125" style="3"/>
    <col min="10" max="10" width="3.33203125" style="3" customWidth="1"/>
    <col min="11" max="12" width="10.83203125" style="3"/>
    <col min="13" max="13" width="3.33203125" style="3" customWidth="1"/>
    <col min="14" max="15" width="10.83203125" style="3"/>
    <col min="16" max="16" width="3.33203125" style="3" customWidth="1"/>
    <col min="17" max="16384" width="10.83203125" style="3"/>
  </cols>
  <sheetData>
    <row r="1" spans="1:18" ht="18">
      <c r="A1" s="2" t="s">
        <v>16</v>
      </c>
    </row>
    <row r="2" spans="1:18">
      <c r="A2" s="5" t="s">
        <v>47</v>
      </c>
      <c r="H2" s="23" t="s">
        <v>26</v>
      </c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 s="4" customFormat="1" ht="30">
      <c r="A3" s="6" t="s">
        <v>17</v>
      </c>
      <c r="C3" s="21"/>
      <c r="D3" s="21" t="s">
        <v>25</v>
      </c>
      <c r="E3" s="20"/>
      <c r="F3" s="3" t="s">
        <v>4</v>
      </c>
      <c r="G3" s="3"/>
      <c r="H3" s="7"/>
      <c r="I3" s="3" t="s">
        <v>4</v>
      </c>
      <c r="J3" s="3"/>
      <c r="K3" s="7"/>
      <c r="L3" s="3" t="s">
        <v>4</v>
      </c>
      <c r="M3" s="3"/>
      <c r="N3" s="7"/>
      <c r="O3" s="3" t="s">
        <v>4</v>
      </c>
      <c r="P3" s="3"/>
      <c r="Q3" s="7"/>
      <c r="R3" s="3" t="s">
        <v>4</v>
      </c>
    </row>
    <row r="4" spans="1:18">
      <c r="E4" s="3" t="s">
        <v>28</v>
      </c>
      <c r="H4" s="23" t="s">
        <v>27</v>
      </c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8" ht="18">
      <c r="A5" s="28" t="s">
        <v>18</v>
      </c>
      <c r="B5" s="22"/>
      <c r="C5" s="22"/>
      <c r="E5" s="3" t="s">
        <v>0</v>
      </c>
      <c r="F5" s="3" t="s">
        <v>11</v>
      </c>
      <c r="H5" s="24" t="s">
        <v>0</v>
      </c>
      <c r="I5" s="24" t="s">
        <v>11</v>
      </c>
      <c r="J5" s="24"/>
      <c r="K5" s="24" t="s">
        <v>0</v>
      </c>
      <c r="L5" s="24" t="s">
        <v>11</v>
      </c>
      <c r="M5" s="24"/>
      <c r="N5" s="24" t="s">
        <v>0</v>
      </c>
      <c r="O5" s="24" t="s">
        <v>11</v>
      </c>
      <c r="P5" s="24"/>
      <c r="Q5" s="24" t="s">
        <v>0</v>
      </c>
      <c r="R5" s="24" t="s">
        <v>11</v>
      </c>
    </row>
    <row r="6" spans="1:18">
      <c r="A6" s="12" t="s">
        <v>19</v>
      </c>
      <c r="B6" s="13"/>
      <c r="E6" s="7"/>
      <c r="F6" s="7"/>
      <c r="H6" s="7"/>
      <c r="I6" s="7"/>
      <c r="K6" s="7"/>
      <c r="L6" s="7"/>
      <c r="N6" s="7"/>
      <c r="O6" s="7"/>
      <c r="Q6" s="7"/>
      <c r="R6" s="7"/>
    </row>
    <row r="7" spans="1:18">
      <c r="E7" s="7"/>
      <c r="F7" s="7"/>
      <c r="H7" s="7"/>
      <c r="I7" s="7"/>
      <c r="K7" s="7"/>
      <c r="L7" s="7"/>
      <c r="N7" s="7"/>
      <c r="O7" s="7"/>
      <c r="Q7" s="7"/>
      <c r="R7" s="7"/>
    </row>
    <row r="8" spans="1:18" ht="16">
      <c r="A8" s="1" t="s">
        <v>20</v>
      </c>
      <c r="E8" s="7"/>
      <c r="F8" s="7"/>
      <c r="H8" s="7"/>
      <c r="I8" s="7"/>
      <c r="K8" s="7"/>
      <c r="L8" s="7"/>
      <c r="N8" s="7"/>
      <c r="O8" s="7"/>
      <c r="Q8" s="7"/>
      <c r="R8" s="7"/>
    </row>
    <row r="9" spans="1:18">
      <c r="A9" s="12" t="s">
        <v>6</v>
      </c>
      <c r="B9" s="7"/>
      <c r="E9" s="7"/>
      <c r="F9" s="7"/>
      <c r="H9" s="7"/>
      <c r="I9" s="7"/>
      <c r="K9" s="7"/>
      <c r="L9" s="7"/>
      <c r="N9" s="7"/>
      <c r="O9" s="7"/>
      <c r="Q9" s="7"/>
      <c r="R9" s="7"/>
    </row>
    <row r="10" spans="1:18">
      <c r="A10" s="12" t="s">
        <v>7</v>
      </c>
      <c r="B10" s="7"/>
      <c r="E10" s="7"/>
      <c r="F10" s="7"/>
      <c r="H10" s="7"/>
      <c r="I10" s="7"/>
      <c r="K10" s="7"/>
      <c r="L10" s="7"/>
      <c r="N10" s="7"/>
      <c r="O10" s="7"/>
      <c r="Q10" s="7"/>
      <c r="R10" s="7"/>
    </row>
    <row r="11" spans="1:18">
      <c r="A11" s="12" t="s">
        <v>21</v>
      </c>
      <c r="B11" s="3" t="s">
        <v>22</v>
      </c>
      <c r="E11" s="7"/>
      <c r="F11" s="7"/>
      <c r="H11" s="7"/>
      <c r="I11" s="7"/>
      <c r="K11" s="7"/>
      <c r="L11" s="7"/>
      <c r="N11" s="7"/>
      <c r="O11" s="7"/>
      <c r="Q11" s="7"/>
      <c r="R11" s="7"/>
    </row>
    <row r="12" spans="1:18">
      <c r="A12" s="12" t="s">
        <v>8</v>
      </c>
      <c r="B12" s="14"/>
      <c r="C12" s="3" t="s">
        <v>23</v>
      </c>
      <c r="E12" s="7"/>
      <c r="F12" s="7"/>
      <c r="H12" s="7"/>
      <c r="I12" s="7"/>
      <c r="K12" s="7"/>
      <c r="L12" s="7"/>
      <c r="N12" s="7"/>
      <c r="O12" s="7"/>
      <c r="Q12" s="7"/>
      <c r="R12" s="7"/>
    </row>
    <row r="13" spans="1:18">
      <c r="A13" s="12" t="s">
        <v>9</v>
      </c>
      <c r="B13" s="14"/>
      <c r="C13" s="3" t="s">
        <v>24</v>
      </c>
      <c r="E13" s="7"/>
      <c r="F13" s="7"/>
      <c r="H13" s="7"/>
      <c r="I13" s="7"/>
      <c r="K13" s="7"/>
      <c r="L13" s="7"/>
      <c r="N13" s="7"/>
      <c r="O13" s="7"/>
      <c r="Q13" s="7"/>
      <c r="R13" s="7"/>
    </row>
    <row r="14" spans="1:18">
      <c r="E14" s="7"/>
      <c r="F14" s="7"/>
      <c r="H14" s="7"/>
      <c r="I14" s="7"/>
      <c r="K14" s="7"/>
      <c r="L14" s="7"/>
      <c r="N14" s="7"/>
      <c r="O14" s="7"/>
      <c r="Q14" s="7"/>
      <c r="R14" s="7"/>
    </row>
    <row r="15" spans="1:18" ht="16">
      <c r="A15" s="1" t="s">
        <v>38</v>
      </c>
      <c r="E15" s="7"/>
      <c r="F15" s="7"/>
      <c r="H15" s="7"/>
      <c r="I15" s="7"/>
      <c r="K15" s="7"/>
      <c r="L15" s="7"/>
      <c r="N15" s="7"/>
      <c r="O15" s="7"/>
      <c r="Q15" s="7"/>
      <c r="R15" s="7"/>
    </row>
    <row r="16" spans="1:18">
      <c r="A16" s="12" t="s">
        <v>8</v>
      </c>
      <c r="B16" s="15">
        <v>1</v>
      </c>
      <c r="E16" s="15"/>
      <c r="F16" s="16"/>
    </row>
    <row r="17" spans="1:20">
      <c r="A17" s="12" t="s">
        <v>9</v>
      </c>
      <c r="B17" s="15">
        <v>0</v>
      </c>
      <c r="C17" s="12"/>
      <c r="D17" s="12" t="s">
        <v>1</v>
      </c>
      <c r="E17" s="9" t="e">
        <f>AVERAGE(E6:E15)</f>
        <v>#DIV/0!</v>
      </c>
      <c r="F17" s="10" t="e">
        <f>AVERAGE(F6:F15)</f>
        <v>#DIV/0!</v>
      </c>
      <c r="H17" s="9" t="e">
        <f>AVERAGE(H6:H15)</f>
        <v>#DIV/0!</v>
      </c>
      <c r="I17" s="10" t="e">
        <f>AVERAGE(I6:I15)</f>
        <v>#DIV/0!</v>
      </c>
      <c r="K17" s="9" t="e">
        <f>AVERAGE(K6:K15)</f>
        <v>#DIV/0!</v>
      </c>
      <c r="L17" s="10" t="e">
        <f>AVERAGE(L6:L15)</f>
        <v>#DIV/0!</v>
      </c>
      <c r="N17" s="9" t="e">
        <f>AVERAGE(N6:N15)</f>
        <v>#DIV/0!</v>
      </c>
      <c r="O17" s="10" t="e">
        <f>AVERAGE(O6:O15)</f>
        <v>#DIV/0!</v>
      </c>
      <c r="Q17" s="9" t="e">
        <f>AVERAGE(Q6:Q15)</f>
        <v>#DIV/0!</v>
      </c>
      <c r="R17" s="10" t="e">
        <f>AVERAGE(R6:R15)</f>
        <v>#DIV/0!</v>
      </c>
    </row>
    <row r="18" spans="1:20">
      <c r="C18" s="12"/>
      <c r="D18" s="12" t="s">
        <v>2</v>
      </c>
      <c r="E18" s="9" t="e">
        <f>STDEV(E6:E15)</f>
        <v>#DIV/0!</v>
      </c>
      <c r="F18" s="10" t="e">
        <f>STDEV(F6:F15)</f>
        <v>#DIV/0!</v>
      </c>
      <c r="H18" s="9" t="e">
        <f>STDEV(H6:H15)</f>
        <v>#DIV/0!</v>
      </c>
      <c r="I18" s="10" t="e">
        <f>STDEV(I6:I15)</f>
        <v>#DIV/0!</v>
      </c>
      <c r="K18" s="9" t="e">
        <f>STDEV(K6:K15)</f>
        <v>#DIV/0!</v>
      </c>
      <c r="L18" s="10" t="e">
        <f>STDEV(L6:L15)</f>
        <v>#DIV/0!</v>
      </c>
      <c r="N18" s="9" t="e">
        <f>STDEV(N6:N15)</f>
        <v>#DIV/0!</v>
      </c>
      <c r="O18" s="10" t="e">
        <f>STDEV(O6:O15)</f>
        <v>#DIV/0!</v>
      </c>
      <c r="Q18" s="9" t="e">
        <f>STDEV(Q6:Q15)</f>
        <v>#DIV/0!</v>
      </c>
      <c r="R18" s="10" t="e">
        <f>STDEV(R6:R15)</f>
        <v>#DIV/0!</v>
      </c>
    </row>
    <row r="19" spans="1:20" ht="16">
      <c r="A19" s="1" t="s">
        <v>39</v>
      </c>
      <c r="C19" s="12"/>
      <c r="D19" s="12" t="s">
        <v>3</v>
      </c>
      <c r="E19" s="11" t="e">
        <f>E18/E17</f>
        <v>#DIV/0!</v>
      </c>
      <c r="F19" s="11" t="e">
        <f>F18/F17</f>
        <v>#DIV/0!</v>
      </c>
      <c r="H19" s="11" t="e">
        <f>H18/H17</f>
        <v>#DIV/0!</v>
      </c>
      <c r="I19" s="11" t="e">
        <f>I18/I17</f>
        <v>#DIV/0!</v>
      </c>
      <c r="K19" s="11" t="e">
        <f>K18/K17</f>
        <v>#DIV/0!</v>
      </c>
      <c r="L19" s="11" t="e">
        <f>L18/L17</f>
        <v>#DIV/0!</v>
      </c>
      <c r="N19" s="11" t="e">
        <f>N18/N17</f>
        <v>#DIV/0!</v>
      </c>
      <c r="O19" s="11" t="e">
        <f>O18/O17</f>
        <v>#DIV/0!</v>
      </c>
      <c r="Q19" s="11" t="e">
        <f>Q18/Q17</f>
        <v>#DIV/0!</v>
      </c>
      <c r="R19" s="11" t="e">
        <f>R18/R17</f>
        <v>#DIV/0!</v>
      </c>
    </row>
    <row r="20" spans="1:20">
      <c r="A20" s="5" t="s">
        <v>48</v>
      </c>
      <c r="C20" s="12"/>
      <c r="D20" s="12" t="s">
        <v>10</v>
      </c>
      <c r="E20" s="8" t="e">
        <f>E17*1000</f>
        <v>#DIV/0!</v>
      </c>
      <c r="F20" s="3" t="s">
        <v>4</v>
      </c>
      <c r="H20" s="8" t="e">
        <f>H17*1000</f>
        <v>#DIV/0!</v>
      </c>
      <c r="I20" s="3" t="s">
        <v>4</v>
      </c>
      <c r="K20" s="8" t="e">
        <f>K17*1000</f>
        <v>#DIV/0!</v>
      </c>
      <c r="L20" s="3" t="s">
        <v>4</v>
      </c>
      <c r="N20" s="8" t="e">
        <f>N17*1000</f>
        <v>#DIV/0!</v>
      </c>
      <c r="O20" s="3" t="s">
        <v>4</v>
      </c>
      <c r="Q20" s="8" t="e">
        <f>Q17*1000</f>
        <v>#DIV/0!</v>
      </c>
      <c r="R20" s="3" t="s">
        <v>4</v>
      </c>
    </row>
    <row r="22" spans="1:20" ht="16">
      <c r="A22" s="1" t="s">
        <v>40</v>
      </c>
      <c r="E22" s="23" t="s">
        <v>31</v>
      </c>
      <c r="F22" s="22"/>
      <c r="G22" s="22"/>
      <c r="H22" s="22"/>
      <c r="I22" s="22"/>
    </row>
    <row r="23" spans="1:20">
      <c r="A23" s="5" t="s">
        <v>30</v>
      </c>
      <c r="E23" s="17" t="s">
        <v>14</v>
      </c>
      <c r="F23" s="3" t="s">
        <v>15</v>
      </c>
      <c r="S23" s="17" t="s">
        <v>14</v>
      </c>
      <c r="T23" s="3" t="s">
        <v>15</v>
      </c>
    </row>
    <row r="24" spans="1:20">
      <c r="A24" s="5" t="s">
        <v>29</v>
      </c>
      <c r="E24" s="3" t="s">
        <v>10</v>
      </c>
      <c r="F24" s="3" t="s">
        <v>5</v>
      </c>
      <c r="H24" s="3" t="s">
        <v>35</v>
      </c>
      <c r="I24" s="3" t="s">
        <v>36</v>
      </c>
      <c r="S24" s="3" t="s">
        <v>10</v>
      </c>
      <c r="T24" s="3" t="s">
        <v>5</v>
      </c>
    </row>
    <row r="25" spans="1:20">
      <c r="E25" s="25" t="e">
        <f t="shared" ref="E25" si="0">S25</f>
        <v>#DIV/0!</v>
      </c>
      <c r="F25" s="25">
        <f t="shared" ref="F25" si="1">T25</f>
        <v>0</v>
      </c>
      <c r="H25" s="8" t="str">
        <f>IF(ISNUMBER(E25), FORECAST(E25,$F$25:$F$28,$E$25:$E$28), "")</f>
        <v/>
      </c>
      <c r="I25" s="8" t="e">
        <f>IF(ISNUMBER(F25), F25-H25, "")</f>
        <v>#VALUE!</v>
      </c>
      <c r="S25" s="8" t="e">
        <f>H20</f>
        <v>#DIV/0!</v>
      </c>
      <c r="T25" s="8">
        <f>H3</f>
        <v>0</v>
      </c>
    </row>
    <row r="26" spans="1:20" ht="16">
      <c r="A26" s="1" t="s">
        <v>42</v>
      </c>
      <c r="E26" s="25" t="e">
        <f t="shared" ref="E26:F28" si="2">S26</f>
        <v>#DIV/0!</v>
      </c>
      <c r="F26" s="25">
        <f t="shared" si="2"/>
        <v>0</v>
      </c>
      <c r="H26" s="8" t="str">
        <f t="shared" ref="H26:H28" si="3">IF(ISNUMBER(E26), FORECAST(E26,$F$25:$F$28,$E$25:$E$28), "")</f>
        <v/>
      </c>
      <c r="I26" s="8" t="e">
        <f>IF(ISNUMBER(F26), F26-H26, "")</f>
        <v>#VALUE!</v>
      </c>
      <c r="S26" s="8" t="e">
        <f>K20</f>
        <v>#DIV/0!</v>
      </c>
      <c r="T26" s="8">
        <f>K3</f>
        <v>0</v>
      </c>
    </row>
    <row r="27" spans="1:20">
      <c r="A27" s="5" t="s">
        <v>43</v>
      </c>
      <c r="E27" s="25" t="e">
        <f t="shared" si="2"/>
        <v>#DIV/0!</v>
      </c>
      <c r="F27" s="25">
        <f t="shared" si="2"/>
        <v>0</v>
      </c>
      <c r="H27" s="8" t="str">
        <f t="shared" si="3"/>
        <v/>
      </c>
      <c r="I27" s="8" t="e">
        <f t="shared" ref="I27:I28" si="4">IF(ISNUMBER(F27), F27-H27, "")</f>
        <v>#VALUE!</v>
      </c>
      <c r="S27" s="8" t="e">
        <f>N20</f>
        <v>#DIV/0!</v>
      </c>
      <c r="T27" s="8">
        <f>N3</f>
        <v>0</v>
      </c>
    </row>
    <row r="28" spans="1:20">
      <c r="E28" s="25" t="e">
        <f t="shared" si="2"/>
        <v>#DIV/0!</v>
      </c>
      <c r="F28" s="25">
        <f t="shared" si="2"/>
        <v>0</v>
      </c>
      <c r="H28" s="8" t="str">
        <f t="shared" si="3"/>
        <v/>
      </c>
      <c r="I28" s="8" t="e">
        <f t="shared" si="4"/>
        <v>#VALUE!</v>
      </c>
      <c r="S28" s="8" t="e">
        <f>Q20</f>
        <v>#DIV/0!</v>
      </c>
      <c r="T28" s="8">
        <f>Q3</f>
        <v>0</v>
      </c>
    </row>
    <row r="29" spans="1:20" ht="16">
      <c r="A29" s="1" t="s">
        <v>41</v>
      </c>
      <c r="E29" s="17"/>
      <c r="F29" s="17"/>
    </row>
    <row r="30" spans="1:20">
      <c r="A30" s="5" t="s">
        <v>45</v>
      </c>
      <c r="S30" s="3" t="s">
        <v>32</v>
      </c>
    </row>
    <row r="31" spans="1:20">
      <c r="A31" s="12" t="s">
        <v>8</v>
      </c>
      <c r="B31" s="27" t="e">
        <f>F31</f>
        <v>#DIV/0!</v>
      </c>
      <c r="C31" s="3" t="s">
        <v>12</v>
      </c>
      <c r="E31" s="12" t="s">
        <v>12</v>
      </c>
      <c r="F31" s="9" t="e">
        <f>SLOPE($F$25:$F$28,$E$25:$E$28)</f>
        <v>#DIV/0!</v>
      </c>
      <c r="S31" s="3" t="s">
        <v>33</v>
      </c>
    </row>
    <row r="32" spans="1:20">
      <c r="A32" s="12" t="s">
        <v>9</v>
      </c>
      <c r="B32" s="27" t="e">
        <f>F34</f>
        <v>#DIV/0!</v>
      </c>
      <c r="C32" s="3" t="s">
        <v>44</v>
      </c>
      <c r="E32" s="12" t="s">
        <v>13</v>
      </c>
      <c r="F32" s="9" t="e">
        <f>INTERCEPT($F$25:$F$28,$E$25:$E$28)</f>
        <v>#DIV/0!</v>
      </c>
      <c r="G32" s="3" t="s">
        <v>4</v>
      </c>
      <c r="S32" s="3" t="s">
        <v>34</v>
      </c>
    </row>
    <row r="33" spans="1:18">
      <c r="F33" s="26"/>
    </row>
    <row r="34" spans="1:18">
      <c r="A34" s="18"/>
      <c r="E34" s="12" t="s">
        <v>13</v>
      </c>
      <c r="F34" s="9" t="e">
        <f>F32/1000</f>
        <v>#DIV/0!</v>
      </c>
      <c r="G34" s="3" t="s">
        <v>0</v>
      </c>
    </row>
    <row r="35" spans="1:18" ht="16">
      <c r="A35" s="1" t="s">
        <v>37</v>
      </c>
    </row>
    <row r="36" spans="1:18">
      <c r="A36" s="5" t="s">
        <v>46</v>
      </c>
    </row>
    <row r="37" spans="1:18">
      <c r="E37" s="12"/>
    </row>
    <row r="38" spans="1:18">
      <c r="E38" s="12"/>
    </row>
    <row r="44" spans="1:18">
      <c r="H44" s="8">
        <f>H46*1000</f>
        <v>947.51800000000003</v>
      </c>
      <c r="I44" s="3" t="s">
        <v>4</v>
      </c>
      <c r="K44" s="8">
        <f>K46*1000</f>
        <v>512.36275000000001</v>
      </c>
      <c r="L44" s="3" t="s">
        <v>4</v>
      </c>
      <c r="N44" s="8">
        <f>N46*1000</f>
        <v>218.41399999999999</v>
      </c>
      <c r="O44" s="3" t="s">
        <v>4</v>
      </c>
      <c r="Q44" s="8">
        <f>Q46*1000</f>
        <v>-0.3745</v>
      </c>
      <c r="R44" s="3" t="s">
        <v>4</v>
      </c>
    </row>
    <row r="45" spans="1:18">
      <c r="H45" s="19">
        <f>H42/H44</f>
        <v>0</v>
      </c>
      <c r="K45" s="19">
        <f>K42/K44</f>
        <v>0</v>
      </c>
      <c r="N45" s="19">
        <f>N42/N44</f>
        <v>0</v>
      </c>
    </row>
    <row r="46" spans="1:18">
      <c r="H46" s="9">
        <f>AVERAGE(H51:H60)</f>
        <v>0.94751800000000008</v>
      </c>
      <c r="I46" s="10">
        <f>AVERAGE(I51:I60)</f>
        <v>22.315552500000003</v>
      </c>
      <c r="K46" s="9">
        <f>AVERAGE(K51:K60)</f>
        <v>0.51236274999999998</v>
      </c>
      <c r="L46" s="10">
        <f>AVERAGE(L51:L60)</f>
        <v>22.345009999999998</v>
      </c>
      <c r="N46" s="9">
        <f>AVERAGE(N51:N60)</f>
        <v>0.218414</v>
      </c>
      <c r="O46" s="10">
        <f>AVERAGE(O51:O60)</f>
        <v>22.387239999999998</v>
      </c>
      <c r="Q46" s="9">
        <f>AVERAGE(Q51:Q60)</f>
        <v>-3.745E-4</v>
      </c>
      <c r="R46" s="10">
        <f>AVERAGE(R51:R60)</f>
        <v>22.335697499999998</v>
      </c>
    </row>
    <row r="47" spans="1:18">
      <c r="H47" s="9">
        <f>STDEV(H51:H60)</f>
        <v>3.4982567087048835E-4</v>
      </c>
      <c r="I47" s="10">
        <f>STDEV(I51:I60)</f>
        <v>3.1823759860624558E-2</v>
      </c>
      <c r="K47" s="9">
        <f>STDEV(K51:K60)</f>
        <v>4.0161704396105946E-4</v>
      </c>
      <c r="L47" s="10">
        <f>STDEV(L51:L60)</f>
        <v>2.3824492999153329E-2</v>
      </c>
      <c r="N47" s="9">
        <f>STDEV(N51:N60)</f>
        <v>6.4849106907240769E-4</v>
      </c>
      <c r="O47" s="10">
        <f>STDEV(O51:O60)</f>
        <v>3.0061910562481638E-2</v>
      </c>
      <c r="Q47" s="9">
        <f>STDEV(Q51:Q60)</f>
        <v>8.0289061106313453E-5</v>
      </c>
      <c r="R47" s="10">
        <f>STDEV(R51:R60)</f>
        <v>3.0177420228817243E-2</v>
      </c>
    </row>
    <row r="48" spans="1:18">
      <c r="H48" s="11">
        <f>H47/H46</f>
        <v>3.6920213744803614E-4</v>
      </c>
      <c r="I48" s="11">
        <f>I47/I46</f>
        <v>1.4260798544254978E-3</v>
      </c>
      <c r="K48" s="11">
        <f>K47/K46</f>
        <v>7.8385293224587363E-4</v>
      </c>
      <c r="L48" s="11">
        <f>L47/L46</f>
        <v>1.0662108899997507E-3</v>
      </c>
      <c r="N48" s="11">
        <f>N47/N46</f>
        <v>2.9690911254425436E-3</v>
      </c>
      <c r="O48" s="11">
        <f>O47/O46</f>
        <v>1.3428145033725302E-3</v>
      </c>
      <c r="Q48" s="11">
        <f>Q47/Q46</f>
        <v>-0.21439001630524288</v>
      </c>
      <c r="R48" s="11">
        <f>R47/R46</f>
        <v>1.3510847480280052E-3</v>
      </c>
    </row>
    <row r="49" spans="8:18">
      <c r="H49" s="11"/>
      <c r="I49" s="11"/>
      <c r="K49" s="11"/>
      <c r="L49" s="11"/>
      <c r="N49" s="11"/>
      <c r="O49" s="11"/>
      <c r="Q49" s="11"/>
      <c r="R49" s="11"/>
    </row>
    <row r="51" spans="8:18">
      <c r="H51" s="7">
        <v>0.94756799999999997</v>
      </c>
      <c r="I51" s="7">
        <v>22.326419999999999</v>
      </c>
      <c r="K51" s="7">
        <v>0.51254699999999997</v>
      </c>
      <c r="L51" s="7">
        <v>22.310269999999999</v>
      </c>
      <c r="N51" s="7">
        <v>0.21909000000000001</v>
      </c>
      <c r="O51" s="7">
        <v>22.408359999999998</v>
      </c>
      <c r="Q51" s="7">
        <v>-3.59E-4</v>
      </c>
      <c r="R51" s="7">
        <v>22.351199999999999</v>
      </c>
    </row>
    <row r="52" spans="8:18">
      <c r="H52" s="7">
        <v>0.94742999999999999</v>
      </c>
      <c r="I52" s="7">
        <v>22.268129999999999</v>
      </c>
      <c r="K52" s="7">
        <v>0.51281100000000002</v>
      </c>
      <c r="L52" s="7">
        <v>22.34995</v>
      </c>
      <c r="N52" s="7">
        <v>0.217916</v>
      </c>
      <c r="O52" s="7">
        <v>22.34995</v>
      </c>
      <c r="Q52" s="7">
        <v>-4.17E-4</v>
      </c>
      <c r="R52" s="7">
        <v>22.34995</v>
      </c>
    </row>
    <row r="53" spans="8:18">
      <c r="H53" s="7">
        <v>0.947959</v>
      </c>
      <c r="I53" s="7">
        <v>22.33258</v>
      </c>
      <c r="K53" s="7">
        <v>0.51188999999999996</v>
      </c>
      <c r="L53" s="7">
        <v>22.356200000000001</v>
      </c>
      <c r="N53" s="7">
        <v>0.217805</v>
      </c>
      <c r="O53" s="7">
        <v>22.41461</v>
      </c>
      <c r="Q53" s="7">
        <v>-4.5300000000000001E-4</v>
      </c>
      <c r="R53" s="7">
        <v>22.351199999999999</v>
      </c>
    </row>
    <row r="54" spans="8:18">
      <c r="H54" s="7">
        <v>0.94711500000000004</v>
      </c>
      <c r="I54" s="7">
        <v>22.335080000000001</v>
      </c>
      <c r="K54" s="7">
        <v>0.51220299999999996</v>
      </c>
      <c r="L54" s="7">
        <v>22.363620000000001</v>
      </c>
      <c r="N54" s="7">
        <v>0.21884500000000001</v>
      </c>
      <c r="O54" s="7">
        <v>22.37604</v>
      </c>
      <c r="Q54" s="7">
        <v>-2.6899999999999998E-4</v>
      </c>
      <c r="R54" s="7">
        <v>22.29044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YL09-example</vt:lpstr>
      <vt:lpstr>YL09-blank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2018-09-26T02:42:07Z</dcterms:created>
  <dcterms:modified xsi:type="dcterms:W3CDTF">2020-09-10T18:03:25Z</dcterms:modified>
</cp:coreProperties>
</file>