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YosemitechModbus/utilities/CalibrationProtocolSpreadsheet/"/>
    </mc:Choice>
  </mc:AlternateContent>
  <xr:revisionPtr revIDLastSave="0" documentId="13_ncr:1_{D2E41788-ABCA-E040-BBF6-64E4DC4708A0}" xr6:coauthVersionLast="45" xr6:coauthVersionMax="45" xr10:uidLastSave="{00000000-0000-0000-0000-000000000000}"/>
  <bookViews>
    <workbookView xWindow="-700" yWindow="-21140" windowWidth="25280" windowHeight="20400" xr2:uid="{A01D2E8A-3A02-234A-9567-63BD2965B45A}"/>
  </bookViews>
  <sheets>
    <sheet name="YL43-CWS" sheetId="7" r:id="rId1"/>
    <sheet name="YL43-YosemiTech1" sheetId="9" r:id="rId2"/>
    <sheet name="YL43-YosemiTech2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9" l="1"/>
  <c r="I32" i="8"/>
  <c r="C36" i="9"/>
  <c r="C35" i="9"/>
  <c r="C34" i="9"/>
  <c r="C32" i="9"/>
  <c r="C31" i="9"/>
  <c r="C32" i="8"/>
  <c r="C34" i="8"/>
  <c r="C35" i="8"/>
  <c r="C36" i="8"/>
  <c r="C31" i="8"/>
  <c r="F35" i="9"/>
  <c r="E33" i="9"/>
  <c r="E32" i="9"/>
  <c r="T27" i="9"/>
  <c r="E27" i="9"/>
  <c r="G33" i="9" s="1"/>
  <c r="V26" i="9"/>
  <c r="G26" i="9" s="1"/>
  <c r="U26" i="9"/>
  <c r="F26" i="9" s="1"/>
  <c r="T26" i="9"/>
  <c r="E26" i="9"/>
  <c r="T25" i="9"/>
  <c r="E25" i="9"/>
  <c r="S18" i="9"/>
  <c r="R18" i="9"/>
  <c r="Q18" i="9"/>
  <c r="Q19" i="9" s="1"/>
  <c r="O18" i="9"/>
  <c r="O19" i="9" s="1"/>
  <c r="N18" i="9"/>
  <c r="N19" i="9" s="1"/>
  <c r="M18" i="9"/>
  <c r="M19" i="9" s="1"/>
  <c r="K18" i="9"/>
  <c r="J18" i="9"/>
  <c r="I18" i="9"/>
  <c r="G18" i="9"/>
  <c r="F18" i="9"/>
  <c r="F19" i="9" s="1"/>
  <c r="E18" i="9"/>
  <c r="E19" i="9" s="1"/>
  <c r="S17" i="9"/>
  <c r="V27" i="9" s="1"/>
  <c r="G27" i="9" s="1"/>
  <c r="R17" i="9"/>
  <c r="U27" i="9" s="1"/>
  <c r="F27" i="9" s="1"/>
  <c r="Q17" i="9"/>
  <c r="O17" i="9"/>
  <c r="N17" i="9"/>
  <c r="M17" i="9"/>
  <c r="K17" i="9"/>
  <c r="J17" i="9"/>
  <c r="J19" i="9" s="1"/>
  <c r="I17" i="9"/>
  <c r="I19" i="9" s="1"/>
  <c r="G17" i="9"/>
  <c r="G19" i="9" s="1"/>
  <c r="F17" i="9"/>
  <c r="E17" i="9"/>
  <c r="F35" i="8"/>
  <c r="E33" i="8"/>
  <c r="E32" i="8"/>
  <c r="T27" i="8"/>
  <c r="E27" i="8"/>
  <c r="V26" i="8"/>
  <c r="G26" i="8" s="1"/>
  <c r="T26" i="8"/>
  <c r="E26" i="8"/>
  <c r="V25" i="8"/>
  <c r="G25" i="8" s="1"/>
  <c r="T25" i="8"/>
  <c r="E25" i="8"/>
  <c r="S18" i="8"/>
  <c r="R18" i="8"/>
  <c r="Q18" i="8"/>
  <c r="Q19" i="8" s="1"/>
  <c r="O18" i="8"/>
  <c r="O19" i="8" s="1"/>
  <c r="N18" i="8"/>
  <c r="N19" i="8" s="1"/>
  <c r="M18" i="8"/>
  <c r="K18" i="8"/>
  <c r="J18" i="8"/>
  <c r="I18" i="8"/>
  <c r="G18" i="8"/>
  <c r="G19" i="8" s="1"/>
  <c r="F18" i="8"/>
  <c r="F19" i="8" s="1"/>
  <c r="E18" i="8"/>
  <c r="E19" i="8" s="1"/>
  <c r="S17" i="8"/>
  <c r="V27" i="8" s="1"/>
  <c r="G27" i="8" s="1"/>
  <c r="R17" i="8"/>
  <c r="U27" i="8" s="1"/>
  <c r="F27" i="8" s="1"/>
  <c r="Q17" i="8"/>
  <c r="O17" i="8"/>
  <c r="N17" i="8"/>
  <c r="U26" i="8" s="1"/>
  <c r="F26" i="8" s="1"/>
  <c r="M17" i="8"/>
  <c r="M19" i="8" s="1"/>
  <c r="K17" i="8"/>
  <c r="K19" i="8" s="1"/>
  <c r="J17" i="8"/>
  <c r="U25" i="8" s="1"/>
  <c r="F25" i="8" s="1"/>
  <c r="I17" i="8"/>
  <c r="I19" i="8" s="1"/>
  <c r="G17" i="8"/>
  <c r="F17" i="8"/>
  <c r="E17" i="8"/>
  <c r="F33" i="9" l="1"/>
  <c r="I33" i="9" s="1"/>
  <c r="B36" i="9" s="1"/>
  <c r="K19" i="9"/>
  <c r="U25" i="9"/>
  <c r="F25" i="9" s="1"/>
  <c r="V25" i="9"/>
  <c r="G25" i="9" s="1"/>
  <c r="I25" i="9"/>
  <c r="J25" i="9" s="1"/>
  <c r="G32" i="9"/>
  <c r="B32" i="9" s="1"/>
  <c r="F32" i="9"/>
  <c r="B33" i="9" s="1"/>
  <c r="C33" i="9" s="1"/>
  <c r="B31" i="9"/>
  <c r="B35" i="9"/>
  <c r="B34" i="9"/>
  <c r="I27" i="9"/>
  <c r="J27" i="9" s="1"/>
  <c r="I26" i="9"/>
  <c r="J26" i="9" s="1"/>
  <c r="S19" i="9"/>
  <c r="R19" i="9"/>
  <c r="R19" i="8"/>
  <c r="G32" i="8"/>
  <c r="B32" i="8" s="1"/>
  <c r="F32" i="8"/>
  <c r="B33" i="8" s="1"/>
  <c r="C33" i="8" s="1"/>
  <c r="I27" i="8"/>
  <c r="J27" i="8" s="1"/>
  <c r="B34" i="8"/>
  <c r="B31" i="8"/>
  <c r="G33" i="8"/>
  <c r="B35" i="8" s="1"/>
  <c r="F33" i="8"/>
  <c r="I33" i="8" s="1"/>
  <c r="B36" i="8" s="1"/>
  <c r="I26" i="8"/>
  <c r="J26" i="8" s="1"/>
  <c r="I25" i="8"/>
  <c r="J25" i="8" s="1"/>
  <c r="S19" i="8"/>
  <c r="J19" i="8"/>
  <c r="F35" i="7" l="1"/>
  <c r="E33" i="7"/>
  <c r="E32" i="7"/>
  <c r="E26" i="7"/>
  <c r="E25" i="7"/>
  <c r="S18" i="7"/>
  <c r="R18" i="7"/>
  <c r="Q18" i="7"/>
  <c r="S17" i="7"/>
  <c r="V27" i="7" s="1"/>
  <c r="G27" i="7" s="1"/>
  <c r="R17" i="7"/>
  <c r="U27" i="7" s="1"/>
  <c r="F27" i="7" s="1"/>
  <c r="Q17" i="7"/>
  <c r="O18" i="7"/>
  <c r="N18" i="7"/>
  <c r="M18" i="7"/>
  <c r="O17" i="7"/>
  <c r="V26" i="7" s="1"/>
  <c r="G26" i="7" s="1"/>
  <c r="N17" i="7"/>
  <c r="U26" i="7" s="1"/>
  <c r="F26" i="7" s="1"/>
  <c r="M17" i="7"/>
  <c r="G18" i="7"/>
  <c r="F18" i="7"/>
  <c r="E18" i="7"/>
  <c r="E19" i="7" s="1"/>
  <c r="G17" i="7"/>
  <c r="F17" i="7"/>
  <c r="E17" i="7"/>
  <c r="J17" i="7"/>
  <c r="U25" i="7" s="1"/>
  <c r="F25" i="7" s="1"/>
  <c r="J18" i="7"/>
  <c r="J19" i="7" s="1"/>
  <c r="B31" i="7" l="1"/>
  <c r="G32" i="7"/>
  <c r="B32" i="7" s="1"/>
  <c r="F32" i="7"/>
  <c r="Q19" i="7"/>
  <c r="B34" i="7"/>
  <c r="N19" i="7"/>
  <c r="R19" i="7"/>
  <c r="O19" i="7"/>
  <c r="F19" i="7"/>
  <c r="G19" i="7"/>
  <c r="M19" i="7"/>
  <c r="S19" i="7"/>
  <c r="T27" i="7" l="1"/>
  <c r="E27" i="7" s="1"/>
  <c r="T26" i="7"/>
  <c r="T25" i="7"/>
  <c r="K18" i="7"/>
  <c r="I18" i="7"/>
  <c r="K17" i="7"/>
  <c r="V25" i="7" s="1"/>
  <c r="G25" i="7" s="1"/>
  <c r="I32" i="7" s="1"/>
  <c r="B33" i="7" s="1"/>
  <c r="I17" i="7"/>
  <c r="G33" i="7" l="1"/>
  <c r="B35" i="7" s="1"/>
  <c r="F33" i="7"/>
  <c r="I33" i="7" s="1"/>
  <c r="B36" i="7" s="1"/>
  <c r="I19" i="7"/>
  <c r="K19" i="7"/>
  <c r="I27" i="7"/>
  <c r="J27" i="7" s="1"/>
  <c r="I26" i="7" l="1"/>
  <c r="J26" i="7" s="1"/>
  <c r="I25" i="7"/>
  <c r="J25" i="7" s="1"/>
</calcChain>
</file>

<file path=xl/sharedStrings.xml><?xml version="1.0" encoding="utf-8"?>
<sst xmlns="http://schemas.openxmlformats.org/spreadsheetml/2006/main" count="264" uniqueCount="61">
  <si>
    <t>Average</t>
  </si>
  <si>
    <t>Std</t>
  </si>
  <si>
    <t>%CV</t>
  </si>
  <si>
    <t>SN:</t>
  </si>
  <si>
    <t>Version:</t>
  </si>
  <si>
    <t>°C</t>
  </si>
  <si>
    <t>X</t>
  </si>
  <si>
    <t>Y</t>
  </si>
  <si>
    <t>Anthony Aufdenkampe &lt;aaufdenkampe@limno.com&gt;</t>
  </si>
  <si>
    <t>Instructions</t>
  </si>
  <si>
    <t>Calibration Date:</t>
  </si>
  <si>
    <t>1. GET &amp; paste sensor info from Modbus Runner software.</t>
  </si>
  <si>
    <t>Reference Standards</t>
  </si>
  <si>
    <t>Calibration Standards: Known Values</t>
  </si>
  <si>
    <t>Calibration Standards: Measured Values</t>
  </si>
  <si>
    <t>Not used in calibration</t>
  </si>
  <si>
    <t>Paste into pale yellow cells.</t>
  </si>
  <si>
    <t>Measure 3-10 "Times" to get best values.</t>
  </si>
  <si>
    <t>Calibration Curve</t>
  </si>
  <si>
    <t>predicted Y</t>
  </si>
  <si>
    <t>residual Y</t>
  </si>
  <si>
    <t>7. Save this sheet for your records.</t>
  </si>
  <si>
    <t>3. Fill in reference standard known values.</t>
  </si>
  <si>
    <t>6. Re-SET "User Coefficients" to new calibration values.</t>
  </si>
  <si>
    <t>5. Delete calibration X:Y pairs that are not valid.</t>
  </si>
  <si>
    <t>Paste these blue values into Modbus Runner and hit "SET".</t>
  </si>
  <si>
    <t>Rename tab with serial number and date, or keep a workbook for each serial number.</t>
  </si>
  <si>
    <t>v0.2.0: 2020-09-10</t>
  </si>
  <si>
    <t>Y532 pH Calibrator</t>
  </si>
  <si>
    <t>pH</t>
  </si>
  <si>
    <t>mV</t>
  </si>
  <si>
    <t>@ 25°C</t>
  </si>
  <si>
    <t>K1:</t>
  </si>
  <si>
    <t>pH+NH4_N:</t>
  </si>
  <si>
    <t>K2:</t>
  </si>
  <si>
    <t>K3:</t>
  </si>
  <si>
    <t>K4:</t>
  </si>
  <si>
    <t>K5:</t>
  </si>
  <si>
    <t>K6:</t>
  </si>
  <si>
    <t>pH coefficients (previous)</t>
  </si>
  <si>
    <t>Type into pale yellow cells H3, L3, P3</t>
  </si>
  <si>
    <t>4."GET pH" &amp; paste measured values for each standard.</t>
  </si>
  <si>
    <t xml:space="preserve"> Delete green values in pale yellow cells D25:E27</t>
  </si>
  <si>
    <t>E(T), mV</t>
  </si>
  <si>
    <t xml:space="preserve"> Nernst equation :E=E0+S*(7-pH)</t>
    <phoneticPr fontId="1" type="noConversion"/>
  </si>
  <si>
    <t xml:space="preserve"> S = 54.2+0.1984*t(℃) +S0</t>
    <phoneticPr fontId="1" type="noConversion"/>
  </si>
  <si>
    <t>Where S0 = 0,E0=0 by default.</t>
    <phoneticPr fontId="1" type="noConversion"/>
  </si>
  <si>
    <t>K1=K4 = E (a sensor reading of  mV at  ph = 6.86)</t>
    <phoneticPr fontId="1" type="noConversion"/>
  </si>
  <si>
    <t xml:space="preserve">K2 is actual E0 in acidic solution ph =4 </t>
    <phoneticPr fontId="1" type="noConversion"/>
  </si>
  <si>
    <t xml:space="preserve">K5 is actual E0 in  alkaline solution ph =9.18 </t>
    <phoneticPr fontId="1" type="noConversion"/>
  </si>
  <si>
    <t>K3 is actual S0 in acidic solution ph =4</t>
    <phoneticPr fontId="1" type="noConversion"/>
  </si>
  <si>
    <t>K6 is actual S0 in  alkaline solution ph =9.18</t>
    <phoneticPr fontId="1" type="noConversion"/>
  </si>
  <si>
    <t>If E1 is read at pH=4.00,E2 is read at pH = 6.86,  E0 = (E2*(4.00-7)-E1*(6.86-7))/(4.00-6.86)</t>
    <phoneticPr fontId="1" type="noConversion"/>
  </si>
  <si>
    <t>Explanation of pH calibration equations</t>
  </si>
  <si>
    <t>isopotential pH</t>
  </si>
  <si>
    <r>
      <t>pH</t>
    </r>
    <r>
      <rPr>
        <vertAlign val="subscript"/>
        <sz val="11"/>
        <color theme="1"/>
        <rFont val="Arial"/>
        <family val="2"/>
      </rPr>
      <t>iso</t>
    </r>
  </si>
  <si>
    <t>Slope</t>
  </si>
  <si>
    <t>theoretical slope = -0.1984*T</t>
  </si>
  <si>
    <r>
      <t>mV@pH</t>
    </r>
    <r>
      <rPr>
        <vertAlign val="subscript"/>
        <sz val="11"/>
        <color theme="1"/>
        <rFont val="Arial"/>
        <family val="2"/>
      </rPr>
      <t>iso</t>
    </r>
  </si>
  <si>
    <t>temp</t>
  </si>
  <si>
    <t>temp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</si>
</sst>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7" formatCode="yyyy\-mm\-dd"/>
    <numFmt numFmtId="168" formatCode="0.0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B050"/>
      <name val="Arial"/>
      <family val="2"/>
    </font>
    <font>
      <b/>
      <sz val="11"/>
      <color rgb="FF0070C0"/>
      <name val="Arial"/>
      <family val="2"/>
    </font>
    <font>
      <sz val="11"/>
      <color theme="1"/>
      <name val="等线"/>
      <family val="3"/>
      <charset val="134"/>
    </font>
    <font>
      <vertAlign val="subscript"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name val="宋体"/>
      <family val="3"/>
      <charset val="134"/>
    </font>
    <font>
      <sz val="11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 indent="1"/>
    </xf>
    <xf numFmtId="0" fontId="4" fillId="2" borderId="0" xfId="0" applyFont="1" applyFill="1"/>
    <xf numFmtId="2" fontId="6" fillId="0" borderId="0" xfId="0" applyNumberFormat="1" applyFont="1"/>
    <xf numFmtId="10" fontId="6" fillId="0" borderId="0" xfId="1" applyNumberFormat="1" applyFont="1"/>
    <xf numFmtId="0" fontId="4" fillId="0" borderId="0" xfId="0" applyFont="1" applyAlignment="1">
      <alignment horizontal="right"/>
    </xf>
    <xf numFmtId="167" fontId="4" fillId="2" borderId="0" xfId="0" applyNumberFormat="1" applyFont="1" applyFill="1" applyAlignment="1">
      <alignment horizontal="left"/>
    </xf>
    <xf numFmtId="164" fontId="4" fillId="2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1" xfId="0" applyFont="1" applyBorder="1"/>
    <xf numFmtId="0" fontId="5" fillId="0" borderId="1" xfId="0" applyFont="1" applyBorder="1"/>
    <xf numFmtId="0" fontId="4" fillId="0" borderId="0" xfId="0" applyFont="1" applyAlignment="1">
      <alignment horizontal="center"/>
    </xf>
    <xf numFmtId="2" fontId="7" fillId="2" borderId="0" xfId="0" applyNumberFormat="1" applyFont="1" applyFill="1"/>
    <xf numFmtId="0" fontId="6" fillId="0" borderId="0" xfId="0" applyFont="1"/>
    <xf numFmtId="164" fontId="8" fillId="0" borderId="2" xfId="0" applyNumberFormat="1" applyFont="1" applyBorder="1"/>
    <xf numFmtId="0" fontId="3" fillId="0" borderId="1" xfId="0" applyFont="1" applyBorder="1"/>
    <xf numFmtId="0" fontId="4" fillId="0" borderId="0" xfId="0" quotePrefix="1" applyFont="1"/>
    <xf numFmtId="2" fontId="4" fillId="2" borderId="0" xfId="0" applyNumberFormat="1" applyFont="1" applyFill="1"/>
    <xf numFmtId="168" fontId="6" fillId="0" borderId="0" xfId="0" applyNumberFormat="1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2" fontId="4" fillId="0" borderId="0" xfId="0" quotePrefix="1" applyNumberFormat="1" applyFont="1" applyAlignment="1">
      <alignment horizontal="right"/>
    </xf>
    <xf numFmtId="0" fontId="0" fillId="3" borderId="0" xfId="0" applyFill="1"/>
    <xf numFmtId="0" fontId="0" fillId="3" borderId="0" xfId="0" applyFill="1" applyAlignment="1">
      <alignment vertical="center"/>
    </xf>
    <xf numFmtId="0" fontId="12" fillId="3" borderId="0" xfId="2" applyFill="1"/>
    <xf numFmtId="0" fontId="13" fillId="0" borderId="0" xfId="0" applyNumberFormat="1" applyFont="1"/>
  </cellXfs>
  <cellStyles count="3">
    <cellStyle name="Normal" xfId="0" builtinId="0"/>
    <cellStyle name="Percent" xfId="1" builtinId="5"/>
    <cellStyle name="常规 2" xfId="2" xr:uid="{688B6410-54BD-414A-A7AB-369036B1CE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86838654062596"/>
                  <c:y val="-0.40261158455821056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'YL43-CWS'!$E$25:$E$27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10</c:v>
                </c:pt>
              </c:numCache>
            </c:numRef>
          </c:xVal>
          <c:yVal>
            <c:numRef>
              <c:f>'YL43-CWS'!$F$25:$F$27</c:f>
              <c:numCache>
                <c:formatCode>0.00</c:formatCode>
                <c:ptCount val="3"/>
                <c:pt idx="0">
                  <c:v>192.53139999999999</c:v>
                </c:pt>
                <c:pt idx="1">
                  <c:v>26.106919999999999</c:v>
                </c:pt>
                <c:pt idx="2">
                  <c:v>-153.52799999999999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2-A343-99EA-0FD389BF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  <c:majorUnit val="1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'YL43-CWS'!$E$25:$E$27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10</c:v>
                </c:pt>
              </c:numCache>
            </c:numRef>
          </c:xVal>
          <c:yVal>
            <c:numRef>
              <c:f>'YL43-CWS'!$J$25:$J$27</c:f>
              <c:numCache>
                <c:formatCode>0.00</c:formatCode>
                <c:ptCount val="3"/>
                <c:pt idx="0">
                  <c:v>0.5123200831989152</c:v>
                </c:pt>
                <c:pt idx="1">
                  <c:v>-0.97895557299142766</c:v>
                </c:pt>
                <c:pt idx="2">
                  <c:v>0.46663548979259417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C-5C49-8220-821BDD98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  <c:majorUnit val="1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86838654062596"/>
                  <c:y val="-0.40261158455821056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'YL43-YosemiTech1'!$E$25:$E$27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'YL43-YosemiTech1'!$F$25:$F$27</c:f>
              <c:numCache>
                <c:formatCode>0.00</c:formatCode>
                <c:ptCount val="3"/>
                <c:pt idx="0">
                  <c:v>240</c:v>
                </c:pt>
                <c:pt idx="1">
                  <c:v>70</c:v>
                </c:pt>
                <c:pt idx="2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B-9249-A702-C0390923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  <c:majorUnit val="1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'YL43-YosemiTech1'!$E$25:$E$27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'YL43-YosemiTech1'!$J$25:$J$27</c:f>
              <c:numCache>
                <c:formatCode>0.00</c:formatCode>
                <c:ptCount val="3"/>
                <c:pt idx="0">
                  <c:v>1.2980017032064382</c:v>
                </c:pt>
                <c:pt idx="1">
                  <c:v>-2.8981244925038254</c:v>
                </c:pt>
                <c:pt idx="2">
                  <c:v>1.6001227892975294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8-884B-8373-4D67E95C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  <c:majorUnit val="1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21831013640900501"/>
          <c:y val="1.904761904761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1259434539595"/>
          <c:y val="0.104761843865186"/>
          <c:w val="0.82739280323120235"/>
          <c:h val="0.70952339708693901"/>
        </c:manualLayout>
      </c:layout>
      <c:scatterChart>
        <c:scatterStyle val="lineMarker"/>
        <c:varyColors val="0"/>
        <c:ser>
          <c:idx val="0"/>
          <c:order val="0"/>
          <c:tx>
            <c:v>References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name>linear fit</c:name>
            <c:spPr>
              <a:ln w="3175">
                <a:solidFill>
                  <a:srgbClr val="003366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86838654062596"/>
                  <c:y val="-0.40261158455821056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'YL43-YosemiTech2'!$E$25:$E$27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'YL43-YosemiTech2'!$F$25:$F$27</c:f>
              <c:numCache>
                <c:formatCode>0.00</c:formatCode>
                <c:ptCount val="3"/>
                <c:pt idx="0">
                  <c:v>232.48</c:v>
                </c:pt>
                <c:pt idx="1">
                  <c:v>73.459999999999994</c:v>
                </c:pt>
                <c:pt idx="2">
                  <c:v>-42.74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4-694F-8D60-3DA1343F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58904"/>
        <c:axId val="-2133566584"/>
      </c:scatterChart>
      <c:valAx>
        <c:axId val="-2133558904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Values</a:t>
                </a:r>
              </a:p>
            </c:rich>
          </c:tx>
          <c:layout>
            <c:manualLayout>
              <c:xMode val="edge"/>
              <c:yMode val="edge"/>
              <c:x val="0.36267661084617903"/>
              <c:y val="0.9047615298087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66584"/>
        <c:crosses val="autoZero"/>
        <c:crossBetween val="midCat"/>
        <c:majorUnit val="1"/>
      </c:valAx>
      <c:valAx>
        <c:axId val="-213356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Reference Values</a:t>
                </a:r>
              </a:p>
            </c:rich>
          </c:tx>
          <c:layout>
            <c:manualLayout>
              <c:xMode val="edge"/>
              <c:yMode val="edge"/>
              <c:x val="2.8169014084507001E-2"/>
              <c:y val="0.3142857142857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558904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Curvature</a:t>
            </a:r>
          </a:p>
        </c:rich>
      </c:tx>
      <c:layout>
        <c:manualLayout>
          <c:xMode val="edge"/>
          <c:yMode val="edge"/>
          <c:x val="0.21428599550056199"/>
          <c:y val="3.3898305084745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6634262555676"/>
          <c:y val="0.169492226778613"/>
          <c:w val="0.83523410807949572"/>
          <c:h val="0.669494295775522"/>
        </c:manualLayout>
      </c:layout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9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xVal>
            <c:numRef>
              <c:f>'YL43-YosemiTech2'!$E$25:$E$27</c:f>
              <c:numCache>
                <c:formatCode>0.00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'YL43-YosemiTech2'!$J$25:$J$27</c:f>
              <c:numCache>
                <c:formatCode>0.00</c:formatCode>
                <c:ptCount val="3"/>
                <c:pt idx="0">
                  <c:v>2.1017519260094844</c:v>
                </c:pt>
                <c:pt idx="1">
                  <c:v>-4.6927047313488828</c:v>
                </c:pt>
                <c:pt idx="2">
                  <c:v>2.5909528053393345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7-C04A-B4D8-FC678CD8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85320"/>
        <c:axId val="-2092779288"/>
      </c:scatterChart>
      <c:valAx>
        <c:axId val="-2092785320"/>
        <c:scaling>
          <c:orientation val="minMax"/>
          <c:max val="11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aseline="0"/>
                  <a:t>Measured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42913385826801"/>
              <c:y val="0.8305118110236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79288"/>
        <c:crosses val="autoZero"/>
        <c:crossBetween val="midCat"/>
        <c:majorUnit val="1"/>
      </c:valAx>
      <c:valAx>
        <c:axId val="-209277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8571428571428598E-2"/>
              <c:y val="0.296611504070465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785320"/>
        <c:crossesAt val="7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cid:image002.png@01D685F0.AE931B90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cid:image002.png@01D685F0.AE931B90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cid:image002.png@01D685F0.AE931B90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105833</xdr:colOff>
      <xdr:row>21</xdr:row>
      <xdr:rowOff>31750</xdr:rowOff>
    </xdr:from>
    <xdr:to>
      <xdr:col>18</xdr:col>
      <xdr:colOff>118533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ECE16-8B53-514E-A90A-563018CA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105834</xdr:colOff>
      <xdr:row>35</xdr:row>
      <xdr:rowOff>105834</xdr:rowOff>
    </xdr:from>
    <xdr:to>
      <xdr:col>18</xdr:col>
      <xdr:colOff>120650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825C7-2C7F-3A4A-9D42-3F5CB771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317500</xdr:colOff>
      <xdr:row>0</xdr:row>
      <xdr:rowOff>148166</xdr:rowOff>
    </xdr:from>
    <xdr:to>
      <xdr:col>31</xdr:col>
      <xdr:colOff>83383</xdr:colOff>
      <xdr:row>28</xdr:row>
      <xdr:rowOff>105833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E25342-24DB-2F42-A4EB-F95A6C990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30750" y="148166"/>
          <a:ext cx="7195383" cy="5386917"/>
        </a:xfrm>
        <a:prstGeom prst="rect">
          <a:avLst/>
        </a:prstGeom>
      </xdr:spPr>
    </xdr:pic>
    <xdr:clientData/>
  </xdr:twoCellAnchor>
  <xdr:twoCellAnchor>
    <xdr:from>
      <xdr:col>22</xdr:col>
      <xdr:colOff>560916</xdr:colOff>
      <xdr:row>2</xdr:row>
      <xdr:rowOff>264583</xdr:rowOff>
    </xdr:from>
    <xdr:to>
      <xdr:col>31</xdr:col>
      <xdr:colOff>211666</xdr:colOff>
      <xdr:row>31</xdr:row>
      <xdr:rowOff>196206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CDEF37A8-5DEF-E942-9188-098B91F25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4166" y="677333"/>
          <a:ext cx="7080250" cy="5530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105833</xdr:colOff>
      <xdr:row>21</xdr:row>
      <xdr:rowOff>31750</xdr:rowOff>
    </xdr:from>
    <xdr:to>
      <xdr:col>18</xdr:col>
      <xdr:colOff>118533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82BC1-850D-564C-9029-819AFF6B9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105834</xdr:colOff>
      <xdr:row>35</xdr:row>
      <xdr:rowOff>105834</xdr:rowOff>
    </xdr:from>
    <xdr:to>
      <xdr:col>18</xdr:col>
      <xdr:colOff>120650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64DB6-318C-B141-8CAA-7395B2FC1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317500</xdr:colOff>
      <xdr:row>0</xdr:row>
      <xdr:rowOff>148166</xdr:rowOff>
    </xdr:from>
    <xdr:to>
      <xdr:col>31</xdr:col>
      <xdr:colOff>83383</xdr:colOff>
      <xdr:row>28</xdr:row>
      <xdr:rowOff>84666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066DB1-0D00-474D-A597-7A646E9E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3600" y="148166"/>
          <a:ext cx="7195383" cy="5346700"/>
        </a:xfrm>
        <a:prstGeom prst="rect">
          <a:avLst/>
        </a:prstGeom>
      </xdr:spPr>
    </xdr:pic>
    <xdr:clientData/>
  </xdr:twoCellAnchor>
  <xdr:twoCellAnchor>
    <xdr:from>
      <xdr:col>22</xdr:col>
      <xdr:colOff>560916</xdr:colOff>
      <xdr:row>2</xdr:row>
      <xdr:rowOff>264583</xdr:rowOff>
    </xdr:from>
    <xdr:to>
      <xdr:col>31</xdr:col>
      <xdr:colOff>211666</xdr:colOff>
      <xdr:row>31</xdr:row>
      <xdr:rowOff>196206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948369BA-12F7-F647-AB2A-FCD9804EF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7016" y="670983"/>
          <a:ext cx="7080250" cy="5519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105833</xdr:colOff>
      <xdr:row>21</xdr:row>
      <xdr:rowOff>31750</xdr:rowOff>
    </xdr:from>
    <xdr:to>
      <xdr:col>18</xdr:col>
      <xdr:colOff>118533</xdr:colOff>
      <xdr:row>35</xdr:row>
      <xdr:rowOff>48684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8E250-5779-1C4B-B6C9-B3A5C2615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105834</xdr:colOff>
      <xdr:row>35</xdr:row>
      <xdr:rowOff>105834</xdr:rowOff>
    </xdr:from>
    <xdr:to>
      <xdr:col>18</xdr:col>
      <xdr:colOff>120650</xdr:colOff>
      <xdr:row>42</xdr:row>
      <xdr:rowOff>175684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6CB46-69C8-AE43-93F7-AC3D5DE68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317500</xdr:colOff>
      <xdr:row>0</xdr:row>
      <xdr:rowOff>148166</xdr:rowOff>
    </xdr:from>
    <xdr:to>
      <xdr:col>31</xdr:col>
      <xdr:colOff>83383</xdr:colOff>
      <xdr:row>28</xdr:row>
      <xdr:rowOff>84666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004D2F-C6E6-D44A-B073-49E25DE19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3600" y="148166"/>
          <a:ext cx="7195383" cy="5342467"/>
        </a:xfrm>
        <a:prstGeom prst="rect">
          <a:avLst/>
        </a:prstGeom>
      </xdr:spPr>
    </xdr:pic>
    <xdr:clientData/>
  </xdr:twoCellAnchor>
  <xdr:twoCellAnchor>
    <xdr:from>
      <xdr:col>22</xdr:col>
      <xdr:colOff>560916</xdr:colOff>
      <xdr:row>2</xdr:row>
      <xdr:rowOff>264583</xdr:rowOff>
    </xdr:from>
    <xdr:to>
      <xdr:col>31</xdr:col>
      <xdr:colOff>211666</xdr:colOff>
      <xdr:row>31</xdr:row>
      <xdr:rowOff>196206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62915C16-ACCB-6B4F-A976-94F2645D4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7016" y="670983"/>
          <a:ext cx="7080250" cy="5494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C2D1-1195-E443-A486-6715ED3C5E41}">
  <dimension ref="A1:Z40"/>
  <sheetViews>
    <sheetView tabSelected="1" zoomScale="120" zoomScaleNormal="120" workbookViewId="0">
      <selection activeCell="C15" sqref="C15"/>
    </sheetView>
  </sheetViews>
  <sheetFormatPr baseColWidth="10" defaultRowHeight="14"/>
  <cols>
    <col min="1" max="1" width="30.83203125" style="3" customWidth="1"/>
    <col min="2" max="2" width="11.83203125" style="3" customWidth="1"/>
    <col min="3" max="4" width="10.83203125" style="3" customWidth="1"/>
    <col min="5" max="7" width="8.83203125" style="3" customWidth="1"/>
    <col min="8" max="8" width="3.33203125" style="3" customWidth="1"/>
    <col min="9" max="19" width="8.83203125" style="3" customWidth="1"/>
    <col min="20" max="16384" width="10.83203125" style="3"/>
  </cols>
  <sheetData>
    <row r="1" spans="1:22" ht="18">
      <c r="A1" s="2" t="s">
        <v>28</v>
      </c>
    </row>
    <row r="2" spans="1:22">
      <c r="A2" s="5" t="s">
        <v>27</v>
      </c>
      <c r="I2" s="19" t="s">
        <v>13</v>
      </c>
      <c r="J2" s="19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2" s="4" customFormat="1" ht="30">
      <c r="A3" s="6" t="s">
        <v>8</v>
      </c>
      <c r="C3" s="17"/>
      <c r="D3" s="17" t="s">
        <v>12</v>
      </c>
      <c r="E3" s="16">
        <v>7</v>
      </c>
      <c r="F3" s="3" t="s">
        <v>29</v>
      </c>
      <c r="G3" s="25" t="s">
        <v>31</v>
      </c>
      <c r="H3" s="3"/>
      <c r="I3" s="26">
        <v>4</v>
      </c>
      <c r="J3" s="3" t="s">
        <v>29</v>
      </c>
      <c r="K3" s="25" t="s">
        <v>31</v>
      </c>
      <c r="L3" s="3"/>
      <c r="M3" s="7">
        <v>6.86</v>
      </c>
      <c r="N3" s="3" t="s">
        <v>29</v>
      </c>
      <c r="O3" s="25" t="s">
        <v>31</v>
      </c>
      <c r="P3" s="3"/>
      <c r="Q3" s="7">
        <v>10</v>
      </c>
      <c r="R3" s="3" t="s">
        <v>29</v>
      </c>
      <c r="S3" s="25" t="s">
        <v>31</v>
      </c>
      <c r="T3" s="3"/>
      <c r="U3" s="3"/>
      <c r="V3" s="3"/>
    </row>
    <row r="4" spans="1:22">
      <c r="E4" s="3" t="s">
        <v>15</v>
      </c>
      <c r="I4" s="19" t="s">
        <v>14</v>
      </c>
      <c r="J4" s="19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2" ht="18">
      <c r="A5" s="24" t="s">
        <v>9</v>
      </c>
      <c r="B5" s="18"/>
      <c r="C5" s="18"/>
      <c r="E5" s="20" t="s">
        <v>29</v>
      </c>
      <c r="F5" s="20" t="s">
        <v>30</v>
      </c>
      <c r="G5" s="20" t="s">
        <v>5</v>
      </c>
      <c r="I5" s="20" t="s">
        <v>29</v>
      </c>
      <c r="J5" s="20" t="s">
        <v>30</v>
      </c>
      <c r="K5" s="20" t="s">
        <v>5</v>
      </c>
      <c r="L5" s="20"/>
      <c r="M5" s="20" t="s">
        <v>29</v>
      </c>
      <c r="N5" s="20" t="s">
        <v>30</v>
      </c>
      <c r="O5" s="20" t="s">
        <v>5</v>
      </c>
      <c r="P5" s="20"/>
      <c r="Q5" s="20" t="s">
        <v>29</v>
      </c>
      <c r="R5" s="20" t="s">
        <v>30</v>
      </c>
      <c r="S5" s="20" t="s">
        <v>5</v>
      </c>
      <c r="T5" s="20"/>
    </row>
    <row r="6" spans="1:22">
      <c r="A6" s="10" t="s">
        <v>10</v>
      </c>
      <c r="B6" s="11">
        <v>44082</v>
      </c>
      <c r="E6" s="7"/>
      <c r="F6" s="7">
        <v>23.177900000000001</v>
      </c>
      <c r="G6" s="7">
        <v>22</v>
      </c>
      <c r="I6" s="7"/>
      <c r="J6" s="7">
        <v>191.21299999999999</v>
      </c>
      <c r="K6" s="7">
        <v>22</v>
      </c>
      <c r="M6" s="7"/>
      <c r="N6" s="7">
        <v>26.106919999999999</v>
      </c>
      <c r="O6" s="7">
        <v>22</v>
      </c>
      <c r="Q6" s="7"/>
      <c r="R6" s="7">
        <v>-153.52799999999999</v>
      </c>
      <c r="S6" s="7">
        <v>22</v>
      </c>
    </row>
    <row r="7" spans="1:22">
      <c r="E7" s="7"/>
      <c r="F7" s="7"/>
      <c r="G7" s="7"/>
      <c r="I7" s="7"/>
      <c r="J7" s="7">
        <v>193.84979999999999</v>
      </c>
      <c r="K7" s="7"/>
      <c r="M7" s="7"/>
      <c r="N7" s="7"/>
      <c r="O7" s="7"/>
      <c r="Q7" s="7"/>
      <c r="R7" s="7"/>
      <c r="S7" s="7"/>
    </row>
    <row r="8" spans="1:22" ht="16">
      <c r="A8" s="1" t="s">
        <v>11</v>
      </c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</row>
    <row r="9" spans="1:22">
      <c r="A9" s="10" t="s">
        <v>3</v>
      </c>
      <c r="B9" s="7"/>
      <c r="E9" s="7"/>
      <c r="F9" s="7"/>
      <c r="G9" s="7"/>
      <c r="I9" s="7"/>
      <c r="J9" s="7"/>
      <c r="K9" s="7"/>
      <c r="M9" s="7"/>
      <c r="N9" s="7"/>
      <c r="O9" s="7"/>
      <c r="Q9" s="7"/>
      <c r="R9" s="7"/>
      <c r="S9" s="7"/>
    </row>
    <row r="10" spans="1:22">
      <c r="A10" s="10" t="s">
        <v>4</v>
      </c>
      <c r="B10" s="7"/>
      <c r="E10" s="7"/>
      <c r="F10" s="7"/>
      <c r="G10" s="7"/>
      <c r="I10" s="7"/>
      <c r="J10" s="7"/>
      <c r="K10" s="7"/>
      <c r="M10" s="7"/>
      <c r="N10" s="7"/>
      <c r="O10" s="7"/>
      <c r="Q10" s="7"/>
      <c r="R10" s="7"/>
      <c r="S10" s="7"/>
    </row>
    <row r="11" spans="1:22">
      <c r="A11" s="10" t="s">
        <v>33</v>
      </c>
      <c r="B11" s="3" t="s">
        <v>39</v>
      </c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</row>
    <row r="12" spans="1:22">
      <c r="A12" s="10" t="s">
        <v>32</v>
      </c>
      <c r="B12" s="12">
        <v>26.814160000000001</v>
      </c>
      <c r="E12" s="7"/>
      <c r="F12" s="7"/>
      <c r="G12" s="7"/>
      <c r="I12" s="7"/>
      <c r="J12" s="7"/>
      <c r="K12" s="7"/>
      <c r="M12" s="7"/>
      <c r="N12" s="7"/>
      <c r="O12" s="7"/>
      <c r="Q12" s="7"/>
      <c r="R12" s="7"/>
      <c r="S12" s="7"/>
    </row>
    <row r="13" spans="1:22">
      <c r="A13" s="10" t="s">
        <v>34</v>
      </c>
      <c r="B13" s="12">
        <v>36.813630000000003</v>
      </c>
      <c r="E13" s="7"/>
      <c r="F13" s="7"/>
      <c r="G13" s="7"/>
      <c r="I13" s="7"/>
      <c r="J13" s="7"/>
      <c r="K13" s="7"/>
      <c r="M13" s="7"/>
      <c r="N13" s="7"/>
      <c r="O13" s="7"/>
      <c r="Q13" s="7"/>
      <c r="R13" s="7"/>
      <c r="S13" s="7"/>
    </row>
    <row r="14" spans="1:22">
      <c r="A14" s="10" t="s">
        <v>35</v>
      </c>
      <c r="B14" s="12">
        <v>-130.5849</v>
      </c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</row>
    <row r="15" spans="1:22">
      <c r="A15" s="10" t="s">
        <v>36</v>
      </c>
      <c r="B15" s="12">
        <v>26.814160000000001</v>
      </c>
      <c r="E15" s="7"/>
      <c r="F15" s="7"/>
      <c r="G15" s="7"/>
      <c r="I15" s="7"/>
      <c r="J15" s="7"/>
      <c r="K15" s="7"/>
      <c r="M15" s="7"/>
      <c r="N15" s="7"/>
      <c r="O15" s="7"/>
      <c r="Q15" s="7"/>
      <c r="R15" s="7"/>
      <c r="S15" s="7"/>
    </row>
    <row r="16" spans="1:22">
      <c r="A16" s="10" t="s">
        <v>37</v>
      </c>
      <c r="B16" s="12">
        <v>19.549410000000002</v>
      </c>
      <c r="E16" s="13"/>
      <c r="F16" s="13"/>
      <c r="G16" s="14"/>
    </row>
    <row r="17" spans="1:26">
      <c r="A17" s="10" t="s">
        <v>38</v>
      </c>
      <c r="B17" s="12">
        <v>-7.2688670000000002</v>
      </c>
      <c r="C17" s="10"/>
      <c r="D17" s="10" t="s">
        <v>0</v>
      </c>
      <c r="E17" s="27" t="e">
        <f>AVERAGE(E6:E15)</f>
        <v>#DIV/0!</v>
      </c>
      <c r="F17" s="27">
        <f>AVERAGE(F6:F15)</f>
        <v>23.177900000000001</v>
      </c>
      <c r="G17" s="27">
        <f>AVERAGE(G6:G15)</f>
        <v>22</v>
      </c>
      <c r="I17" s="27" t="e">
        <f>AVERAGE(I6:I15)</f>
        <v>#DIV/0!</v>
      </c>
      <c r="J17" s="27">
        <f>AVERAGE(J6:J15)</f>
        <v>192.53139999999999</v>
      </c>
      <c r="K17" s="27">
        <f>AVERAGE(K6:K15)</f>
        <v>22</v>
      </c>
      <c r="M17" s="27" t="e">
        <f>AVERAGE(M6:M15)</f>
        <v>#DIV/0!</v>
      </c>
      <c r="N17" s="27">
        <f>AVERAGE(N6:N15)</f>
        <v>26.106919999999999</v>
      </c>
      <c r="O17" s="27">
        <f>AVERAGE(O6:O15)</f>
        <v>22</v>
      </c>
      <c r="Q17" s="27" t="e">
        <f>AVERAGE(Q6:Q15)</f>
        <v>#DIV/0!</v>
      </c>
      <c r="R17" s="27">
        <f>AVERAGE(R6:R15)</f>
        <v>-153.52799999999999</v>
      </c>
      <c r="S17" s="27">
        <f>AVERAGE(S6:S15)</f>
        <v>22</v>
      </c>
    </row>
    <row r="18" spans="1:26">
      <c r="C18" s="10"/>
      <c r="D18" s="10" t="s">
        <v>1</v>
      </c>
      <c r="E18" s="27" t="e">
        <f>STDEV(E6:E15)</f>
        <v>#DIV/0!</v>
      </c>
      <c r="F18" s="27" t="e">
        <f>STDEV(F6:F15)</f>
        <v>#DIV/0!</v>
      </c>
      <c r="G18" s="27" t="e">
        <f>STDEV(G6:G15)</f>
        <v>#DIV/0!</v>
      </c>
      <c r="I18" s="27" t="e">
        <f>STDEV(I6:I15)</f>
        <v>#DIV/0!</v>
      </c>
      <c r="J18" s="27">
        <f>STDEV(J6:J15)</f>
        <v>1.8644991606326842</v>
      </c>
      <c r="K18" s="27" t="e">
        <f>STDEV(K6:K15)</f>
        <v>#DIV/0!</v>
      </c>
      <c r="M18" s="27" t="e">
        <f>STDEV(M6:M15)</f>
        <v>#DIV/0!</v>
      </c>
      <c r="N18" s="27" t="e">
        <f>STDEV(N6:N15)</f>
        <v>#DIV/0!</v>
      </c>
      <c r="O18" s="27" t="e">
        <f>STDEV(O6:O15)</f>
        <v>#DIV/0!</v>
      </c>
      <c r="Q18" s="27" t="e">
        <f>STDEV(Q6:Q15)</f>
        <v>#DIV/0!</v>
      </c>
      <c r="R18" s="27" t="e">
        <f>STDEV(R6:R15)</f>
        <v>#DIV/0!</v>
      </c>
      <c r="S18" s="27" t="e">
        <f>STDEV(S6:S15)</f>
        <v>#DIV/0!</v>
      </c>
    </row>
    <row r="19" spans="1:26" ht="16">
      <c r="A19" s="1" t="s">
        <v>22</v>
      </c>
      <c r="C19" s="10"/>
      <c r="D19" s="10" t="s">
        <v>2</v>
      </c>
      <c r="E19" s="9" t="e">
        <f>E18/E17</f>
        <v>#DIV/0!</v>
      </c>
      <c r="F19" s="9" t="e">
        <f>F18/F17</f>
        <v>#DIV/0!</v>
      </c>
      <c r="G19" s="9" t="e">
        <f>G18/G17</f>
        <v>#DIV/0!</v>
      </c>
      <c r="I19" s="9" t="e">
        <f>I18/I17</f>
        <v>#DIV/0!</v>
      </c>
      <c r="J19" s="9">
        <f>J18/J17</f>
        <v>9.6841302802175861E-3</v>
      </c>
      <c r="K19" s="9" t="e">
        <f>K18/K17</f>
        <v>#DIV/0!</v>
      </c>
      <c r="M19" s="9" t="e">
        <f>M18/M17</f>
        <v>#DIV/0!</v>
      </c>
      <c r="N19" s="9" t="e">
        <f>N18/N17</f>
        <v>#DIV/0!</v>
      </c>
      <c r="O19" s="9" t="e">
        <f>O18/O17</f>
        <v>#DIV/0!</v>
      </c>
      <c r="Q19" s="9" t="e">
        <f>Q18/Q17</f>
        <v>#DIV/0!</v>
      </c>
      <c r="R19" s="9" t="e">
        <f>R18/R17</f>
        <v>#DIV/0!</v>
      </c>
      <c r="S19" s="9" t="e">
        <f>S18/S17</f>
        <v>#DIV/0!</v>
      </c>
    </row>
    <row r="20" spans="1:26">
      <c r="A20" s="5" t="s">
        <v>40</v>
      </c>
      <c r="C20" s="10"/>
      <c r="D20" s="10"/>
      <c r="E20" s="8"/>
      <c r="F20" s="8"/>
      <c r="I20" s="8"/>
      <c r="J20" s="8"/>
      <c r="M20" s="8"/>
      <c r="N20" s="8"/>
      <c r="Q20" s="8"/>
      <c r="R20" s="8"/>
    </row>
    <row r="22" spans="1:26" ht="16">
      <c r="A22" s="1" t="s">
        <v>41</v>
      </c>
      <c r="E22" s="19" t="s">
        <v>18</v>
      </c>
      <c r="F22" s="19"/>
      <c r="G22" s="18"/>
      <c r="H22" s="18"/>
      <c r="I22" s="18"/>
      <c r="J22" s="18"/>
    </row>
    <row r="23" spans="1:26">
      <c r="A23" s="5" t="s">
        <v>17</v>
      </c>
      <c r="E23" s="15" t="s">
        <v>6</v>
      </c>
      <c r="F23" s="3" t="s">
        <v>7</v>
      </c>
      <c r="T23" s="15" t="s">
        <v>6</v>
      </c>
      <c r="U23" s="3" t="s">
        <v>7</v>
      </c>
    </row>
    <row r="24" spans="1:26">
      <c r="A24" s="5" t="s">
        <v>16</v>
      </c>
      <c r="E24" s="3" t="s">
        <v>29</v>
      </c>
      <c r="F24" s="3" t="s">
        <v>43</v>
      </c>
      <c r="I24" s="3" t="s">
        <v>19</v>
      </c>
      <c r="J24" s="3" t="s">
        <v>20</v>
      </c>
      <c r="T24" s="3" t="s">
        <v>29</v>
      </c>
      <c r="U24" s="3" t="s">
        <v>43</v>
      </c>
      <c r="V24" s="3" t="s">
        <v>59</v>
      </c>
    </row>
    <row r="25" spans="1:26">
      <c r="E25" s="21">
        <f>T25</f>
        <v>4</v>
      </c>
      <c r="F25" s="21">
        <f>U25</f>
        <v>192.53139999999999</v>
      </c>
      <c r="G25" s="21">
        <f>V25</f>
        <v>22</v>
      </c>
      <c r="I25" s="8">
        <f>IF(ISNUMBER(E25), FORECAST(E25,$F$25:$F$28,$E$25:$E$28), "")</f>
        <v>192.01907991680108</v>
      </c>
      <c r="J25" s="8">
        <f>IF(ISNUMBER(F25), F25-I25, "")</f>
        <v>0.5123200831989152</v>
      </c>
      <c r="T25" s="8">
        <f>I3</f>
        <v>4</v>
      </c>
      <c r="U25" s="8">
        <f>J17</f>
        <v>192.53139999999999</v>
      </c>
      <c r="V25" s="8">
        <f>K17</f>
        <v>22</v>
      </c>
    </row>
    <row r="26" spans="1:26" ht="16">
      <c r="A26" s="1" t="s">
        <v>24</v>
      </c>
      <c r="E26" s="21">
        <f t="shared" ref="E26:E27" si="0">T26</f>
        <v>6.86</v>
      </c>
      <c r="F26" s="21">
        <f t="shared" ref="F26:G27" si="1">U26</f>
        <v>26.106919999999999</v>
      </c>
      <c r="G26" s="21">
        <f t="shared" si="1"/>
        <v>22</v>
      </c>
      <c r="I26" s="8">
        <f>IF(ISNUMBER(E26), FORECAST(E26,$F$25:$F$28,$E$25:$E$28), "")</f>
        <v>27.085875572991426</v>
      </c>
      <c r="J26" s="8">
        <f>IF(ISNUMBER(F26), F26-I26, "")</f>
        <v>-0.97895557299142766</v>
      </c>
      <c r="T26" s="8">
        <f>M3</f>
        <v>6.86</v>
      </c>
      <c r="U26" s="8">
        <f>N17</f>
        <v>26.106919999999999</v>
      </c>
      <c r="V26" s="8">
        <f>O17</f>
        <v>22</v>
      </c>
    </row>
    <row r="27" spans="1:26">
      <c r="A27" s="5" t="s">
        <v>42</v>
      </c>
      <c r="E27" s="21">
        <f t="shared" si="0"/>
        <v>10</v>
      </c>
      <c r="F27" s="21">
        <f t="shared" si="1"/>
        <v>-153.52799999999999</v>
      </c>
      <c r="G27" s="21">
        <f t="shared" si="1"/>
        <v>22</v>
      </c>
      <c r="I27" s="8">
        <f>IF(ISNUMBER(E27), FORECAST(E27,$F$25:$F$28,$E$25:$E$28), "")</f>
        <v>-153.99463548979259</v>
      </c>
      <c r="J27" s="8">
        <f>IF(ISNUMBER(F27), F27-I27, "")</f>
        <v>0.46663548979259417</v>
      </c>
      <c r="T27" s="8">
        <f>Q3</f>
        <v>10</v>
      </c>
      <c r="U27" s="8">
        <f>R17</f>
        <v>-153.52799999999999</v>
      </c>
      <c r="V27" s="8">
        <f>S17</f>
        <v>22</v>
      </c>
    </row>
    <row r="28" spans="1:26">
      <c r="E28" s="15"/>
      <c r="F28" s="15"/>
      <c r="T28" s="8"/>
      <c r="U28" s="8"/>
    </row>
    <row r="29" spans="1:26" ht="16">
      <c r="A29" s="1" t="s">
        <v>23</v>
      </c>
      <c r="E29" s="30" t="s">
        <v>55</v>
      </c>
      <c r="F29" s="15">
        <v>7</v>
      </c>
      <c r="G29" s="15" t="s">
        <v>54</v>
      </c>
    </row>
    <row r="30" spans="1:26">
      <c r="A30" s="5" t="s">
        <v>25</v>
      </c>
      <c r="T30" s="19" t="s">
        <v>53</v>
      </c>
      <c r="U30" s="18"/>
      <c r="V30" s="18"/>
      <c r="W30" s="18"/>
    </row>
    <row r="31" spans="1:26" ht="16">
      <c r="A31" s="10" t="s">
        <v>32</v>
      </c>
      <c r="B31" s="23">
        <f>F26</f>
        <v>26.106919999999999</v>
      </c>
      <c r="F31" s="3" t="s">
        <v>56</v>
      </c>
      <c r="G31" s="33" t="s">
        <v>58</v>
      </c>
      <c r="I31" s="3" t="s">
        <v>60</v>
      </c>
      <c r="T31" s="28" t="s">
        <v>44</v>
      </c>
      <c r="U31" s="29"/>
      <c r="V31" s="29"/>
      <c r="W31" s="28" t="s">
        <v>45</v>
      </c>
      <c r="X31" s="29"/>
      <c r="Y31" s="29"/>
      <c r="Z31" s="28" t="s">
        <v>46</v>
      </c>
    </row>
    <row r="32" spans="1:26" ht="16">
      <c r="A32" s="10" t="s">
        <v>34</v>
      </c>
      <c r="B32" s="23">
        <f>G32</f>
        <v>17.960267132867102</v>
      </c>
      <c r="E32" s="31" t="str">
        <f>_xlfn.CONCAT("measured ",I3, " to ",M3)</f>
        <v>measured 4 to 6.86</v>
      </c>
      <c r="F32" s="32">
        <f xml:space="preserve"> SLOPE(F25:F26,E25:E26)</f>
        <v>-58.190377622377611</v>
      </c>
      <c r="G32" s="22">
        <f xml:space="preserve"> FORECAST($F$29,F25:F26,E25:E26)</f>
        <v>17.960267132867102</v>
      </c>
      <c r="I32" s="22">
        <f xml:space="preserve"> -1 * F32  -54.2 -0.1984*G25</f>
        <v>-0.37442237762239206</v>
      </c>
      <c r="T32" s="28" t="s">
        <v>47</v>
      </c>
      <c r="U32" s="29"/>
      <c r="V32" s="29"/>
      <c r="W32" s="29"/>
      <c r="X32" s="29"/>
      <c r="Y32" s="29"/>
      <c r="Z32" s="29"/>
    </row>
    <row r="33" spans="1:26" ht="16">
      <c r="A33" s="10" t="s">
        <v>35</v>
      </c>
      <c r="B33" s="23">
        <f>I32</f>
        <v>-0.37442237762239206</v>
      </c>
      <c r="E33" s="31" t="str">
        <f>_xlfn.CONCAT("measured ",M3, " to ",Q3)</f>
        <v>measured 6.86 to 10</v>
      </c>
      <c r="F33" s="32">
        <f xml:space="preserve"> SLOPE(F26:F27,E26:E27)</f>
        <v>-57.208573248407653</v>
      </c>
      <c r="G33" s="22">
        <f xml:space="preserve"> FORECAST($F$29,F26:F27,E26:E27)</f>
        <v>18.097719745222946</v>
      </c>
      <c r="I33" s="22">
        <f xml:space="preserve"> -1 * F33  -54.2 -0.1984*G27</f>
        <v>-1.3562267515923496</v>
      </c>
      <c r="T33" s="28" t="s">
        <v>48</v>
      </c>
      <c r="U33" s="29"/>
      <c r="V33" s="29"/>
      <c r="W33" s="29"/>
      <c r="X33" s="29"/>
      <c r="Y33" s="28" t="s">
        <v>49</v>
      </c>
      <c r="Z33" s="29"/>
    </row>
    <row r="34" spans="1:26" ht="16">
      <c r="A34" s="10" t="s">
        <v>36</v>
      </c>
      <c r="B34" s="23">
        <f>F26</f>
        <v>26.106919999999999</v>
      </c>
      <c r="T34" s="28" t="s">
        <v>50</v>
      </c>
      <c r="U34" s="29"/>
      <c r="V34" s="29"/>
      <c r="W34" s="29"/>
      <c r="X34" s="29"/>
      <c r="Y34" s="28" t="s">
        <v>51</v>
      </c>
      <c r="Z34" s="29"/>
    </row>
    <row r="35" spans="1:26" ht="16">
      <c r="A35" s="10" t="s">
        <v>37</v>
      </c>
      <c r="B35" s="23">
        <f>G33</f>
        <v>18.097719745222946</v>
      </c>
      <c r="E35" s="31" t="s">
        <v>57</v>
      </c>
      <c r="F35" s="32">
        <f>-0.1984*(B25+273.15)</f>
        <v>-54.192959999999992</v>
      </c>
      <c r="T35" s="28" t="s">
        <v>52</v>
      </c>
      <c r="U35" s="29"/>
      <c r="V35" s="29"/>
      <c r="W35" s="29"/>
      <c r="X35" s="29"/>
      <c r="Y35" s="28"/>
      <c r="Z35" s="29"/>
    </row>
    <row r="36" spans="1:26">
      <c r="A36" s="10" t="s">
        <v>38</v>
      </c>
      <c r="B36" s="23">
        <f>I33</f>
        <v>-1.3562267515923496</v>
      </c>
    </row>
    <row r="37" spans="1:26">
      <c r="E37" s="10"/>
      <c r="F37" s="10"/>
    </row>
    <row r="38" spans="1:26">
      <c r="E38" s="10"/>
      <c r="F38" s="10"/>
    </row>
    <row r="39" spans="1:26" ht="16">
      <c r="A39" s="1" t="s">
        <v>21</v>
      </c>
    </row>
    <row r="40" spans="1:26">
      <c r="A40" s="5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0FA-BB80-4B4F-A2BD-530437E5DB7C}">
  <dimension ref="A1:Z40"/>
  <sheetViews>
    <sheetView zoomScale="120" zoomScaleNormal="120" workbookViewId="0">
      <selection activeCell="I33" sqref="I33"/>
    </sheetView>
  </sheetViews>
  <sheetFormatPr baseColWidth="10" defaultRowHeight="14"/>
  <cols>
    <col min="1" max="1" width="30.83203125" style="3" customWidth="1"/>
    <col min="2" max="2" width="11.83203125" style="3" customWidth="1"/>
    <col min="3" max="4" width="10.83203125" style="3" customWidth="1"/>
    <col min="5" max="7" width="8.83203125" style="3" customWidth="1"/>
    <col min="8" max="8" width="3.33203125" style="3" customWidth="1"/>
    <col min="9" max="19" width="8.83203125" style="3" customWidth="1"/>
    <col min="20" max="16384" width="10.83203125" style="3"/>
  </cols>
  <sheetData>
    <row r="1" spans="1:22" ht="18">
      <c r="A1" s="2" t="s">
        <v>28</v>
      </c>
    </row>
    <row r="2" spans="1:22">
      <c r="A2" s="5" t="s">
        <v>27</v>
      </c>
      <c r="I2" s="19" t="s">
        <v>13</v>
      </c>
      <c r="J2" s="19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2" s="4" customFormat="1" ht="30">
      <c r="A3" s="6" t="s">
        <v>8</v>
      </c>
      <c r="C3" s="17"/>
      <c r="D3" s="17" t="s">
        <v>12</v>
      </c>
      <c r="E3" s="16">
        <v>7</v>
      </c>
      <c r="F3" s="3" t="s">
        <v>29</v>
      </c>
      <c r="G3" s="25" t="s">
        <v>31</v>
      </c>
      <c r="H3" s="3"/>
      <c r="I3" s="26">
        <v>4</v>
      </c>
      <c r="J3" s="3" t="s">
        <v>29</v>
      </c>
      <c r="K3" s="25" t="s">
        <v>31</v>
      </c>
      <c r="L3" s="3"/>
      <c r="M3" s="7">
        <v>6.86</v>
      </c>
      <c r="N3" s="3" t="s">
        <v>29</v>
      </c>
      <c r="O3" s="25" t="s">
        <v>31</v>
      </c>
      <c r="P3" s="3"/>
      <c r="Q3" s="7">
        <v>9.18</v>
      </c>
      <c r="R3" s="3" t="s">
        <v>29</v>
      </c>
      <c r="S3" s="25" t="s">
        <v>31</v>
      </c>
      <c r="T3" s="3"/>
      <c r="U3" s="3"/>
      <c r="V3" s="3"/>
    </row>
    <row r="4" spans="1:22">
      <c r="E4" s="3" t="s">
        <v>15</v>
      </c>
      <c r="I4" s="19" t="s">
        <v>14</v>
      </c>
      <c r="J4" s="19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2" ht="18">
      <c r="A5" s="24" t="s">
        <v>9</v>
      </c>
      <c r="B5" s="18"/>
      <c r="C5" s="18"/>
      <c r="E5" s="20" t="s">
        <v>29</v>
      </c>
      <c r="F5" s="20" t="s">
        <v>30</v>
      </c>
      <c r="G5" s="20" t="s">
        <v>5</v>
      </c>
      <c r="I5" s="20" t="s">
        <v>29</v>
      </c>
      <c r="J5" s="20" t="s">
        <v>30</v>
      </c>
      <c r="K5" s="20" t="s">
        <v>5</v>
      </c>
      <c r="L5" s="20"/>
      <c r="M5" s="20" t="s">
        <v>29</v>
      </c>
      <c r="N5" s="20" t="s">
        <v>30</v>
      </c>
      <c r="O5" s="20" t="s">
        <v>5</v>
      </c>
      <c r="P5" s="20"/>
      <c r="Q5" s="20" t="s">
        <v>29</v>
      </c>
      <c r="R5" s="20" t="s">
        <v>30</v>
      </c>
      <c r="S5" s="20" t="s">
        <v>5</v>
      </c>
      <c r="T5" s="20"/>
    </row>
    <row r="6" spans="1:22" ht="16">
      <c r="A6" s="10" t="s">
        <v>10</v>
      </c>
      <c r="B6" s="11">
        <v>43617</v>
      </c>
      <c r="E6" s="7"/>
      <c r="F6" s="7">
        <v>23.177900000000001</v>
      </c>
      <c r="G6" s="7">
        <v>22</v>
      </c>
      <c r="I6" s="7"/>
      <c r="J6" s="36">
        <v>240</v>
      </c>
      <c r="K6" s="29">
        <v>25</v>
      </c>
      <c r="M6" s="7"/>
      <c r="N6" s="36">
        <v>70</v>
      </c>
      <c r="O6" s="29">
        <v>25</v>
      </c>
      <c r="Q6" s="7"/>
      <c r="R6" s="36">
        <v>-60</v>
      </c>
      <c r="S6" s="29">
        <v>25</v>
      </c>
    </row>
    <row r="7" spans="1:22">
      <c r="E7" s="7"/>
      <c r="F7" s="7"/>
      <c r="G7" s="7"/>
      <c r="I7" s="7"/>
      <c r="J7" s="7"/>
      <c r="K7" s="7"/>
      <c r="M7" s="7"/>
      <c r="N7" s="7"/>
      <c r="O7" s="7"/>
      <c r="Q7" s="7"/>
      <c r="R7" s="7"/>
      <c r="S7" s="7"/>
    </row>
    <row r="8" spans="1:22" ht="16">
      <c r="A8" s="1" t="s">
        <v>11</v>
      </c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</row>
    <row r="9" spans="1:22">
      <c r="A9" s="10" t="s">
        <v>3</v>
      </c>
      <c r="B9" s="7"/>
      <c r="E9" s="7"/>
      <c r="F9" s="7"/>
      <c r="G9" s="7"/>
      <c r="I9" s="7"/>
      <c r="J9" s="7"/>
      <c r="K9" s="7"/>
      <c r="M9" s="7"/>
      <c r="N9" s="7"/>
      <c r="O9" s="7"/>
      <c r="Q9" s="7"/>
      <c r="R9" s="7"/>
      <c r="S9" s="7"/>
    </row>
    <row r="10" spans="1:22">
      <c r="A10" s="10" t="s">
        <v>4</v>
      </c>
      <c r="B10" s="7"/>
      <c r="E10" s="7"/>
      <c r="F10" s="7"/>
      <c r="G10" s="7"/>
      <c r="I10" s="7"/>
      <c r="J10" s="7"/>
      <c r="K10" s="7"/>
      <c r="M10" s="7"/>
      <c r="N10" s="7"/>
      <c r="O10" s="7"/>
      <c r="Q10" s="7"/>
      <c r="R10" s="7"/>
      <c r="S10" s="7"/>
    </row>
    <row r="11" spans="1:22">
      <c r="A11" s="10" t="s">
        <v>33</v>
      </c>
      <c r="B11" s="3" t="s">
        <v>39</v>
      </c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</row>
    <row r="12" spans="1:22">
      <c r="A12" s="10" t="s">
        <v>32</v>
      </c>
      <c r="B12" s="12">
        <v>70</v>
      </c>
      <c r="E12" s="7"/>
      <c r="F12" s="7"/>
      <c r="G12" s="7"/>
      <c r="I12" s="7"/>
      <c r="J12" s="7"/>
      <c r="K12" s="7"/>
      <c r="M12" s="7"/>
      <c r="N12" s="7"/>
      <c r="O12" s="7"/>
      <c r="Q12" s="7"/>
      <c r="R12" s="7"/>
      <c r="S12" s="7"/>
    </row>
    <row r="13" spans="1:22">
      <c r="A13" s="10" t="s">
        <v>34</v>
      </c>
      <c r="B13" s="12">
        <v>61.678321678321701</v>
      </c>
      <c r="E13" s="7"/>
      <c r="F13" s="7"/>
      <c r="G13" s="7"/>
      <c r="I13" s="7"/>
      <c r="J13" s="7"/>
      <c r="K13" s="7"/>
      <c r="M13" s="7"/>
      <c r="N13" s="7"/>
      <c r="O13" s="7"/>
      <c r="Q13" s="7"/>
      <c r="R13" s="7"/>
      <c r="S13" s="7"/>
    </row>
    <row r="14" spans="1:22">
      <c r="A14" s="10" t="s">
        <v>35</v>
      </c>
      <c r="B14" s="12">
        <v>0.28055944055943005</v>
      </c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</row>
    <row r="15" spans="1:22">
      <c r="A15" s="10" t="s">
        <v>36</v>
      </c>
      <c r="B15" s="12">
        <v>70</v>
      </c>
      <c r="E15" s="7"/>
      <c r="F15" s="7"/>
      <c r="G15" s="7"/>
      <c r="I15" s="7"/>
      <c r="J15" s="7"/>
      <c r="K15" s="7"/>
      <c r="M15" s="7"/>
      <c r="N15" s="7"/>
      <c r="O15" s="7"/>
      <c r="Q15" s="7"/>
      <c r="R15" s="7"/>
      <c r="S15" s="7"/>
    </row>
    <row r="16" spans="1:22">
      <c r="A16" s="10" t="s">
        <v>37</v>
      </c>
      <c r="B16" s="12">
        <v>62.155172413793117</v>
      </c>
      <c r="E16" s="13"/>
      <c r="F16" s="13"/>
      <c r="G16" s="14"/>
    </row>
    <row r="17" spans="1:26">
      <c r="A17" s="10" t="s">
        <v>38</v>
      </c>
      <c r="B17" s="12">
        <v>-3.1255172413792982</v>
      </c>
      <c r="C17" s="10"/>
      <c r="D17" s="10" t="s">
        <v>0</v>
      </c>
      <c r="E17" s="27" t="e">
        <f>AVERAGE(E6:E15)</f>
        <v>#DIV/0!</v>
      </c>
      <c r="F17" s="27">
        <f>AVERAGE(F6:F15)</f>
        <v>23.177900000000001</v>
      </c>
      <c r="G17" s="27">
        <f>AVERAGE(G6:G15)</f>
        <v>22</v>
      </c>
      <c r="I17" s="27" t="e">
        <f>AVERAGE(I6:I15)</f>
        <v>#DIV/0!</v>
      </c>
      <c r="J17" s="27">
        <f>AVERAGE(J6:J15)</f>
        <v>240</v>
      </c>
      <c r="K17" s="27">
        <f>AVERAGE(K6:K15)</f>
        <v>25</v>
      </c>
      <c r="M17" s="27" t="e">
        <f>AVERAGE(M6:M15)</f>
        <v>#DIV/0!</v>
      </c>
      <c r="N17" s="27">
        <f>AVERAGE(N6:N15)</f>
        <v>70</v>
      </c>
      <c r="O17" s="27">
        <f>AVERAGE(O6:O15)</f>
        <v>25</v>
      </c>
      <c r="Q17" s="27" t="e">
        <f>AVERAGE(Q6:Q15)</f>
        <v>#DIV/0!</v>
      </c>
      <c r="R17" s="27">
        <f>AVERAGE(R6:R15)</f>
        <v>-60</v>
      </c>
      <c r="S17" s="27">
        <f>AVERAGE(S6:S15)</f>
        <v>25</v>
      </c>
    </row>
    <row r="18" spans="1:26">
      <c r="C18" s="10"/>
      <c r="D18" s="10" t="s">
        <v>1</v>
      </c>
      <c r="E18" s="27" t="e">
        <f>STDEV(E6:E15)</f>
        <v>#DIV/0!</v>
      </c>
      <c r="F18" s="27" t="e">
        <f>STDEV(F6:F15)</f>
        <v>#DIV/0!</v>
      </c>
      <c r="G18" s="27" t="e">
        <f>STDEV(G6:G15)</f>
        <v>#DIV/0!</v>
      </c>
      <c r="I18" s="27" t="e">
        <f>STDEV(I6:I15)</f>
        <v>#DIV/0!</v>
      </c>
      <c r="J18" s="27" t="e">
        <f>STDEV(J6:J15)</f>
        <v>#DIV/0!</v>
      </c>
      <c r="K18" s="27" t="e">
        <f>STDEV(K6:K15)</f>
        <v>#DIV/0!</v>
      </c>
      <c r="M18" s="27" t="e">
        <f>STDEV(M6:M15)</f>
        <v>#DIV/0!</v>
      </c>
      <c r="N18" s="27" t="e">
        <f>STDEV(N6:N15)</f>
        <v>#DIV/0!</v>
      </c>
      <c r="O18" s="27" t="e">
        <f>STDEV(O6:O15)</f>
        <v>#DIV/0!</v>
      </c>
      <c r="Q18" s="27" t="e">
        <f>STDEV(Q6:Q15)</f>
        <v>#DIV/0!</v>
      </c>
      <c r="R18" s="27" t="e">
        <f>STDEV(R6:R15)</f>
        <v>#DIV/0!</v>
      </c>
      <c r="S18" s="27" t="e">
        <f>STDEV(S6:S15)</f>
        <v>#DIV/0!</v>
      </c>
    </row>
    <row r="19" spans="1:26" ht="16">
      <c r="A19" s="1" t="s">
        <v>22</v>
      </c>
      <c r="C19" s="10"/>
      <c r="D19" s="10" t="s">
        <v>2</v>
      </c>
      <c r="E19" s="9" t="e">
        <f>E18/E17</f>
        <v>#DIV/0!</v>
      </c>
      <c r="F19" s="9" t="e">
        <f>F18/F17</f>
        <v>#DIV/0!</v>
      </c>
      <c r="G19" s="9" t="e">
        <f>G18/G17</f>
        <v>#DIV/0!</v>
      </c>
      <c r="I19" s="9" t="e">
        <f>I18/I17</f>
        <v>#DIV/0!</v>
      </c>
      <c r="J19" s="9" t="e">
        <f>J18/J17</f>
        <v>#DIV/0!</v>
      </c>
      <c r="K19" s="9" t="e">
        <f>K18/K17</f>
        <v>#DIV/0!</v>
      </c>
      <c r="M19" s="9" t="e">
        <f>M18/M17</f>
        <v>#DIV/0!</v>
      </c>
      <c r="N19" s="9" t="e">
        <f>N18/N17</f>
        <v>#DIV/0!</v>
      </c>
      <c r="O19" s="9" t="e">
        <f>O18/O17</f>
        <v>#DIV/0!</v>
      </c>
      <c r="Q19" s="9" t="e">
        <f>Q18/Q17</f>
        <v>#DIV/0!</v>
      </c>
      <c r="R19" s="9" t="e">
        <f>R18/R17</f>
        <v>#DIV/0!</v>
      </c>
      <c r="S19" s="9" t="e">
        <f>S18/S17</f>
        <v>#DIV/0!</v>
      </c>
    </row>
    <row r="20" spans="1:26">
      <c r="A20" s="5" t="s">
        <v>40</v>
      </c>
      <c r="C20" s="10"/>
      <c r="D20" s="10"/>
      <c r="E20" s="8"/>
      <c r="F20" s="8"/>
      <c r="I20" s="8"/>
      <c r="J20" s="8"/>
      <c r="M20" s="8"/>
      <c r="N20" s="8"/>
      <c r="Q20" s="8"/>
      <c r="R20" s="8"/>
    </row>
    <row r="22" spans="1:26" ht="16">
      <c r="A22" s="1" t="s">
        <v>41</v>
      </c>
      <c r="E22" s="19" t="s">
        <v>18</v>
      </c>
      <c r="F22" s="19"/>
      <c r="G22" s="18"/>
      <c r="H22" s="18"/>
      <c r="I22" s="18"/>
      <c r="J22" s="18"/>
    </row>
    <row r="23" spans="1:26">
      <c r="A23" s="5" t="s">
        <v>17</v>
      </c>
      <c r="E23" s="15" t="s">
        <v>6</v>
      </c>
      <c r="F23" s="3" t="s">
        <v>7</v>
      </c>
      <c r="T23" s="15" t="s">
        <v>6</v>
      </c>
      <c r="U23" s="3" t="s">
        <v>7</v>
      </c>
    </row>
    <row r="24" spans="1:26">
      <c r="A24" s="5" t="s">
        <v>16</v>
      </c>
      <c r="E24" s="3" t="s">
        <v>29</v>
      </c>
      <c r="F24" s="3" t="s">
        <v>43</v>
      </c>
      <c r="I24" s="3" t="s">
        <v>19</v>
      </c>
      <c r="J24" s="3" t="s">
        <v>20</v>
      </c>
      <c r="T24" s="3" t="s">
        <v>29</v>
      </c>
      <c r="U24" s="3" t="s">
        <v>43</v>
      </c>
      <c r="V24" s="3" t="s">
        <v>59</v>
      </c>
    </row>
    <row r="25" spans="1:26">
      <c r="E25" s="21">
        <f>T25</f>
        <v>4</v>
      </c>
      <c r="F25" s="21">
        <f>U25</f>
        <v>240</v>
      </c>
      <c r="G25" s="21">
        <f>V25</f>
        <v>25</v>
      </c>
      <c r="I25" s="8">
        <f>IF(ISNUMBER(E25), FORECAST(E25,$F$25:$F$28,$E$25:$E$28), "")</f>
        <v>238.70199829679356</v>
      </c>
      <c r="J25" s="8">
        <f>IF(ISNUMBER(F25), F25-I25, "")</f>
        <v>1.2980017032064382</v>
      </c>
      <c r="T25" s="8">
        <f>I3</f>
        <v>4</v>
      </c>
      <c r="U25" s="8">
        <f>J17</f>
        <v>240</v>
      </c>
      <c r="V25" s="8">
        <f>K17</f>
        <v>25</v>
      </c>
    </row>
    <row r="26" spans="1:26" ht="16">
      <c r="A26" s="1" t="s">
        <v>24</v>
      </c>
      <c r="E26" s="21">
        <f t="shared" ref="E26:G27" si="0">T26</f>
        <v>6.86</v>
      </c>
      <c r="F26" s="21">
        <f t="shared" si="0"/>
        <v>70</v>
      </c>
      <c r="G26" s="21">
        <f t="shared" si="0"/>
        <v>25</v>
      </c>
      <c r="I26" s="8">
        <f>IF(ISNUMBER(E26), FORECAST(E26,$F$25:$F$28,$E$25:$E$28), "")</f>
        <v>72.898124492503825</v>
      </c>
      <c r="J26" s="8">
        <f>IF(ISNUMBER(F26), F26-I26, "")</f>
        <v>-2.8981244925038254</v>
      </c>
      <c r="T26" s="8">
        <f>M3</f>
        <v>6.86</v>
      </c>
      <c r="U26" s="8">
        <f>N17</f>
        <v>70</v>
      </c>
      <c r="V26" s="8">
        <f>O17</f>
        <v>25</v>
      </c>
    </row>
    <row r="27" spans="1:26">
      <c r="A27" s="5" t="s">
        <v>42</v>
      </c>
      <c r="E27" s="21">
        <f t="shared" si="0"/>
        <v>9.18</v>
      </c>
      <c r="F27" s="21">
        <f t="shared" si="0"/>
        <v>-60</v>
      </c>
      <c r="G27" s="21">
        <f t="shared" si="0"/>
        <v>25</v>
      </c>
      <c r="I27" s="8">
        <f>IF(ISNUMBER(E27), FORECAST(E27,$F$25:$F$28,$E$25:$E$28), "")</f>
        <v>-61.600122789297529</v>
      </c>
      <c r="J27" s="8">
        <f>IF(ISNUMBER(F27), F27-I27, "")</f>
        <v>1.6001227892975294</v>
      </c>
      <c r="T27" s="8">
        <f>Q3</f>
        <v>9.18</v>
      </c>
      <c r="U27" s="8">
        <f>R17</f>
        <v>-60</v>
      </c>
      <c r="V27" s="8">
        <f>S17</f>
        <v>25</v>
      </c>
    </row>
    <row r="28" spans="1:26">
      <c r="E28" s="15"/>
      <c r="F28" s="15"/>
      <c r="T28" s="8"/>
      <c r="U28" s="8"/>
    </row>
    <row r="29" spans="1:26" ht="16">
      <c r="A29" s="1" t="s">
        <v>23</v>
      </c>
      <c r="E29" s="30" t="s">
        <v>55</v>
      </c>
      <c r="F29" s="15">
        <v>7</v>
      </c>
      <c r="G29" s="15" t="s">
        <v>54</v>
      </c>
    </row>
    <row r="30" spans="1:26">
      <c r="A30" s="5" t="s">
        <v>25</v>
      </c>
      <c r="T30" s="19" t="s">
        <v>53</v>
      </c>
      <c r="U30" s="18"/>
      <c r="V30" s="18"/>
      <c r="W30" s="18"/>
    </row>
    <row r="31" spans="1:26" ht="16">
      <c r="A31" s="10" t="s">
        <v>32</v>
      </c>
      <c r="B31" s="23">
        <f>F26</f>
        <v>70</v>
      </c>
      <c r="C31" s="37">
        <f>B12-B31</f>
        <v>0</v>
      </c>
      <c r="F31" s="3" t="s">
        <v>56</v>
      </c>
      <c r="G31" s="33" t="s">
        <v>58</v>
      </c>
      <c r="I31" s="3" t="s">
        <v>60</v>
      </c>
      <c r="T31" s="28" t="s">
        <v>44</v>
      </c>
      <c r="U31" s="29"/>
      <c r="V31" s="29"/>
      <c r="W31" s="28" t="s">
        <v>45</v>
      </c>
      <c r="X31" s="29"/>
      <c r="Y31" s="29"/>
      <c r="Z31" s="28" t="s">
        <v>46</v>
      </c>
    </row>
    <row r="32" spans="1:26" ht="16">
      <c r="A32" s="10" t="s">
        <v>34</v>
      </c>
      <c r="B32" s="23">
        <f>G32</f>
        <v>61.678321678321652</v>
      </c>
      <c r="C32" s="37">
        <f t="shared" ref="C32:C36" si="1">B13-B32</f>
        <v>0</v>
      </c>
      <c r="E32" s="31" t="str">
        <f>_xlfn.CONCAT("measured ",I3, " to ",M3)</f>
        <v>measured 4 to 6.86</v>
      </c>
      <c r="F32" s="32">
        <f xml:space="preserve"> SLOPE(F25:F26,E25:E26)</f>
        <v>-59.440559440559426</v>
      </c>
      <c r="G32" s="22">
        <f xml:space="preserve"> FORECAST($F$29,F25:F26,E25:E26)</f>
        <v>61.678321678321652</v>
      </c>
      <c r="I32" s="22">
        <f xml:space="preserve"> -1 * F32  -54.2 -0.1984*G26</f>
        <v>0.28055944055942295</v>
      </c>
      <c r="T32" s="28" t="s">
        <v>47</v>
      </c>
      <c r="U32" s="29"/>
      <c r="V32" s="29"/>
      <c r="W32" s="29"/>
      <c r="X32" s="29"/>
      <c r="Y32" s="29"/>
      <c r="Z32" s="29"/>
    </row>
    <row r="33" spans="1:26" ht="16">
      <c r="A33" s="10" t="s">
        <v>35</v>
      </c>
      <c r="B33" s="23">
        <f>I32</f>
        <v>0.28055944055942295</v>
      </c>
      <c r="C33" s="37">
        <f t="shared" si="1"/>
        <v>7.1054273576010019E-15</v>
      </c>
      <c r="E33" s="31" t="str">
        <f>_xlfn.CONCAT("measured ",M3, " to ",Q3)</f>
        <v>measured 6.86 to 9.18</v>
      </c>
      <c r="F33" s="32">
        <f xml:space="preserve"> SLOPE(F26:F27,E26:E27)</f>
        <v>-56.034482758620705</v>
      </c>
      <c r="G33" s="22">
        <f xml:space="preserve"> FORECAST($F$29,F26:F27,E26:E27)</f>
        <v>62.155172413793082</v>
      </c>
      <c r="I33" s="22">
        <f xml:space="preserve"> -1 * F33  -54.2 -0.1984*G27</f>
        <v>-3.1255172413792982</v>
      </c>
      <c r="T33" s="28" t="s">
        <v>48</v>
      </c>
      <c r="U33" s="29"/>
      <c r="V33" s="29"/>
      <c r="W33" s="29"/>
      <c r="X33" s="29"/>
      <c r="Y33" s="28" t="s">
        <v>49</v>
      </c>
      <c r="Z33" s="29"/>
    </row>
    <row r="34" spans="1:26" ht="16">
      <c r="A34" s="10" t="s">
        <v>36</v>
      </c>
      <c r="B34" s="23">
        <f>F26</f>
        <v>70</v>
      </c>
      <c r="C34" s="37">
        <f t="shared" si="1"/>
        <v>0</v>
      </c>
      <c r="T34" s="28" t="s">
        <v>50</v>
      </c>
      <c r="U34" s="29"/>
      <c r="V34" s="29"/>
      <c r="W34" s="29"/>
      <c r="X34" s="29"/>
      <c r="Y34" s="28" t="s">
        <v>51</v>
      </c>
      <c r="Z34" s="29"/>
    </row>
    <row r="35" spans="1:26" ht="16">
      <c r="A35" s="10" t="s">
        <v>37</v>
      </c>
      <c r="B35" s="23">
        <f>G33</f>
        <v>62.155172413793082</v>
      </c>
      <c r="C35" s="37">
        <f t="shared" si="1"/>
        <v>0</v>
      </c>
      <c r="E35" s="31" t="s">
        <v>57</v>
      </c>
      <c r="F35" s="32">
        <f>-0.1984*(B25+273.15)</f>
        <v>-54.192959999999992</v>
      </c>
      <c r="T35" s="28" t="s">
        <v>52</v>
      </c>
      <c r="U35" s="29"/>
      <c r="V35" s="29"/>
      <c r="W35" s="29"/>
      <c r="X35" s="29"/>
      <c r="Y35" s="28"/>
      <c r="Z35" s="29"/>
    </row>
    <row r="36" spans="1:26">
      <c r="A36" s="10" t="s">
        <v>38</v>
      </c>
      <c r="B36" s="23">
        <f>I33</f>
        <v>-3.1255172413792982</v>
      </c>
      <c r="C36" s="37">
        <f t="shared" si="1"/>
        <v>0</v>
      </c>
    </row>
    <row r="37" spans="1:26">
      <c r="E37" s="10"/>
      <c r="F37" s="10"/>
    </row>
    <row r="38" spans="1:26">
      <c r="E38" s="10"/>
      <c r="F38" s="10"/>
    </row>
    <row r="39" spans="1:26" ht="16">
      <c r="A39" s="1" t="s">
        <v>21</v>
      </c>
    </row>
    <row r="40" spans="1:26">
      <c r="A40" s="5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2EC5-8B73-1343-9F04-731D6B235C74}">
  <dimension ref="A1:Z40"/>
  <sheetViews>
    <sheetView zoomScale="120" zoomScaleNormal="120" workbookViewId="0">
      <selection activeCell="I32" sqref="I32"/>
    </sheetView>
  </sheetViews>
  <sheetFormatPr baseColWidth="10" defaultRowHeight="14"/>
  <cols>
    <col min="1" max="1" width="30.83203125" style="3" customWidth="1"/>
    <col min="2" max="2" width="11.83203125" style="3" customWidth="1"/>
    <col min="3" max="4" width="10.83203125" style="3" customWidth="1"/>
    <col min="5" max="7" width="8.83203125" style="3" customWidth="1"/>
    <col min="8" max="8" width="3.33203125" style="3" customWidth="1"/>
    <col min="9" max="19" width="8.83203125" style="3" customWidth="1"/>
    <col min="20" max="16384" width="10.83203125" style="3"/>
  </cols>
  <sheetData>
    <row r="1" spans="1:22" ht="18">
      <c r="A1" s="2" t="s">
        <v>28</v>
      </c>
    </row>
    <row r="2" spans="1:22">
      <c r="A2" s="5" t="s">
        <v>27</v>
      </c>
      <c r="I2" s="19" t="s">
        <v>13</v>
      </c>
      <c r="J2" s="19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2" s="4" customFormat="1" ht="30">
      <c r="A3" s="6" t="s">
        <v>8</v>
      </c>
      <c r="C3" s="17"/>
      <c r="D3" s="17" t="s">
        <v>12</v>
      </c>
      <c r="E3" s="16">
        <v>7</v>
      </c>
      <c r="F3" s="3" t="s">
        <v>29</v>
      </c>
      <c r="G3" s="25" t="s">
        <v>31</v>
      </c>
      <c r="H3" s="3"/>
      <c r="I3" s="26">
        <v>4</v>
      </c>
      <c r="J3" s="3" t="s">
        <v>29</v>
      </c>
      <c r="K3" s="25" t="s">
        <v>31</v>
      </c>
      <c r="L3" s="3"/>
      <c r="M3" s="7">
        <v>6.86</v>
      </c>
      <c r="N3" s="3" t="s">
        <v>29</v>
      </c>
      <c r="O3" s="25" t="s">
        <v>31</v>
      </c>
      <c r="P3" s="3"/>
      <c r="Q3" s="7">
        <v>9.18</v>
      </c>
      <c r="R3" s="3" t="s">
        <v>29</v>
      </c>
      <c r="S3" s="25" t="s">
        <v>31</v>
      </c>
      <c r="T3" s="3"/>
      <c r="U3" s="3"/>
      <c r="V3" s="3"/>
    </row>
    <row r="4" spans="1:22">
      <c r="E4" s="3" t="s">
        <v>15</v>
      </c>
      <c r="I4" s="19" t="s">
        <v>14</v>
      </c>
      <c r="J4" s="19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2" ht="18">
      <c r="A5" s="24" t="s">
        <v>9</v>
      </c>
      <c r="B5" s="18"/>
      <c r="C5" s="18"/>
      <c r="E5" s="20" t="s">
        <v>29</v>
      </c>
      <c r="F5" s="20" t="s">
        <v>30</v>
      </c>
      <c r="G5" s="20" t="s">
        <v>5</v>
      </c>
      <c r="I5" s="20" t="s">
        <v>29</v>
      </c>
      <c r="J5" s="20" t="s">
        <v>30</v>
      </c>
      <c r="K5" s="20" t="s">
        <v>5</v>
      </c>
      <c r="L5" s="20"/>
      <c r="M5" s="20" t="s">
        <v>29</v>
      </c>
      <c r="N5" s="20" t="s">
        <v>30</v>
      </c>
      <c r="O5" s="20" t="s">
        <v>5</v>
      </c>
      <c r="P5" s="20"/>
      <c r="Q5" s="20" t="s">
        <v>29</v>
      </c>
      <c r="R5" s="20" t="s">
        <v>30</v>
      </c>
      <c r="S5" s="20" t="s">
        <v>5</v>
      </c>
      <c r="T5" s="20"/>
    </row>
    <row r="6" spans="1:22" ht="16">
      <c r="A6" s="10" t="s">
        <v>10</v>
      </c>
      <c r="B6" s="11">
        <v>44083</v>
      </c>
      <c r="E6" s="7"/>
      <c r="F6" s="7">
        <v>23.177900000000001</v>
      </c>
      <c r="G6" s="7">
        <v>22</v>
      </c>
      <c r="I6" s="7"/>
      <c r="J6" s="34">
        <v>232.48</v>
      </c>
      <c r="K6" s="35">
        <v>25.6</v>
      </c>
      <c r="M6" s="7"/>
      <c r="N6" s="34">
        <v>73.459999999999994</v>
      </c>
      <c r="O6" s="35">
        <v>26</v>
      </c>
      <c r="Q6" s="7"/>
      <c r="R6" s="34">
        <v>-42.74</v>
      </c>
      <c r="S6" s="35">
        <v>25.4</v>
      </c>
    </row>
    <row r="7" spans="1:22">
      <c r="E7" s="7"/>
      <c r="F7" s="7"/>
      <c r="G7" s="7"/>
      <c r="I7" s="7"/>
      <c r="J7" s="7"/>
      <c r="K7" s="7"/>
      <c r="M7" s="7"/>
      <c r="N7" s="7"/>
      <c r="O7" s="7"/>
      <c r="Q7" s="7"/>
      <c r="R7" s="7"/>
      <c r="S7" s="7"/>
    </row>
    <row r="8" spans="1:22" ht="16">
      <c r="A8" s="1" t="s">
        <v>11</v>
      </c>
      <c r="E8" s="7"/>
      <c r="F8" s="7"/>
      <c r="G8" s="7"/>
      <c r="I8" s="7"/>
      <c r="J8" s="7"/>
      <c r="K8" s="7"/>
      <c r="M8" s="7"/>
      <c r="N8" s="7"/>
      <c r="O8" s="7"/>
      <c r="Q8" s="7"/>
      <c r="R8" s="7"/>
      <c r="S8" s="7"/>
    </row>
    <row r="9" spans="1:22">
      <c r="A9" s="10" t="s">
        <v>3</v>
      </c>
      <c r="B9" s="7"/>
      <c r="E9" s="7"/>
      <c r="F9" s="7"/>
      <c r="G9" s="7"/>
      <c r="I9" s="7"/>
      <c r="J9" s="7"/>
      <c r="K9" s="7"/>
      <c r="M9" s="7"/>
      <c r="N9" s="7"/>
      <c r="O9" s="7"/>
      <c r="Q9" s="7"/>
      <c r="R9" s="7"/>
      <c r="S9" s="7"/>
    </row>
    <row r="10" spans="1:22">
      <c r="A10" s="10" t="s">
        <v>4</v>
      </c>
      <c r="B10" s="7"/>
      <c r="E10" s="7"/>
      <c r="F10" s="7"/>
      <c r="G10" s="7"/>
      <c r="I10" s="7"/>
      <c r="J10" s="7"/>
      <c r="K10" s="7"/>
      <c r="M10" s="7"/>
      <c r="N10" s="7"/>
      <c r="O10" s="7"/>
      <c r="Q10" s="7"/>
      <c r="R10" s="7"/>
      <c r="S10" s="7"/>
    </row>
    <row r="11" spans="1:22">
      <c r="A11" s="10" t="s">
        <v>33</v>
      </c>
      <c r="B11" s="3" t="s">
        <v>39</v>
      </c>
      <c r="E11" s="7"/>
      <c r="F11" s="7"/>
      <c r="G11" s="7"/>
      <c r="I11" s="7"/>
      <c r="J11" s="7"/>
      <c r="K11" s="7"/>
      <c r="M11" s="7"/>
      <c r="N11" s="7"/>
      <c r="O11" s="7"/>
      <c r="Q11" s="7"/>
      <c r="R11" s="7"/>
      <c r="S11" s="7"/>
    </row>
    <row r="12" spans="1:22">
      <c r="A12" s="10" t="s">
        <v>32</v>
      </c>
      <c r="B12" s="12">
        <v>73.459999999999994</v>
      </c>
      <c r="E12" s="7"/>
      <c r="F12" s="7"/>
      <c r="G12" s="7"/>
      <c r="I12" s="7"/>
      <c r="J12" s="7"/>
      <c r="K12" s="7"/>
      <c r="M12" s="7"/>
      <c r="N12" s="7"/>
      <c r="O12" s="7"/>
      <c r="Q12" s="7"/>
      <c r="R12" s="7"/>
      <c r="S12" s="7"/>
    </row>
    <row r="13" spans="1:22">
      <c r="A13" s="10" t="s">
        <v>34</v>
      </c>
      <c r="B13" s="12">
        <v>65.675804195804218</v>
      </c>
      <c r="E13" s="7"/>
      <c r="F13" s="7"/>
      <c r="G13" s="7"/>
      <c r="I13" s="7"/>
      <c r="J13" s="7"/>
      <c r="K13" s="7"/>
      <c r="M13" s="7"/>
      <c r="N13" s="7"/>
      <c r="O13" s="7"/>
      <c r="Q13" s="7"/>
      <c r="R13" s="7"/>
      <c r="S13" s="7"/>
    </row>
    <row r="14" spans="1:22">
      <c r="A14" s="10" t="s">
        <v>35</v>
      </c>
      <c r="B14" s="12">
        <v>-3.7570013986014166</v>
      </c>
      <c r="E14" s="7"/>
      <c r="F14" s="7"/>
      <c r="G14" s="7"/>
      <c r="I14" s="7"/>
      <c r="J14" s="7"/>
      <c r="K14" s="7"/>
      <c r="M14" s="7"/>
      <c r="N14" s="7"/>
      <c r="O14" s="7"/>
      <c r="Q14" s="7"/>
      <c r="R14" s="7"/>
      <c r="S14" s="7"/>
    </row>
    <row r="15" spans="1:22">
      <c r="A15" s="10" t="s">
        <v>36</v>
      </c>
      <c r="B15" s="12">
        <v>73.459999999999994</v>
      </c>
      <c r="E15" s="7"/>
      <c r="F15" s="7"/>
      <c r="G15" s="7"/>
      <c r="I15" s="7"/>
      <c r="J15" s="7"/>
      <c r="K15" s="7"/>
      <c r="M15" s="7"/>
      <c r="N15" s="7"/>
      <c r="O15" s="7"/>
      <c r="Q15" s="7"/>
      <c r="R15" s="7"/>
      <c r="S15" s="7"/>
    </row>
    <row r="16" spans="1:22">
      <c r="A16" s="10" t="s">
        <v>37</v>
      </c>
      <c r="B16" s="12">
        <v>66.447931034482764</v>
      </c>
      <c r="E16" s="13"/>
      <c r="F16" s="13"/>
      <c r="G16" s="14"/>
    </row>
    <row r="17" spans="1:26">
      <c r="A17" s="10" t="s">
        <v>38</v>
      </c>
      <c r="B17" s="12">
        <v>-9.1531531034482718</v>
      </c>
      <c r="C17" s="10"/>
      <c r="D17" s="10" t="s">
        <v>0</v>
      </c>
      <c r="E17" s="27" t="e">
        <f>AVERAGE(E6:E15)</f>
        <v>#DIV/0!</v>
      </c>
      <c r="F17" s="27">
        <f>AVERAGE(F6:F15)</f>
        <v>23.177900000000001</v>
      </c>
      <c r="G17" s="27">
        <f>AVERAGE(G6:G15)</f>
        <v>22</v>
      </c>
      <c r="I17" s="27" t="e">
        <f>AVERAGE(I6:I15)</f>
        <v>#DIV/0!</v>
      </c>
      <c r="J17" s="27">
        <f>AVERAGE(J6:J15)</f>
        <v>232.48</v>
      </c>
      <c r="K17" s="27">
        <f>AVERAGE(K6:K15)</f>
        <v>25.6</v>
      </c>
      <c r="M17" s="27" t="e">
        <f>AVERAGE(M6:M15)</f>
        <v>#DIV/0!</v>
      </c>
      <c r="N17" s="27">
        <f>AVERAGE(N6:N15)</f>
        <v>73.459999999999994</v>
      </c>
      <c r="O17" s="27">
        <f>AVERAGE(O6:O15)</f>
        <v>26</v>
      </c>
      <c r="Q17" s="27" t="e">
        <f>AVERAGE(Q6:Q15)</f>
        <v>#DIV/0!</v>
      </c>
      <c r="R17" s="27">
        <f>AVERAGE(R6:R15)</f>
        <v>-42.74</v>
      </c>
      <c r="S17" s="27">
        <f>AVERAGE(S6:S15)</f>
        <v>25.4</v>
      </c>
    </row>
    <row r="18" spans="1:26">
      <c r="C18" s="10"/>
      <c r="D18" s="10" t="s">
        <v>1</v>
      </c>
      <c r="E18" s="27" t="e">
        <f>STDEV(E6:E15)</f>
        <v>#DIV/0!</v>
      </c>
      <c r="F18" s="27" t="e">
        <f>STDEV(F6:F15)</f>
        <v>#DIV/0!</v>
      </c>
      <c r="G18" s="27" t="e">
        <f>STDEV(G6:G15)</f>
        <v>#DIV/0!</v>
      </c>
      <c r="I18" s="27" t="e">
        <f>STDEV(I6:I15)</f>
        <v>#DIV/0!</v>
      </c>
      <c r="J18" s="27" t="e">
        <f>STDEV(J6:J15)</f>
        <v>#DIV/0!</v>
      </c>
      <c r="K18" s="27" t="e">
        <f>STDEV(K6:K15)</f>
        <v>#DIV/0!</v>
      </c>
      <c r="M18" s="27" t="e">
        <f>STDEV(M6:M15)</f>
        <v>#DIV/0!</v>
      </c>
      <c r="N18" s="27" t="e">
        <f>STDEV(N6:N15)</f>
        <v>#DIV/0!</v>
      </c>
      <c r="O18" s="27" t="e">
        <f>STDEV(O6:O15)</f>
        <v>#DIV/0!</v>
      </c>
      <c r="Q18" s="27" t="e">
        <f>STDEV(Q6:Q15)</f>
        <v>#DIV/0!</v>
      </c>
      <c r="R18" s="27" t="e">
        <f>STDEV(R6:R15)</f>
        <v>#DIV/0!</v>
      </c>
      <c r="S18" s="27" t="e">
        <f>STDEV(S6:S15)</f>
        <v>#DIV/0!</v>
      </c>
    </row>
    <row r="19" spans="1:26" ht="16">
      <c r="A19" s="1" t="s">
        <v>22</v>
      </c>
      <c r="C19" s="10"/>
      <c r="D19" s="10" t="s">
        <v>2</v>
      </c>
      <c r="E19" s="9" t="e">
        <f>E18/E17</f>
        <v>#DIV/0!</v>
      </c>
      <c r="F19" s="9" t="e">
        <f>F18/F17</f>
        <v>#DIV/0!</v>
      </c>
      <c r="G19" s="9" t="e">
        <f>G18/G17</f>
        <v>#DIV/0!</v>
      </c>
      <c r="I19" s="9" t="e">
        <f>I18/I17</f>
        <v>#DIV/0!</v>
      </c>
      <c r="J19" s="9" t="e">
        <f>J18/J17</f>
        <v>#DIV/0!</v>
      </c>
      <c r="K19" s="9" t="e">
        <f>K18/K17</f>
        <v>#DIV/0!</v>
      </c>
      <c r="M19" s="9" t="e">
        <f>M18/M17</f>
        <v>#DIV/0!</v>
      </c>
      <c r="N19" s="9" t="e">
        <f>N18/N17</f>
        <v>#DIV/0!</v>
      </c>
      <c r="O19" s="9" t="e">
        <f>O18/O17</f>
        <v>#DIV/0!</v>
      </c>
      <c r="Q19" s="9" t="e">
        <f>Q18/Q17</f>
        <v>#DIV/0!</v>
      </c>
      <c r="R19" s="9" t="e">
        <f>R18/R17</f>
        <v>#DIV/0!</v>
      </c>
      <c r="S19" s="9" t="e">
        <f>S18/S17</f>
        <v>#DIV/0!</v>
      </c>
    </row>
    <row r="20" spans="1:26">
      <c r="A20" s="5" t="s">
        <v>40</v>
      </c>
      <c r="C20" s="10"/>
      <c r="D20" s="10"/>
      <c r="E20" s="8"/>
      <c r="F20" s="8"/>
      <c r="I20" s="8"/>
      <c r="J20" s="8"/>
      <c r="M20" s="8"/>
      <c r="N20" s="8"/>
      <c r="Q20" s="8"/>
      <c r="R20" s="8"/>
    </row>
    <row r="22" spans="1:26" ht="16">
      <c r="A22" s="1" t="s">
        <v>41</v>
      </c>
      <c r="E22" s="19" t="s">
        <v>18</v>
      </c>
      <c r="F22" s="19"/>
      <c r="G22" s="18"/>
      <c r="H22" s="18"/>
      <c r="I22" s="18"/>
      <c r="J22" s="18"/>
    </row>
    <row r="23" spans="1:26">
      <c r="A23" s="5" t="s">
        <v>17</v>
      </c>
      <c r="E23" s="15" t="s">
        <v>6</v>
      </c>
      <c r="F23" s="3" t="s">
        <v>7</v>
      </c>
      <c r="T23" s="15" t="s">
        <v>6</v>
      </c>
      <c r="U23" s="3" t="s">
        <v>7</v>
      </c>
    </row>
    <row r="24" spans="1:26">
      <c r="A24" s="5" t="s">
        <v>16</v>
      </c>
      <c r="E24" s="3" t="s">
        <v>29</v>
      </c>
      <c r="F24" s="3" t="s">
        <v>43</v>
      </c>
      <c r="I24" s="3" t="s">
        <v>19</v>
      </c>
      <c r="J24" s="3" t="s">
        <v>20</v>
      </c>
      <c r="T24" s="3" t="s">
        <v>29</v>
      </c>
      <c r="U24" s="3" t="s">
        <v>43</v>
      </c>
      <c r="V24" s="3" t="s">
        <v>59</v>
      </c>
    </row>
    <row r="25" spans="1:26">
      <c r="E25" s="21">
        <f>T25</f>
        <v>4</v>
      </c>
      <c r="F25" s="21">
        <f>U25</f>
        <v>232.48</v>
      </c>
      <c r="G25" s="21">
        <f>V25</f>
        <v>25.6</v>
      </c>
      <c r="I25" s="8">
        <f>IF(ISNUMBER(E25), FORECAST(E25,$F$25:$F$28,$E$25:$E$28), "")</f>
        <v>230.37824807399051</v>
      </c>
      <c r="J25" s="8">
        <f>IF(ISNUMBER(F25), F25-I25, "")</f>
        <v>2.1017519260094844</v>
      </c>
      <c r="T25" s="8">
        <f>I3</f>
        <v>4</v>
      </c>
      <c r="U25" s="8">
        <f>J17</f>
        <v>232.48</v>
      </c>
      <c r="V25" s="8">
        <f>K17</f>
        <v>25.6</v>
      </c>
    </row>
    <row r="26" spans="1:26" ht="16">
      <c r="A26" s="1" t="s">
        <v>24</v>
      </c>
      <c r="E26" s="21">
        <f t="shared" ref="E26:G27" si="0">T26</f>
        <v>6.86</v>
      </c>
      <c r="F26" s="21">
        <f t="shared" si="0"/>
        <v>73.459999999999994</v>
      </c>
      <c r="G26" s="21">
        <f t="shared" si="0"/>
        <v>26</v>
      </c>
      <c r="I26" s="8">
        <f>IF(ISNUMBER(E26), FORECAST(E26,$F$25:$F$28,$E$25:$E$28), "")</f>
        <v>78.152704731348877</v>
      </c>
      <c r="J26" s="8">
        <f>IF(ISNUMBER(F26), F26-I26, "")</f>
        <v>-4.6927047313488828</v>
      </c>
      <c r="T26" s="8">
        <f>M3</f>
        <v>6.86</v>
      </c>
      <c r="U26" s="8">
        <f>N17</f>
        <v>73.459999999999994</v>
      </c>
      <c r="V26" s="8">
        <f>O17</f>
        <v>26</v>
      </c>
    </row>
    <row r="27" spans="1:26">
      <c r="A27" s="5" t="s">
        <v>42</v>
      </c>
      <c r="E27" s="21">
        <f t="shared" si="0"/>
        <v>9.18</v>
      </c>
      <c r="F27" s="21">
        <f t="shared" si="0"/>
        <v>-42.74</v>
      </c>
      <c r="G27" s="21">
        <f t="shared" si="0"/>
        <v>25.4</v>
      </c>
      <c r="I27" s="8">
        <f>IF(ISNUMBER(E27), FORECAST(E27,$F$25:$F$28,$E$25:$E$28), "")</f>
        <v>-45.330952805339336</v>
      </c>
      <c r="J27" s="8">
        <f>IF(ISNUMBER(F27), F27-I27, "")</f>
        <v>2.5909528053393345</v>
      </c>
      <c r="T27" s="8">
        <f>Q3</f>
        <v>9.18</v>
      </c>
      <c r="U27" s="8">
        <f>R17</f>
        <v>-42.74</v>
      </c>
      <c r="V27" s="8">
        <f>S17</f>
        <v>25.4</v>
      </c>
    </row>
    <row r="28" spans="1:26">
      <c r="E28" s="15"/>
      <c r="F28" s="15"/>
      <c r="T28" s="8"/>
      <c r="U28" s="8"/>
    </row>
    <row r="29" spans="1:26" ht="16">
      <c r="A29" s="1" t="s">
        <v>23</v>
      </c>
      <c r="E29" s="30" t="s">
        <v>55</v>
      </c>
      <c r="F29" s="15">
        <v>7</v>
      </c>
      <c r="G29" s="15" t="s">
        <v>54</v>
      </c>
    </row>
    <row r="30" spans="1:26">
      <c r="A30" s="5" t="s">
        <v>25</v>
      </c>
      <c r="T30" s="19" t="s">
        <v>53</v>
      </c>
      <c r="U30" s="18"/>
      <c r="V30" s="18"/>
      <c r="W30" s="18"/>
    </row>
    <row r="31" spans="1:26" ht="16">
      <c r="A31" s="10" t="s">
        <v>32</v>
      </c>
      <c r="B31" s="23">
        <f>F26</f>
        <v>73.459999999999994</v>
      </c>
      <c r="C31" s="37">
        <f>B12-B31</f>
        <v>0</v>
      </c>
      <c r="F31" s="3" t="s">
        <v>56</v>
      </c>
      <c r="G31" s="33" t="s">
        <v>58</v>
      </c>
      <c r="I31" s="3" t="s">
        <v>60</v>
      </c>
      <c r="T31" s="28" t="s">
        <v>44</v>
      </c>
      <c r="U31" s="29"/>
      <c r="V31" s="29"/>
      <c r="W31" s="28" t="s">
        <v>45</v>
      </c>
      <c r="X31" s="29"/>
      <c r="Y31" s="29"/>
      <c r="Z31" s="28" t="s">
        <v>46</v>
      </c>
    </row>
    <row r="32" spans="1:26" ht="16">
      <c r="A32" s="10" t="s">
        <v>34</v>
      </c>
      <c r="B32" s="23">
        <f>G32</f>
        <v>65.675804195804176</v>
      </c>
      <c r="C32" s="37">
        <f t="shared" ref="C32:C36" si="1">B13-B32</f>
        <v>0</v>
      </c>
      <c r="E32" s="31" t="str">
        <f>_xlfn.CONCAT("measured ",I3, " to ",M3)</f>
        <v>measured 4 to 6.86</v>
      </c>
      <c r="F32" s="32">
        <f xml:space="preserve"> SLOPE(F25:F26,E25:E26)</f>
        <v>-55.601398601398586</v>
      </c>
      <c r="G32" s="22">
        <f xml:space="preserve"> FORECAST($F$29,F25:F26,E25:E26)</f>
        <v>65.675804195804176</v>
      </c>
      <c r="I32" s="22">
        <f xml:space="preserve"> -1 * F32  -54.2 -0.1984*G26</f>
        <v>-3.7570013986014166</v>
      </c>
      <c r="T32" s="28" t="s">
        <v>47</v>
      </c>
      <c r="U32" s="29"/>
      <c r="V32" s="29"/>
      <c r="W32" s="29"/>
      <c r="X32" s="29"/>
      <c r="Y32" s="29"/>
      <c r="Z32" s="29"/>
    </row>
    <row r="33" spans="1:26" ht="16">
      <c r="A33" s="10" t="s">
        <v>35</v>
      </c>
      <c r="B33" s="23">
        <f>I32</f>
        <v>-3.7570013986014166</v>
      </c>
      <c r="C33" s="37">
        <f t="shared" si="1"/>
        <v>0</v>
      </c>
      <c r="E33" s="31" t="str">
        <f>_xlfn.CONCAT("measured ",M3, " to ",Q3)</f>
        <v>measured 6.86 to 9.18</v>
      </c>
      <c r="F33" s="32">
        <f xml:space="preserve"> SLOPE(F26:F27,E26:E27)</f>
        <v>-50.08620689655173</v>
      </c>
      <c r="G33" s="22">
        <f xml:space="preserve"> FORECAST($F$29,F26:F27,E26:E27)</f>
        <v>66.447931034482792</v>
      </c>
      <c r="I33" s="22">
        <f xml:space="preserve"> -1 * F33  -54.2 -0.1984*G27</f>
        <v>-9.1531531034482718</v>
      </c>
      <c r="T33" s="28" t="s">
        <v>48</v>
      </c>
      <c r="U33" s="29"/>
      <c r="V33" s="29"/>
      <c r="W33" s="29"/>
      <c r="X33" s="29"/>
      <c r="Y33" s="28" t="s">
        <v>49</v>
      </c>
      <c r="Z33" s="29"/>
    </row>
    <row r="34" spans="1:26" ht="16">
      <c r="A34" s="10" t="s">
        <v>36</v>
      </c>
      <c r="B34" s="23">
        <f>F26</f>
        <v>73.459999999999994</v>
      </c>
      <c r="C34" s="37">
        <f t="shared" si="1"/>
        <v>0</v>
      </c>
      <c r="T34" s="28" t="s">
        <v>50</v>
      </c>
      <c r="U34" s="29"/>
      <c r="V34" s="29"/>
      <c r="W34" s="29"/>
      <c r="X34" s="29"/>
      <c r="Y34" s="28" t="s">
        <v>51</v>
      </c>
      <c r="Z34" s="29"/>
    </row>
    <row r="35" spans="1:26" ht="16">
      <c r="A35" s="10" t="s">
        <v>37</v>
      </c>
      <c r="B35" s="23">
        <f>G33</f>
        <v>66.447931034482792</v>
      </c>
      <c r="C35" s="37">
        <f t="shared" si="1"/>
        <v>0</v>
      </c>
      <c r="E35" s="31" t="s">
        <v>57</v>
      </c>
      <c r="F35" s="32">
        <f>-0.1984*(B25+273.15)</f>
        <v>-54.192959999999992</v>
      </c>
      <c r="T35" s="28" t="s">
        <v>52</v>
      </c>
      <c r="U35" s="29"/>
      <c r="V35" s="29"/>
      <c r="W35" s="29"/>
      <c r="X35" s="29"/>
      <c r="Y35" s="28"/>
      <c r="Z35" s="29"/>
    </row>
    <row r="36" spans="1:26">
      <c r="A36" s="10" t="s">
        <v>38</v>
      </c>
      <c r="B36" s="23">
        <f>I33</f>
        <v>-9.1531531034482718</v>
      </c>
      <c r="C36" s="37">
        <f t="shared" si="1"/>
        <v>0</v>
      </c>
    </row>
    <row r="37" spans="1:26">
      <c r="E37" s="10"/>
      <c r="F37" s="10"/>
    </row>
    <row r="38" spans="1:26">
      <c r="E38" s="10"/>
      <c r="F38" s="10"/>
    </row>
    <row r="39" spans="1:26" ht="16">
      <c r="A39" s="1" t="s">
        <v>21</v>
      </c>
    </row>
    <row r="40" spans="1:26">
      <c r="A40" s="5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YL43-CWS</vt:lpstr>
      <vt:lpstr>YL43-YosemiTech1</vt:lpstr>
      <vt:lpstr>YL43-YosemiTech2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2018-09-26T02:42:07Z</dcterms:created>
  <dcterms:modified xsi:type="dcterms:W3CDTF">2020-09-10T22:34:32Z</dcterms:modified>
</cp:coreProperties>
</file>