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066748A7-6FE5-C642-9315-EC4AC581B92B}" xr6:coauthVersionLast="47" xr6:coauthVersionMax="47" xr10:uidLastSave="{00000000-0000-0000-0000-000000000000}"/>
  <bookViews>
    <workbookView xWindow="-1400" yWindow="-21140" windowWidth="29360" windowHeight="21140" xr2:uid="{A01D2E8A-3A02-234A-9567-63BD2965B45A}"/>
  </bookViews>
  <sheets>
    <sheet name="YL43-exampl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7" l="1"/>
  <c r="C56" i="7"/>
  <c r="C16" i="7"/>
  <c r="C15" i="7"/>
  <c r="C13" i="7"/>
  <c r="C12" i="7"/>
  <c r="C32" i="7"/>
  <c r="C35" i="7"/>
  <c r="C59" i="7"/>
  <c r="E56" i="7"/>
  <c r="E34" i="7"/>
  <c r="E33" i="7"/>
  <c r="C34" i="7"/>
  <c r="C31" i="7"/>
  <c r="S18" i="7" l="1"/>
  <c r="R18" i="7"/>
  <c r="Q18" i="7"/>
  <c r="S17" i="7"/>
  <c r="V27" i="7" s="1"/>
  <c r="G27" i="7" s="1"/>
  <c r="R17" i="7"/>
  <c r="U27" i="7" s="1"/>
  <c r="F27" i="7" s="1"/>
  <c r="Q17" i="7"/>
  <c r="O18" i="7"/>
  <c r="N18" i="7"/>
  <c r="M18" i="7"/>
  <c r="O17" i="7"/>
  <c r="V26" i="7" s="1"/>
  <c r="G26" i="7" s="1"/>
  <c r="F36" i="7" s="1"/>
  <c r="N17" i="7"/>
  <c r="U26" i="7" s="1"/>
  <c r="F26" i="7" s="1"/>
  <c r="M17" i="7"/>
  <c r="G18" i="7"/>
  <c r="F18" i="7"/>
  <c r="E18" i="7"/>
  <c r="G17" i="7"/>
  <c r="F17" i="7"/>
  <c r="E17" i="7"/>
  <c r="J17" i="7"/>
  <c r="U25" i="7" s="1"/>
  <c r="F25" i="7" s="1"/>
  <c r="J18" i="7"/>
  <c r="R19" i="7" l="1"/>
  <c r="O19" i="7"/>
  <c r="N19" i="7"/>
  <c r="E19" i="7"/>
  <c r="J19" i="7"/>
  <c r="B34" i="7"/>
  <c r="B31" i="7"/>
  <c r="Q19" i="7"/>
  <c r="F19" i="7"/>
  <c r="G19" i="7"/>
  <c r="M19" i="7"/>
  <c r="S19" i="7"/>
  <c r="T27" i="7" l="1"/>
  <c r="E27" i="7" s="1"/>
  <c r="T26" i="7"/>
  <c r="E26" i="7" s="1"/>
  <c r="G34" i="7" s="1"/>
  <c r="T25" i="7"/>
  <c r="E25" i="7" s="1"/>
  <c r="K18" i="7"/>
  <c r="I18" i="7"/>
  <c r="K17" i="7"/>
  <c r="V25" i="7" s="1"/>
  <c r="G25" i="7" s="1"/>
  <c r="I17" i="7"/>
  <c r="I25" i="7" l="1"/>
  <c r="G33" i="7"/>
  <c r="F33" i="7"/>
  <c r="I33" i="7" s="1"/>
  <c r="F34" i="7"/>
  <c r="I34" i="7" s="1"/>
  <c r="I19" i="7"/>
  <c r="K19" i="7"/>
  <c r="I27" i="7"/>
  <c r="J27" i="7" s="1"/>
  <c r="B36" i="7" l="1"/>
  <c r="B35" i="7"/>
  <c r="K26" i="7"/>
  <c r="K27" i="7"/>
  <c r="B32" i="7"/>
  <c r="K25" i="7"/>
  <c r="I26" i="7"/>
  <c r="J26" i="7" s="1"/>
  <c r="J25" i="7"/>
</calcChain>
</file>

<file path=xl/sharedStrings.xml><?xml version="1.0" encoding="utf-8"?>
<sst xmlns="http://schemas.openxmlformats.org/spreadsheetml/2006/main" count="117" uniqueCount="85">
  <si>
    <t>Average</t>
  </si>
  <si>
    <t>Std</t>
  </si>
  <si>
    <t>%CV</t>
  </si>
  <si>
    <t>SN:</t>
  </si>
  <si>
    <t>Version: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</si>
  <si>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</si>
  <si>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</si>
  <si>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</si>
  <si>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</si>
  <si>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</si>
  <si>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</si>
  <si>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Reference Standards</t>
  </si>
  <si>
    <t>Calibration Standards: Known Values</t>
  </si>
  <si>
    <t>Calibration Standards: Measured Values</t>
  </si>
  <si>
    <t>Not used in calibration</t>
  </si>
  <si>
    <t>Paste into pale yellow cells.</t>
  </si>
  <si>
    <t>Measure 3-10 "Times" to get best values.</t>
  </si>
  <si>
    <t>Calibration Curve</t>
  </si>
  <si>
    <t>predicted Y</t>
  </si>
  <si>
    <t>residual Y</t>
  </si>
  <si>
    <t>7. Save this sheet for your records.</t>
  </si>
  <si>
    <t>3. Fill in reference standard known values.</t>
  </si>
  <si>
    <t>6. Re-SET "User Coefficients" to new calibration values.</t>
  </si>
  <si>
    <t>5. Delete calibration X:Y pairs that are not valid.</t>
  </si>
  <si>
    <t>Paste these blue values into Modbus Runner and hit "SET".</t>
  </si>
  <si>
    <t>Rename tab with serial number and date, or keep a workbook for each serial number.</t>
  </si>
  <si>
    <t>Y532 pH Calibrator</t>
  </si>
  <si>
    <t>pH</t>
  </si>
  <si>
    <t>@ 25°C</t>
  </si>
  <si>
    <t>YL4318052603</t>
  </si>
  <si>
    <t>hw 1.2,sw 2.0</t>
  </si>
  <si>
    <t>K1:</t>
  </si>
  <si>
    <t>pH+NH4_N:</t>
  </si>
  <si>
    <t>K2:</t>
  </si>
  <si>
    <t>K3:</t>
  </si>
  <si>
    <t>K4:</t>
  </si>
  <si>
    <t>K5:</t>
  </si>
  <si>
    <t>K6:</t>
  </si>
  <si>
    <t>pH coefficients (previous)</t>
  </si>
  <si>
    <t>tap water</t>
  </si>
  <si>
    <t>Type into pale yellow cells H3, L3, P3</t>
  </si>
  <si>
    <t>4."GET pH" &amp; paste measured values for each standard.</t>
  </si>
  <si>
    <t xml:space="preserve"> Delete green values in pale yellow cells D25:E27</t>
  </si>
  <si>
    <t xml:space="preserve"> S = 54.2+0.1984*t(℃) +S0</t>
    <phoneticPr fontId="1" type="noConversion"/>
  </si>
  <si>
    <t>Where S0 = 0,E0=0 by default.</t>
    <phoneticPr fontId="1" type="noConversion"/>
  </si>
  <si>
    <t xml:space="preserve">K2 is actual E0 in acidic solution ph =4 </t>
    <phoneticPr fontId="1" type="noConversion"/>
  </si>
  <si>
    <t xml:space="preserve">K5 is actual E0 in  alkaline solution ph =9.18 </t>
    <phoneticPr fontId="1" type="noConversion"/>
  </si>
  <si>
    <t>K3 is actual S0 in acidic solution ph =4</t>
    <phoneticPr fontId="1" type="noConversion"/>
  </si>
  <si>
    <t>K6 is actual S0 in  alkaline solution ph =9.18</t>
    <phoneticPr fontId="1" type="noConversion"/>
  </si>
  <si>
    <t>If E1 is read at pH=4.00,E2 is read at pH = 6.86,  E0 = (E2*(4.00-7)-E1*(6.86-7))/(4.00-6.86)</t>
    <phoneticPr fontId="1" type="noConversion"/>
  </si>
  <si>
    <t>isopotential pH</t>
  </si>
  <si>
    <r>
      <t>pH</t>
    </r>
    <r>
      <rPr>
        <vertAlign val="subscript"/>
        <sz val="11"/>
        <color theme="1"/>
        <rFont val="Arial"/>
        <family val="2"/>
      </rPr>
      <t>iso</t>
    </r>
  </si>
  <si>
    <t>K1=K4 = E (a sensor reading of  mV at  ph = 6.86)</t>
  </si>
  <si>
    <t>E (mV)</t>
  </si>
  <si>
    <t>T (°C)</t>
  </si>
  <si>
    <t>at 25°C</t>
  </si>
  <si>
    <t>v0.2.1: 2020-09-10</t>
  </si>
  <si>
    <t>Nernst equation :E=E0+S*(7-pH)</t>
  </si>
  <si>
    <t>Theory and Practice of pH Measurement, Chapter 3 &amp; Appendix B</t>
  </si>
  <si>
    <t>https://www.emerson.com/documents/automation/manual-theory-practice-of-ph-measurement-rosemount-en-70736.pdf</t>
  </si>
  <si>
    <t>Explanation of pH calibration equations, from YosemiTech</t>
  </si>
  <si>
    <t>Adjustment for °C vs °K</t>
  </si>
  <si>
    <t>R =</t>
  </si>
  <si>
    <t>https://en.wikipedia.org/wiki/Nernst_equation</t>
  </si>
  <si>
    <t>J K−1 mol−1</t>
  </si>
  <si>
    <t>C mol−1</t>
  </si>
  <si>
    <t>F =</t>
  </si>
  <si>
    <t>mV/K, where 2.303 converts from ln to log10; 1000 mV/V; 1 C / 1 V</t>
  </si>
  <si>
    <t>https://www.google.com/url?sa=t&amp;rct=j&amp;q=&amp;esrc=s&amp;source=web&amp;cd=&amp;ved=2ahUKEwiEhbGrxN_rAhUMbc0KHXdmAJ8QFjAJegQIBBAB&amp;url=https%3A%2F%2Fwww.hach.com%2Fasset-get.download.jsa%3Fid%3D7672493965&amp;usg=AOvVaw0aMsv1tmXVclWovq6qngYQ</t>
  </si>
  <si>
    <t>Bier2018-Hach-ElectrochemTheoryPractice_DOC182.53.90629.pdf</t>
  </si>
  <si>
    <t>slope = 2.303*RT/nF = -0.1984*T =</t>
  </si>
  <si>
    <t>mV/pH</t>
  </si>
  <si>
    <t>2.303*R/nF =</t>
  </si>
  <si>
    <r>
      <t>mV at pH</t>
    </r>
    <r>
      <rPr>
        <vertAlign val="subscript"/>
        <sz val="11"/>
        <color theme="1"/>
        <rFont val="Arial"/>
        <family val="2"/>
      </rPr>
      <t>iso</t>
    </r>
  </si>
  <si>
    <r>
      <t>E</t>
    </r>
    <r>
      <rPr>
        <vertAlign val="subscript"/>
        <sz val="11"/>
        <color theme="1"/>
        <rFont val="Arial"/>
        <family val="2"/>
      </rPr>
      <t>0</t>
    </r>
  </si>
  <si>
    <t>S, slope</t>
  </si>
  <si>
    <r>
      <t>S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, slope correction</t>
    </r>
  </si>
  <si>
    <r>
      <t>S</t>
    </r>
    <r>
      <rPr>
        <vertAlign val="subscript"/>
        <sz val="9"/>
        <color rgb="FF0070C0"/>
        <rFont val="Arial"/>
        <family val="2"/>
      </rPr>
      <t>0</t>
    </r>
    <r>
      <rPr>
        <sz val="9"/>
        <color rgb="FF0070C0"/>
        <rFont val="Arial"/>
        <family val="2"/>
      </rPr>
      <t>, acidic</t>
    </r>
  </si>
  <si>
    <r>
      <t>S</t>
    </r>
    <r>
      <rPr>
        <vertAlign val="subscript"/>
        <sz val="9"/>
        <color rgb="FF0070C0"/>
        <rFont val="Arial"/>
        <family val="2"/>
      </rPr>
      <t>0</t>
    </r>
    <r>
      <rPr>
        <sz val="9"/>
        <color rgb="FF0070C0"/>
        <rFont val="Arial"/>
        <family val="2"/>
      </rPr>
      <t>, alkaline</t>
    </r>
  </si>
  <si>
    <t>predicted X</t>
  </si>
  <si>
    <t>2-point</t>
  </si>
  <si>
    <t>Background Information</t>
  </si>
  <si>
    <t>Nerstt equation for pH:</t>
  </si>
  <si>
    <t>ideal slope:</t>
  </si>
  <si>
    <t>mV/pH at 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</si>
</sst>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yyyy\-mm\-dd"/>
    <numFmt numFmtId="167" formatCode="0.000"/>
    <numFmt numFmtId="168" formatCode="0.0000"/>
    <numFmt numFmtId="169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9"/>
      <color rgb="FF0070C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vertAlign val="subscript"/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0" fontId="4" fillId="0" borderId="0" xfId="0" quotePrefix="1" applyFont="1"/>
    <xf numFmtId="2" fontId="4" fillId="2" borderId="0" xfId="0" applyNumberFormat="1" applyFont="1" applyFill="1"/>
    <xf numFmtId="167" fontId="6" fillId="0" borderId="0" xfId="0" applyNumberFormat="1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2" fontId="4" fillId="0" borderId="0" xfId="0" quotePrefix="1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vertical="center"/>
    </xf>
    <xf numFmtId="0" fontId="15" fillId="0" borderId="0" xfId="2" applyFont="1" applyAlignment="1">
      <alignment vertical="center"/>
    </xf>
    <xf numFmtId="0" fontId="5" fillId="0" borderId="0" xfId="0" applyFont="1"/>
    <xf numFmtId="0" fontId="16" fillId="0" borderId="0" xfId="0" applyFont="1" applyAlignment="1">
      <alignment horizontal="right" vertical="center"/>
    </xf>
    <xf numFmtId="168" fontId="11" fillId="0" borderId="0" xfId="0" applyNumberFormat="1" applyFont="1" applyAlignment="1">
      <alignment vertical="center"/>
    </xf>
    <xf numFmtId="169" fontId="11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0" fontId="14" fillId="0" borderId="0" xfId="2"/>
    <xf numFmtId="165" fontId="19" fillId="0" borderId="0" xfId="0" applyNumberFormat="1" applyFont="1"/>
    <xf numFmtId="165" fontId="12" fillId="0" borderId="0" xfId="0" applyNumberFormat="1" applyFont="1"/>
    <xf numFmtId="169" fontId="12" fillId="0" borderId="0" xfId="0" applyNumberFormat="1" applyFont="1"/>
    <xf numFmtId="0" fontId="17" fillId="0" borderId="0" xfId="0" applyFont="1" applyAlignment="1">
      <alignment vertical="center"/>
    </xf>
    <xf numFmtId="0" fontId="4" fillId="0" borderId="0" xfId="0" applyNumberFormat="1" applyFont="1"/>
    <xf numFmtId="0" fontId="12" fillId="0" borderId="0" xfId="0" applyFont="1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893328327840855"/>
                  <c:y val="-0.46833943292299729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'YL43-example'!$E$25:$E$27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'YL43-example'!$F$25:$F$27</c:f>
              <c:numCache>
                <c:formatCode>0.00</c:formatCode>
                <c:ptCount val="3"/>
                <c:pt idx="0">
                  <c:v>271.23590000000002</c:v>
                </c:pt>
                <c:pt idx="1">
                  <c:v>103.94359999999999</c:v>
                </c:pt>
                <c:pt idx="2">
                  <c:v>-12.931558750000001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'YL43-example'!$E$25:$E$27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'YL43-example'!$J$25:$J$27</c:f>
              <c:numCache>
                <c:formatCode>0.00</c:formatCode>
                <c:ptCount val="3"/>
                <c:pt idx="0">
                  <c:v>3.0931025632761475</c:v>
                </c:pt>
                <c:pt idx="1">
                  <c:v>-6.9061514128319601</c:v>
                </c:pt>
                <c:pt idx="2">
                  <c:v>3.8130488495559334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84665</xdr:colOff>
      <xdr:row>21</xdr:row>
      <xdr:rowOff>31750</xdr:rowOff>
    </xdr:from>
    <xdr:to>
      <xdr:col>19</xdr:col>
      <xdr:colOff>97364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84666</xdr:colOff>
      <xdr:row>35</xdr:row>
      <xdr:rowOff>105834</xdr:rowOff>
    </xdr:from>
    <xdr:to>
      <xdr:col>19</xdr:col>
      <xdr:colOff>99481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169334</xdr:colOff>
      <xdr:row>0</xdr:row>
      <xdr:rowOff>0</xdr:rowOff>
    </xdr:from>
    <xdr:to>
      <xdr:col>32</xdr:col>
      <xdr:colOff>212349</xdr:colOff>
      <xdr:row>31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25342-24DB-2F42-A4EB-F95A6C99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7167" y="0"/>
          <a:ext cx="8298015" cy="6212417"/>
        </a:xfrm>
        <a:prstGeom prst="rect">
          <a:avLst/>
        </a:prstGeom>
      </xdr:spPr>
    </xdr:pic>
    <xdr:clientData/>
  </xdr:twoCellAnchor>
  <xdr:twoCellAnchor editAs="oneCell">
    <xdr:from>
      <xdr:col>1</xdr:col>
      <xdr:colOff>63498</xdr:colOff>
      <xdr:row>52</xdr:row>
      <xdr:rowOff>52916</xdr:rowOff>
    </xdr:from>
    <xdr:to>
      <xdr:col>3</xdr:col>
      <xdr:colOff>381522</xdr:colOff>
      <xdr:row>54</xdr:row>
      <xdr:rowOff>99483</xdr:rowOff>
    </xdr:to>
    <xdr:pic>
      <xdr:nvPicPr>
        <xdr:cNvPr id="7" name="Picture 6" descr="page7image37384592">
          <a:extLst>
            <a:ext uri="{FF2B5EF4-FFF2-40B4-BE49-F238E27FC236}">
              <a16:creationId xmlns:a16="http://schemas.microsoft.com/office/drawing/2014/main" id="{1CF44C82-AF0B-4D42-8287-DF2C139E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998" y="10075333"/>
          <a:ext cx="2043107" cy="427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sa=t&amp;rct=j&amp;q=&amp;esrc=s&amp;source=web&amp;cd=&amp;ved=2ahUKEwiEhbGrxN_rAhUMbc0KHXdmAJ8QFjAJegQIBBAB&amp;url=https%3A%2F%2Fwww.hach.com%2Fasset-get.download.jsa%3Fid%3D7672493965&amp;usg=AOvVaw0aMsv1tmXVclWovq6qngYQ" TargetMode="External"/><Relationship Id="rId2" Type="http://schemas.openxmlformats.org/officeDocument/2006/relationships/hyperlink" Target="https://en.wikipedia.org/wiki/Nernst_equation" TargetMode="External"/><Relationship Id="rId1" Type="http://schemas.openxmlformats.org/officeDocument/2006/relationships/hyperlink" Target="https://www.emerson.com/documents/automation/manual-theory-practice-of-ph-measurement-rosemount-en-70736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V65"/>
  <sheetViews>
    <sheetView tabSelected="1" zoomScale="120" zoomScaleNormal="120" workbookViewId="0">
      <selection activeCell="B36" sqref="B36"/>
    </sheetView>
  </sheetViews>
  <sheetFormatPr baseColWidth="10" defaultRowHeight="14"/>
  <cols>
    <col min="1" max="1" width="30.83203125" style="3" customWidth="1"/>
    <col min="2" max="2" width="11.83203125" style="3" customWidth="1"/>
    <col min="3" max="3" width="10.83203125" style="3" customWidth="1"/>
    <col min="4" max="4" width="12.83203125" style="3" customWidth="1"/>
    <col min="5" max="7" width="8.83203125" style="3" customWidth="1"/>
    <col min="8" max="8" width="3.33203125" style="3" customWidth="1"/>
    <col min="9" max="19" width="8.83203125" style="3" customWidth="1"/>
    <col min="20" max="22" width="6.83203125" style="3" customWidth="1"/>
    <col min="23" max="16384" width="10.83203125" style="3"/>
  </cols>
  <sheetData>
    <row r="1" spans="1:22" ht="18">
      <c r="A1" s="2" t="s">
        <v>26</v>
      </c>
    </row>
    <row r="2" spans="1:22">
      <c r="A2" s="5" t="s">
        <v>56</v>
      </c>
      <c r="I2" s="19" t="s">
        <v>12</v>
      </c>
      <c r="J2" s="19"/>
      <c r="K2" s="18"/>
      <c r="L2" s="18"/>
      <c r="M2" s="18"/>
      <c r="N2" s="18"/>
      <c r="O2" s="18"/>
      <c r="P2" s="18"/>
      <c r="Q2" s="18"/>
      <c r="R2" s="18"/>
      <c r="S2" s="18"/>
    </row>
    <row r="3" spans="1:22" s="4" customFormat="1" ht="30">
      <c r="A3" s="6" t="s">
        <v>7</v>
      </c>
      <c r="C3" s="17"/>
      <c r="D3" s="17" t="s">
        <v>11</v>
      </c>
      <c r="E3" s="16" t="s">
        <v>39</v>
      </c>
      <c r="F3" s="3" t="s">
        <v>27</v>
      </c>
      <c r="G3" s="25" t="s">
        <v>55</v>
      </c>
      <c r="H3" s="3"/>
      <c r="I3" s="26">
        <v>4</v>
      </c>
      <c r="J3" s="3" t="s">
        <v>27</v>
      </c>
      <c r="K3" s="25" t="s">
        <v>28</v>
      </c>
      <c r="L3" s="3"/>
      <c r="M3" s="7">
        <v>6.86</v>
      </c>
      <c r="N3" s="3" t="s">
        <v>27</v>
      </c>
      <c r="O3" s="25" t="s">
        <v>55</v>
      </c>
      <c r="P3" s="3"/>
      <c r="Q3" s="7">
        <v>9.18</v>
      </c>
      <c r="R3" s="3" t="s">
        <v>27</v>
      </c>
      <c r="S3" s="25" t="s">
        <v>55</v>
      </c>
      <c r="T3" s="3"/>
      <c r="U3" s="3"/>
      <c r="V3" s="3"/>
    </row>
    <row r="4" spans="1:22">
      <c r="E4" s="3" t="s">
        <v>14</v>
      </c>
      <c r="I4" s="19" t="s">
        <v>13</v>
      </c>
      <c r="J4" s="19"/>
      <c r="K4" s="18"/>
      <c r="L4" s="18"/>
      <c r="M4" s="18"/>
      <c r="N4" s="18"/>
      <c r="O4" s="18"/>
      <c r="P4" s="18"/>
      <c r="Q4" s="18"/>
      <c r="R4" s="18"/>
      <c r="S4" s="18"/>
    </row>
    <row r="5" spans="1:22" ht="18">
      <c r="A5" s="24" t="s">
        <v>8</v>
      </c>
      <c r="B5" s="18"/>
      <c r="C5" s="18"/>
      <c r="E5" s="20" t="s">
        <v>27</v>
      </c>
      <c r="F5" s="20" t="s">
        <v>53</v>
      </c>
      <c r="G5" s="20" t="s">
        <v>54</v>
      </c>
      <c r="I5" s="20" t="s">
        <v>27</v>
      </c>
      <c r="J5" s="20" t="s">
        <v>53</v>
      </c>
      <c r="K5" s="20" t="s">
        <v>54</v>
      </c>
      <c r="L5" s="20"/>
      <c r="M5" s="20" t="s">
        <v>27</v>
      </c>
      <c r="N5" s="20" t="s">
        <v>53</v>
      </c>
      <c r="O5" s="20" t="s">
        <v>54</v>
      </c>
      <c r="P5" s="20"/>
      <c r="Q5" s="20" t="s">
        <v>27</v>
      </c>
      <c r="R5" s="20" t="s">
        <v>53</v>
      </c>
      <c r="S5" s="20" t="s">
        <v>54</v>
      </c>
    </row>
    <row r="6" spans="1:22">
      <c r="A6" s="10" t="s">
        <v>9</v>
      </c>
      <c r="B6" s="11">
        <v>44346</v>
      </c>
      <c r="E6" s="7"/>
      <c r="F6" s="7"/>
      <c r="G6" s="7"/>
      <c r="I6" s="7">
        <v>4.1984079999999997</v>
      </c>
      <c r="J6" s="7">
        <v>271.38679999999999</v>
      </c>
      <c r="K6" s="7">
        <v>23.591270000000002</v>
      </c>
      <c r="M6" s="7">
        <v>7.1360299999999999</v>
      </c>
      <c r="N6" s="7">
        <v>103.5669</v>
      </c>
      <c r="O6" s="7">
        <v>23.964749999999999</v>
      </c>
      <c r="Q6" s="7">
        <v>9.1663250000000005</v>
      </c>
      <c r="R6" s="7">
        <v>-12.19258</v>
      </c>
      <c r="S6" s="7">
        <v>24.047049999999999</v>
      </c>
    </row>
    <row r="7" spans="1:22">
      <c r="E7" s="7"/>
      <c r="F7" s="7"/>
      <c r="G7" s="7"/>
      <c r="I7" s="7">
        <v>4.2028239999999997</v>
      </c>
      <c r="J7" s="7">
        <v>271.13310000000001</v>
      </c>
      <c r="K7" s="7">
        <v>23.588830000000002</v>
      </c>
      <c r="M7" s="7">
        <v>7.1334689999999998</v>
      </c>
      <c r="N7" s="7">
        <v>103.71299999999999</v>
      </c>
      <c r="O7" s="7">
        <v>23.96078</v>
      </c>
      <c r="Q7" s="7">
        <v>9.1676690000000001</v>
      </c>
      <c r="R7" s="7">
        <v>-12.26947</v>
      </c>
      <c r="S7" s="7">
        <v>24.04766</v>
      </c>
    </row>
    <row r="8" spans="1:22" ht="16">
      <c r="A8" s="1" t="s">
        <v>10</v>
      </c>
      <c r="E8" s="7"/>
      <c r="F8" s="7"/>
      <c r="G8" s="7"/>
      <c r="I8" s="7">
        <v>4.2027890000000001</v>
      </c>
      <c r="J8" s="7">
        <v>271.13310000000001</v>
      </c>
      <c r="K8" s="7">
        <v>23.5852</v>
      </c>
      <c r="M8" s="7">
        <v>7.1325279999999998</v>
      </c>
      <c r="N8" s="7">
        <v>103.7668</v>
      </c>
      <c r="O8" s="7">
        <v>23.95355</v>
      </c>
      <c r="Q8" s="7">
        <v>9.1760199999999994</v>
      </c>
      <c r="R8" s="7">
        <v>-12.74611</v>
      </c>
      <c r="S8" s="7">
        <v>24.04888</v>
      </c>
    </row>
    <row r="9" spans="1:22">
      <c r="A9" s="10" t="s">
        <v>3</v>
      </c>
      <c r="B9" s="7" t="s">
        <v>29</v>
      </c>
      <c r="E9" s="7"/>
      <c r="F9" s="7"/>
      <c r="G9" s="7"/>
      <c r="I9" s="7">
        <v>4.2019580000000003</v>
      </c>
      <c r="J9" s="7">
        <v>271.17919999999998</v>
      </c>
      <c r="K9" s="7">
        <v>23.582789999999999</v>
      </c>
      <c r="M9" s="7">
        <v>7.1292929999999997</v>
      </c>
      <c r="N9" s="7">
        <v>103.9513</v>
      </c>
      <c r="O9" s="7">
        <v>23.94924</v>
      </c>
      <c r="Q9" s="7">
        <v>9.1832910000000005</v>
      </c>
      <c r="R9" s="7">
        <v>-13.16122</v>
      </c>
      <c r="S9" s="7">
        <v>24.0501</v>
      </c>
    </row>
    <row r="10" spans="1:22">
      <c r="A10" s="10" t="s">
        <v>4</v>
      </c>
      <c r="B10" s="7" t="s">
        <v>30</v>
      </c>
      <c r="E10" s="7"/>
      <c r="F10" s="7"/>
      <c r="G10" s="7"/>
      <c r="I10" s="7">
        <v>4.1990829999999999</v>
      </c>
      <c r="J10" s="7">
        <v>271.34059999999999</v>
      </c>
      <c r="K10" s="7">
        <v>23.577629999999999</v>
      </c>
      <c r="M10" s="7">
        <v>7.1292980000000004</v>
      </c>
      <c r="N10" s="7">
        <v>103.9513</v>
      </c>
      <c r="O10" s="7">
        <v>23.938649999999999</v>
      </c>
      <c r="Q10" s="7">
        <v>9.1885359999999991</v>
      </c>
      <c r="R10" s="7">
        <v>-13.46105</v>
      </c>
      <c r="S10" s="7">
        <v>24.0519</v>
      </c>
    </row>
    <row r="11" spans="1:22">
      <c r="A11" s="10" t="s">
        <v>32</v>
      </c>
      <c r="B11" s="3" t="s">
        <v>38</v>
      </c>
      <c r="E11" s="7"/>
      <c r="F11" s="7"/>
      <c r="G11" s="7"/>
      <c r="I11" s="7">
        <v>4.2006680000000003</v>
      </c>
      <c r="J11" s="7">
        <v>271.2484</v>
      </c>
      <c r="K11" s="7">
        <v>23.57461</v>
      </c>
      <c r="M11" s="7">
        <v>7.1257929999999998</v>
      </c>
      <c r="N11" s="7">
        <v>104.1512</v>
      </c>
      <c r="O11" s="7">
        <v>23.934080000000002</v>
      </c>
      <c r="Q11" s="7">
        <v>9.185829</v>
      </c>
      <c r="R11" s="7">
        <v>-13.15353</v>
      </c>
      <c r="S11" s="7">
        <v>24.053159999999998</v>
      </c>
    </row>
    <row r="12" spans="1:22">
      <c r="A12" s="10" t="s">
        <v>31</v>
      </c>
      <c r="B12" s="12">
        <v>119.21576000000002</v>
      </c>
      <c r="C12" s="35" t="str">
        <f>_xlfn.CONCAT("mV at pH= ",$M$3)</f>
        <v>mV at pH= 6.86</v>
      </c>
      <c r="E12" s="7"/>
      <c r="F12" s="7"/>
      <c r="G12" s="7"/>
      <c r="I12" s="7">
        <v>4.2008700000000001</v>
      </c>
      <c r="J12" s="7">
        <v>271.233</v>
      </c>
      <c r="K12" s="7">
        <v>23.567620000000002</v>
      </c>
      <c r="M12" s="7">
        <v>7.124447</v>
      </c>
      <c r="N12" s="7">
        <v>104.22799999999999</v>
      </c>
      <c r="O12" s="7">
        <v>23.926480000000002</v>
      </c>
      <c r="Q12" s="7">
        <v>9.1836629999999992</v>
      </c>
      <c r="R12" s="7">
        <v>-13.184290000000001</v>
      </c>
      <c r="S12" s="7">
        <v>24.054349999999999</v>
      </c>
    </row>
    <row r="13" spans="1:22">
      <c r="A13" s="10" t="s">
        <v>33</v>
      </c>
      <c r="B13" s="12">
        <v>111.29606377622378</v>
      </c>
      <c r="C13" s="35" t="str">
        <f>_xlfn.CONCAT("E0, mV at pH= ",$F$29, ", acidic")</f>
        <v>E0, mV at pH= 7, acidic</v>
      </c>
      <c r="E13" s="7"/>
      <c r="F13" s="7"/>
      <c r="G13" s="7"/>
      <c r="I13" s="7">
        <v>4.2008520000000003</v>
      </c>
      <c r="J13" s="7">
        <v>271.233</v>
      </c>
      <c r="K13" s="7">
        <v>23.565819999999999</v>
      </c>
      <c r="M13" s="7">
        <v>7.1252579999999996</v>
      </c>
      <c r="N13" s="7">
        <v>104.22029999999999</v>
      </c>
      <c r="O13" s="7">
        <v>23.922540000000001</v>
      </c>
      <c r="Q13" s="7">
        <v>9.1853949999999998</v>
      </c>
      <c r="R13" s="7">
        <v>-13.284219999999999</v>
      </c>
      <c r="S13" s="7">
        <v>24.057089999999999</v>
      </c>
    </row>
    <row r="14" spans="1:22">
      <c r="A14" s="10" t="s">
        <v>34</v>
      </c>
      <c r="B14" s="12">
        <v>-1.7377510123412634</v>
      </c>
      <c r="C14" s="35" t="s">
        <v>77</v>
      </c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</row>
    <row r="15" spans="1:22">
      <c r="A15" s="10" t="s">
        <v>35</v>
      </c>
      <c r="B15" s="12">
        <v>119.21576000000002</v>
      </c>
      <c r="C15" s="35" t="str">
        <f>_xlfn.CONCAT("mV at pH= ",$M$3)</f>
        <v>mV at pH= 6.86</v>
      </c>
      <c r="E15" s="7"/>
      <c r="F15" s="7"/>
      <c r="G15" s="7"/>
      <c r="I15" s="7"/>
      <c r="J15" s="7"/>
      <c r="K15" s="7"/>
      <c r="M15" s="7"/>
      <c r="N15" s="7"/>
      <c r="O15" s="7"/>
      <c r="Q15" s="7"/>
      <c r="R15" s="7"/>
      <c r="S15" s="7"/>
    </row>
    <row r="16" spans="1:22">
      <c r="A16" s="10" t="s">
        <v>36</v>
      </c>
      <c r="B16" s="12">
        <v>111.32041275</v>
      </c>
      <c r="C16" s="35" t="str">
        <f>_xlfn.CONCAT("E0, mV at pH= ",$F$29, ", alkaline")</f>
        <v>E0, mV at pH= 7, alkaline</v>
      </c>
      <c r="E16" s="13"/>
      <c r="F16" s="13"/>
      <c r="G16" s="14"/>
    </row>
    <row r="17" spans="1:22">
      <c r="A17" s="10" t="s">
        <v>37</v>
      </c>
      <c r="B17" s="12">
        <v>-1.9559477927999751</v>
      </c>
      <c r="C17" s="35" t="s">
        <v>78</v>
      </c>
      <c r="D17" s="10" t="s">
        <v>0</v>
      </c>
      <c r="E17" s="27" t="e">
        <f>AVERAGE(E6:E15)</f>
        <v>#DIV/0!</v>
      </c>
      <c r="F17" s="27" t="e">
        <f>AVERAGE(F6:F15)</f>
        <v>#DIV/0!</v>
      </c>
      <c r="G17" s="27" t="e">
        <f>AVERAGE(G6:G15)</f>
        <v>#DIV/0!</v>
      </c>
      <c r="I17" s="27">
        <f>AVERAGE(I6:I15)</f>
        <v>4.2009315000000003</v>
      </c>
      <c r="J17" s="27">
        <f>AVERAGE(J6:J15)</f>
        <v>271.23590000000002</v>
      </c>
      <c r="K17" s="27">
        <f>AVERAGE(K6:K15)</f>
        <v>23.57922125</v>
      </c>
      <c r="M17" s="27">
        <f>AVERAGE(M6:M15)</f>
        <v>7.1295145000000009</v>
      </c>
      <c r="N17" s="27">
        <f>AVERAGE(N6:N15)</f>
        <v>103.94359999999999</v>
      </c>
      <c r="O17" s="27">
        <f>AVERAGE(O6:O15)</f>
        <v>23.943758749999997</v>
      </c>
      <c r="Q17" s="27">
        <f>AVERAGE(Q6:Q15)</f>
        <v>9.1795909999999985</v>
      </c>
      <c r="R17" s="27">
        <f>AVERAGE(R6:R15)</f>
        <v>-12.931558750000001</v>
      </c>
      <c r="S17" s="27">
        <f>AVERAGE(S6:S15)</f>
        <v>24.05127375</v>
      </c>
    </row>
    <row r="18" spans="1:22">
      <c r="C18" s="10"/>
      <c r="D18" s="10" t="s">
        <v>1</v>
      </c>
      <c r="E18" s="27" t="e">
        <f>STDEV(E6:E15)</f>
        <v>#DIV/0!</v>
      </c>
      <c r="F18" s="27" t="e">
        <f>STDEV(F6:F15)</f>
        <v>#DIV/0!</v>
      </c>
      <c r="G18" s="27" t="e">
        <f>STDEV(G6:G15)</f>
        <v>#DIV/0!</v>
      </c>
      <c r="I18" s="27">
        <f>STDEV(I6:I15)</f>
        <v>1.6013433646250837E-3</v>
      </c>
      <c r="J18" s="27">
        <f>STDEV(J6:J15)</f>
        <v>9.1226985355989901E-2</v>
      </c>
      <c r="K18" s="27">
        <f>STDEV(K6:K15)</f>
        <v>9.4412475530065761E-3</v>
      </c>
      <c r="M18" s="27">
        <f>STDEV(M6:M15)</f>
        <v>4.2243146189648358E-3</v>
      </c>
      <c r="N18" s="27">
        <f>STDEV(N6:N15)</f>
        <v>0.24698180384103308</v>
      </c>
      <c r="O18" s="27">
        <f>STDEV(O6:O15)</f>
        <v>1.5697298618824254E-2</v>
      </c>
      <c r="Q18" s="27">
        <f>STDEV(Q6:Q15)</f>
        <v>8.5670143990938495E-3</v>
      </c>
      <c r="R18" s="27">
        <f>STDEV(R6:R15)</f>
        <v>0.47651441232701158</v>
      </c>
      <c r="S18" s="27">
        <f>STDEV(S6:S15)</f>
        <v>3.4897643698593682E-3</v>
      </c>
    </row>
    <row r="19" spans="1:22" ht="16">
      <c r="A19" s="1" t="s">
        <v>21</v>
      </c>
      <c r="C19" s="10"/>
      <c r="D19" s="10" t="s">
        <v>2</v>
      </c>
      <c r="E19" s="9" t="e">
        <f>E18/E17</f>
        <v>#DIV/0!</v>
      </c>
      <c r="F19" s="9" t="e">
        <f>F18/F17</f>
        <v>#DIV/0!</v>
      </c>
      <c r="G19" s="9" t="e">
        <f>G18/G17</f>
        <v>#DIV/0!</v>
      </c>
      <c r="I19" s="9">
        <f>I18/I17</f>
        <v>3.8118768768904791E-4</v>
      </c>
      <c r="J19" s="9">
        <f>J18/J17</f>
        <v>3.3633816672494276E-4</v>
      </c>
      <c r="K19" s="9">
        <f>K18/K17</f>
        <v>4.0040540155695668E-4</v>
      </c>
      <c r="M19" s="9">
        <f>M18/M17</f>
        <v>5.9251083912724141E-4</v>
      </c>
      <c r="N19" s="9">
        <f>N18/N17</f>
        <v>2.3761136216278165E-3</v>
      </c>
      <c r="O19" s="9">
        <f>O18/O17</f>
        <v>6.5559041012406855E-4</v>
      </c>
      <c r="Q19" s="9">
        <f>Q18/Q17</f>
        <v>9.3326754962109429E-4</v>
      </c>
      <c r="R19" s="9">
        <f>R18/R17</f>
        <v>-3.6848953907200985E-2</v>
      </c>
      <c r="S19" s="9">
        <f>S18/S17</f>
        <v>1.450968628993867E-4</v>
      </c>
    </row>
    <row r="20" spans="1:22">
      <c r="A20" s="5" t="s">
        <v>40</v>
      </c>
      <c r="C20" s="10"/>
      <c r="D20" s="10"/>
      <c r="E20" s="8"/>
      <c r="F20" s="8"/>
      <c r="I20" s="8"/>
      <c r="J20" s="8"/>
      <c r="M20" s="8"/>
      <c r="N20" s="8"/>
      <c r="Q20" s="8"/>
      <c r="R20" s="8"/>
    </row>
    <row r="21" spans="1:22" ht="16">
      <c r="I21"/>
    </row>
    <row r="22" spans="1:22" ht="16">
      <c r="A22" s="1" t="s">
        <v>41</v>
      </c>
      <c r="E22" s="19" t="s">
        <v>17</v>
      </c>
      <c r="F22" s="19"/>
      <c r="G22" s="18"/>
      <c r="H22" s="18"/>
      <c r="I22" s="18"/>
      <c r="J22" s="18"/>
      <c r="K22" s="18"/>
    </row>
    <row r="23" spans="1:22">
      <c r="A23" s="5" t="s">
        <v>16</v>
      </c>
      <c r="E23" s="33" t="s">
        <v>5</v>
      </c>
      <c r="F23" s="20" t="s">
        <v>6</v>
      </c>
      <c r="G23" s="20"/>
      <c r="K23" s="49" t="s">
        <v>80</v>
      </c>
      <c r="T23" s="33" t="s">
        <v>5</v>
      </c>
      <c r="U23" s="20" t="s">
        <v>6</v>
      </c>
      <c r="V23" s="20"/>
    </row>
    <row r="24" spans="1:22">
      <c r="A24" s="5" t="s">
        <v>15</v>
      </c>
      <c r="E24" s="20" t="s">
        <v>27</v>
      </c>
      <c r="F24" s="20" t="s">
        <v>53</v>
      </c>
      <c r="G24" s="20" t="s">
        <v>54</v>
      </c>
      <c r="I24" s="34" t="s">
        <v>18</v>
      </c>
      <c r="J24" s="34" t="s">
        <v>19</v>
      </c>
      <c r="K24" s="34" t="s">
        <v>79</v>
      </c>
      <c r="T24" s="20" t="s">
        <v>27</v>
      </c>
      <c r="U24" s="20" t="s">
        <v>53</v>
      </c>
      <c r="V24" s="20" t="s">
        <v>54</v>
      </c>
    </row>
    <row r="25" spans="1:22">
      <c r="E25" s="21">
        <f>T25</f>
        <v>4</v>
      </c>
      <c r="F25" s="21">
        <f>U25</f>
        <v>271.23590000000002</v>
      </c>
      <c r="G25" s="21">
        <f>V25</f>
        <v>23.57922125</v>
      </c>
      <c r="I25" s="8">
        <f>IF(ISNUMBER(E25), FORECAST(E25,$F$25:$F$28,$E$25:$E$28), "")</f>
        <v>268.14279743672387</v>
      </c>
      <c r="J25" s="8">
        <f>IF(ISNUMBER(F25), F25-I25, "")</f>
        <v>3.0931025632761475</v>
      </c>
      <c r="K25" s="8">
        <f>$F$29 + (F25-G33)/F33</f>
        <v>4</v>
      </c>
      <c r="T25" s="8">
        <f>I3</f>
        <v>4</v>
      </c>
      <c r="U25" s="8">
        <f>J17</f>
        <v>271.23590000000002</v>
      </c>
      <c r="V25" s="8">
        <f>K17</f>
        <v>23.57922125</v>
      </c>
    </row>
    <row r="26" spans="1:22" ht="16">
      <c r="A26" s="1" t="s">
        <v>23</v>
      </c>
      <c r="E26" s="21">
        <f t="shared" ref="E26:E27" si="0">T26</f>
        <v>6.86</v>
      </c>
      <c r="F26" s="21">
        <f t="shared" ref="F26:G27" si="1">U26</f>
        <v>103.94359999999999</v>
      </c>
      <c r="G26" s="21">
        <f t="shared" si="1"/>
        <v>23.943758749999997</v>
      </c>
      <c r="I26" s="8">
        <f>IF(ISNUMBER(E26), FORECAST(E26,$F$25:$F$28,$E$25:$E$28), "")</f>
        <v>110.84975141283195</v>
      </c>
      <c r="J26" s="8">
        <f>IF(ISNUMBER(F26), F26-I26, "")</f>
        <v>-6.9061514128319601</v>
      </c>
      <c r="K26" s="8">
        <f>$F$29 + (F26-G34)/F34</f>
        <v>6.8599999999999994</v>
      </c>
      <c r="T26" s="8">
        <f>M3</f>
        <v>6.86</v>
      </c>
      <c r="U26" s="8">
        <f>N17</f>
        <v>103.94359999999999</v>
      </c>
      <c r="V26" s="8">
        <f>O17</f>
        <v>23.943758749999997</v>
      </c>
    </row>
    <row r="27" spans="1:22">
      <c r="A27" s="5" t="s">
        <v>42</v>
      </c>
      <c r="E27" s="21">
        <f t="shared" si="0"/>
        <v>9.18</v>
      </c>
      <c r="F27" s="21">
        <f t="shared" si="1"/>
        <v>-12.931558750000001</v>
      </c>
      <c r="G27" s="21">
        <f t="shared" si="1"/>
        <v>24.05127375</v>
      </c>
      <c r="I27" s="8">
        <f>IF(ISNUMBER(E27), FORECAST(E27,$F$25:$F$28,$E$25:$E$28), "")</f>
        <v>-16.744607599555934</v>
      </c>
      <c r="J27" s="8">
        <f>IF(ISNUMBER(F27), F27-I27, "")</f>
        <v>3.8130488495559334</v>
      </c>
      <c r="K27" s="8">
        <f>$F$29 + (F27-G34)/F34</f>
        <v>9.18</v>
      </c>
      <c r="T27" s="8">
        <f>Q3</f>
        <v>9.18</v>
      </c>
      <c r="U27" s="8">
        <f>R17</f>
        <v>-12.931558750000001</v>
      </c>
      <c r="V27" s="8">
        <f>S17</f>
        <v>24.05127375</v>
      </c>
    </row>
    <row r="28" spans="1:22">
      <c r="E28" s="15"/>
      <c r="F28" s="15"/>
      <c r="T28" s="8"/>
      <c r="U28" s="8"/>
    </row>
    <row r="29" spans="1:22" ht="16">
      <c r="A29" s="1" t="s">
        <v>22</v>
      </c>
      <c r="E29" s="30" t="s">
        <v>51</v>
      </c>
      <c r="F29" s="15">
        <v>7</v>
      </c>
      <c r="G29" s="15" t="s">
        <v>50</v>
      </c>
      <c r="K29" s="48"/>
    </row>
    <row r="30" spans="1:22">
      <c r="A30" s="5" t="s">
        <v>24</v>
      </c>
      <c r="K30" s="48"/>
    </row>
    <row r="31" spans="1:22" ht="16">
      <c r="A31" s="10" t="s">
        <v>31</v>
      </c>
      <c r="B31" s="23">
        <f>F26</f>
        <v>103.94359999999999</v>
      </c>
      <c r="C31" s="35" t="str">
        <f>_xlfn.CONCAT("mV at pH= ",$M$3)</f>
        <v>mV at pH= 6.86</v>
      </c>
      <c r="F31" s="3" t="s">
        <v>75</v>
      </c>
      <c r="G31" s="3" t="s">
        <v>74</v>
      </c>
      <c r="I31" s="3" t="s">
        <v>76</v>
      </c>
      <c r="K31" s="48"/>
    </row>
    <row r="32" spans="1:22" ht="16">
      <c r="A32" s="10" t="s">
        <v>33</v>
      </c>
      <c r="B32" s="23">
        <f>G33</f>
        <v>95.754466433566449</v>
      </c>
      <c r="C32" s="35" t="str">
        <f>_xlfn.CONCAT("E0, mV at pH= ",$F$29, ", acidic")</f>
        <v>E0, mV at pH= 7, acidic</v>
      </c>
      <c r="F32" s="3" t="s">
        <v>71</v>
      </c>
      <c r="G32" s="3" t="s">
        <v>73</v>
      </c>
    </row>
    <row r="33" spans="1:9" ht="15">
      <c r="A33" s="10" t="s">
        <v>34</v>
      </c>
      <c r="B33" s="23">
        <f>I33</f>
        <v>-0.45663054718881568</v>
      </c>
      <c r="C33" s="35" t="s">
        <v>77</v>
      </c>
      <c r="E33" s="39" t="str">
        <f>_xlfn.CONCAT("acidic pH  ",I3, " to ",M3)</f>
        <v>acidic pH  4 to 6.86</v>
      </c>
      <c r="F33" s="31">
        <f xml:space="preserve"> SLOPE(F25:F26,E25:E26)</f>
        <v>-58.493811188811186</v>
      </c>
      <c r="G33" s="22">
        <f xml:space="preserve"> FORECAST($F$29,F25:F26,E25:E26)</f>
        <v>95.754466433566449</v>
      </c>
      <c r="I33" s="22">
        <f xml:space="preserve"> -1 * F33  - (54.2 + 0.1984*G26)</f>
        <v>-0.45663054718881568</v>
      </c>
    </row>
    <row r="34" spans="1:9" ht="15">
      <c r="A34" s="10" t="s">
        <v>35</v>
      </c>
      <c r="B34" s="23">
        <f>F26</f>
        <v>103.94359999999999</v>
      </c>
      <c r="C34" s="35" t="str">
        <f>_xlfn.CONCAT("mV at pH= ",$M$3)</f>
        <v>mV at pH= 6.86</v>
      </c>
      <c r="E34" s="39" t="str">
        <f>_xlfn.CONCAT("alkaline pH  ",M3, " to ",Q3)</f>
        <v>alkaline pH  6.86 to 9.18</v>
      </c>
      <c r="F34" s="31">
        <f xml:space="preserve"> SLOPE(F26:F27,E26:E27)</f>
        <v>-50.377223599137935</v>
      </c>
      <c r="G34" s="22">
        <f xml:space="preserve"> FORECAST($F$29,F26:F27,E26:E27)</f>
        <v>96.890788696120637</v>
      </c>
      <c r="I34" s="22">
        <f xml:space="preserve"> -1 * F34  - (54.2 + 0.1984*G27)</f>
        <v>-8.5945491128620688</v>
      </c>
    </row>
    <row r="35" spans="1:9">
      <c r="A35" s="10" t="s">
        <v>36</v>
      </c>
      <c r="B35" s="23">
        <f>G34</f>
        <v>96.890788696120637</v>
      </c>
      <c r="C35" s="35" t="str">
        <f>_xlfn.CONCAT("E0, mV at pH= ",$F$29, ", alkaline")</f>
        <v>E0, mV at pH= 7, alkaline</v>
      </c>
    </row>
    <row r="36" spans="1:9" ht="15">
      <c r="A36" s="10" t="s">
        <v>37</v>
      </c>
      <c r="B36" s="23">
        <f>I34</f>
        <v>-8.5945491128620688</v>
      </c>
      <c r="C36" s="35" t="s">
        <v>78</v>
      </c>
      <c r="E36" s="53" t="s">
        <v>83</v>
      </c>
      <c r="F36" s="40">
        <f xml:space="preserve"> - (54.2 + 0.1984*G26)</f>
        <v>-58.950441736000002</v>
      </c>
      <c r="G36" s="34" t="s">
        <v>71</v>
      </c>
    </row>
    <row r="37" spans="1:9" ht="15">
      <c r="E37" s="10"/>
      <c r="F37" s="40"/>
    </row>
    <row r="38" spans="1:9">
      <c r="E38" s="10"/>
      <c r="F38" s="10"/>
    </row>
    <row r="39" spans="1:9" ht="16">
      <c r="A39" s="1" t="s">
        <v>20</v>
      </c>
      <c r="G39" s="32"/>
    </row>
    <row r="40" spans="1:9">
      <c r="A40" s="5" t="s">
        <v>25</v>
      </c>
    </row>
    <row r="43" spans="1:9" ht="16">
      <c r="A43" s="1" t="s">
        <v>81</v>
      </c>
    </row>
    <row r="44" spans="1:9">
      <c r="A44" s="50" t="s">
        <v>60</v>
      </c>
      <c r="B44" s="51"/>
      <c r="C44" s="51"/>
      <c r="D44" s="51"/>
      <c r="E44" s="51"/>
      <c r="F44" s="51"/>
      <c r="G44" s="51"/>
    </row>
    <row r="45" spans="1:9" ht="16">
      <c r="A45" s="28" t="s">
        <v>57</v>
      </c>
      <c r="B45" s="29"/>
      <c r="C45" s="29"/>
      <c r="D45" s="28" t="s">
        <v>43</v>
      </c>
      <c r="E45" s="29"/>
      <c r="F45" s="29"/>
      <c r="G45" s="28" t="s">
        <v>44</v>
      </c>
    </row>
    <row r="46" spans="1:9" ht="16">
      <c r="A46" s="28" t="s">
        <v>52</v>
      </c>
      <c r="B46" s="29"/>
      <c r="C46" s="29"/>
      <c r="D46" s="29"/>
      <c r="E46" s="29"/>
      <c r="F46" s="29"/>
      <c r="G46" s="29"/>
    </row>
    <row r="47" spans="1:9" ht="16">
      <c r="A47" s="28" t="s">
        <v>45</v>
      </c>
      <c r="B47" s="29"/>
      <c r="C47" s="29"/>
      <c r="D47" s="29"/>
      <c r="E47" s="29"/>
      <c r="F47" s="28" t="s">
        <v>46</v>
      </c>
      <c r="G47" s="29"/>
    </row>
    <row r="48" spans="1:9" ht="16">
      <c r="A48" s="28" t="s">
        <v>47</v>
      </c>
      <c r="B48" s="29"/>
      <c r="C48" s="29"/>
      <c r="D48" s="29"/>
      <c r="E48" s="29"/>
      <c r="F48" s="28" t="s">
        <v>48</v>
      </c>
      <c r="G48" s="29"/>
    </row>
    <row r="49" spans="1:7" ht="16">
      <c r="A49" s="28" t="s">
        <v>49</v>
      </c>
      <c r="B49" s="29"/>
      <c r="C49" s="29"/>
      <c r="D49" s="29"/>
      <c r="E49" s="29"/>
      <c r="F49" s="28"/>
      <c r="G49" s="29"/>
    </row>
    <row r="51" spans="1:7">
      <c r="A51" s="38" t="s">
        <v>69</v>
      </c>
    </row>
    <row r="52" spans="1:7" ht="16">
      <c r="A52" s="43" t="s">
        <v>68</v>
      </c>
    </row>
    <row r="54" spans="1:7" ht="16">
      <c r="A54" s="52" t="s">
        <v>82</v>
      </c>
    </row>
    <row r="56" spans="1:7" ht="15">
      <c r="B56" s="42" t="s">
        <v>70</v>
      </c>
      <c r="C56" s="31">
        <f>-0.1984*(25+273.15)</f>
        <v>-59.152959999999993</v>
      </c>
      <c r="D56" s="34" t="s">
        <v>84</v>
      </c>
      <c r="E56" s="41">
        <f>-0.1984*273.15</f>
        <v>-54.192959999999992</v>
      </c>
      <c r="F56" s="47" t="s">
        <v>61</v>
      </c>
    </row>
    <row r="57" spans="1:7">
      <c r="B57" s="42" t="s">
        <v>62</v>
      </c>
      <c r="C57" s="45">
        <v>8.3144620000000007</v>
      </c>
      <c r="D57" s="34" t="s">
        <v>64</v>
      </c>
    </row>
    <row r="58" spans="1:7">
      <c r="B58" s="42" t="s">
        <v>66</v>
      </c>
      <c r="C58" s="46">
        <v>96485.331999999995</v>
      </c>
      <c r="D58" s="34" t="s">
        <v>65</v>
      </c>
    </row>
    <row r="59" spans="1:7">
      <c r="B59" s="42" t="s">
        <v>72</v>
      </c>
      <c r="C59" s="44">
        <f>2.303 * 1000* C57/C58</f>
        <v>0.19845717052618944</v>
      </c>
      <c r="D59" s="34" t="s">
        <v>67</v>
      </c>
    </row>
    <row r="62" spans="1:7">
      <c r="A62" s="36" t="s">
        <v>58</v>
      </c>
    </row>
    <row r="63" spans="1:7">
      <c r="A63" s="37" t="s">
        <v>59</v>
      </c>
    </row>
    <row r="65" spans="1:1" ht="16">
      <c r="A65" s="43" t="s">
        <v>63</v>
      </c>
    </row>
  </sheetData>
  <hyperlinks>
    <hyperlink ref="A63" r:id="rId1" xr:uid="{D031EA7F-3DD2-994D-9090-48E1EEC64CF1}"/>
    <hyperlink ref="A65" r:id="rId2" xr:uid="{E3C29821-E81C-594F-ADCE-2DCEB2FA1450}"/>
    <hyperlink ref="A52" r:id="rId3" xr:uid="{1AC6F588-6445-064A-8CD1-2B9DFE84E7C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YL43-example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2021-06-01T15:07:15Z</dcterms:modified>
</cp:coreProperties>
</file>