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nzo/Desktop/金融/国网英大/file/周净值表/"/>
    </mc:Choice>
  </mc:AlternateContent>
  <xr:revisionPtr revIDLastSave="0" documentId="13_ncr:1_{1913408B-F79D-F94D-B126-0EE9A0B6ECB4}" xr6:coauthVersionLast="47" xr6:coauthVersionMax="47" xr10:uidLastSave="{00000000-0000-0000-0000-000000000000}"/>
  <bookViews>
    <workbookView xWindow="0" yWindow="500" windowWidth="33600" windowHeight="19560" firstSheet="1" activeTab="4" xr2:uid="{00000000-000D-0000-FFFF-FFFF00000000}"/>
  </bookViews>
  <sheets>
    <sheet name="1母基金基本情况汇总" sheetId="23" r:id="rId1"/>
    <sheet name="2FOF净值画线" sheetId="25" r:id="rId2"/>
    <sheet name="3风险收益指标" sheetId="14" r:id="rId3"/>
    <sheet name="4资产配置" sheetId="80" r:id="rId4"/>
    <sheet name="碳一号第二批期净值" sheetId="13" r:id="rId5"/>
    <sheet name="子基金申购以来涨跌幅" sheetId="74" r:id="rId6"/>
    <sheet name="周更新-碳一号7期" sheetId="75" r:id="rId7"/>
    <sheet name="周更新-中证500指数" sheetId="81" state="hidden" r:id="rId8"/>
    <sheet name="周更新-碳一号8期 " sheetId="82" r:id="rId9"/>
    <sheet name="周更新-碳一号11期  " sheetId="83" r:id="rId10"/>
    <sheet name="周更新-碳一号9期 " sheetId="84" r:id="rId11"/>
    <sheet name="周更新-碳一号12期 " sheetId="85" r:id="rId12"/>
    <sheet name="周更新-碳一号13期" sheetId="86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3" l="1"/>
  <c r="R16" i="13"/>
  <c r="M17" i="13"/>
  <c r="H17" i="13"/>
  <c r="C17" i="13"/>
  <c r="N17" i="13"/>
  <c r="V16" i="13"/>
  <c r="X16" i="13"/>
  <c r="V12" i="13"/>
  <c r="V13" i="13"/>
  <c r="V14" i="13"/>
  <c r="V15" i="13"/>
  <c r="X12" i="13"/>
  <c r="X13" i="13"/>
  <c r="X14" i="13"/>
  <c r="X15" i="13"/>
  <c r="B20" i="75"/>
  <c r="B21" i="75"/>
  <c r="B22" i="75"/>
  <c r="F21" i="80"/>
  <c r="F7" i="80"/>
  <c r="F5" i="80"/>
  <c r="AD11" i="25"/>
  <c r="AE11" i="25" s="1"/>
  <c r="W11" i="25"/>
  <c r="X11" i="25" s="1"/>
  <c r="I12" i="25"/>
  <c r="J12" i="25" s="1"/>
  <c r="B12" i="25"/>
  <c r="C12" i="25" s="1"/>
  <c r="AB9" i="13"/>
  <c r="R11" i="13"/>
  <c r="C12" i="13"/>
  <c r="X11" i="13"/>
  <c r="V11" i="13"/>
  <c r="N12" i="13"/>
  <c r="G12" i="13"/>
  <c r="L12" i="13"/>
  <c r="M12" i="13" s="1"/>
  <c r="G12" i="23" s="1"/>
  <c r="C8" i="14" s="1"/>
  <c r="I11" i="13"/>
  <c r="N11" i="13" s="1"/>
  <c r="L13" i="74"/>
  <c r="M13" i="74"/>
  <c r="N13" i="74"/>
  <c r="O13" i="74"/>
  <c r="R13" i="74"/>
  <c r="L14" i="74"/>
  <c r="M14" i="74"/>
  <c r="N14" i="74"/>
  <c r="O14" i="74"/>
  <c r="R14" i="74"/>
  <c r="I13" i="74"/>
  <c r="B13" i="74"/>
  <c r="C13" i="74"/>
  <c r="D13" i="74"/>
  <c r="E13" i="74"/>
  <c r="N12" i="74"/>
  <c r="D12" i="74"/>
  <c r="R11" i="74"/>
  <c r="R12" i="74"/>
  <c r="I11" i="74"/>
  <c r="I12" i="74"/>
  <c r="F17" i="80"/>
  <c r="F18" i="80"/>
  <c r="M1" i="80"/>
  <c r="E16" i="80" s="1"/>
  <c r="G16" i="80" s="1"/>
  <c r="F16" i="80"/>
  <c r="N15" i="80"/>
  <c r="F10" i="80"/>
  <c r="F6" i="80"/>
  <c r="F4" i="80"/>
  <c r="AK8" i="25"/>
  <c r="AL8" i="25" s="1"/>
  <c r="AK9" i="25"/>
  <c r="AL9" i="25" s="1"/>
  <c r="G11" i="13"/>
  <c r="I11" i="25" s="1"/>
  <c r="J11" i="25" s="1"/>
  <c r="L11" i="13"/>
  <c r="P11" i="25" s="1"/>
  <c r="Q11" i="25" s="1"/>
  <c r="B11" i="25"/>
  <c r="C11" i="25" s="1"/>
  <c r="R5" i="74"/>
  <c r="R6" i="74"/>
  <c r="R7" i="74"/>
  <c r="R8" i="74"/>
  <c r="R9" i="74"/>
  <c r="R10" i="74"/>
  <c r="R4" i="74"/>
  <c r="O12" i="74"/>
  <c r="M12" i="74"/>
  <c r="L12" i="74"/>
  <c r="O11" i="74"/>
  <c r="N11" i="74"/>
  <c r="M11" i="74"/>
  <c r="L11" i="74"/>
  <c r="O10" i="74"/>
  <c r="N10" i="74"/>
  <c r="M10" i="74"/>
  <c r="L10" i="74"/>
  <c r="O9" i="74"/>
  <c r="N9" i="74"/>
  <c r="M9" i="74"/>
  <c r="L9" i="74"/>
  <c r="O8" i="74"/>
  <c r="N8" i="74"/>
  <c r="M8" i="74"/>
  <c r="L8" i="74"/>
  <c r="N7" i="74"/>
  <c r="M7" i="74"/>
  <c r="N6" i="74"/>
  <c r="N5" i="74"/>
  <c r="B21" i="86"/>
  <c r="B22" i="86"/>
  <c r="B20" i="86"/>
  <c r="E12" i="23"/>
  <c r="F12" i="23" s="1"/>
  <c r="H12" i="23" s="1"/>
  <c r="E21" i="23"/>
  <c r="J21" i="23" s="1"/>
  <c r="X6" i="13"/>
  <c r="E9" i="23"/>
  <c r="J9" i="23" s="1"/>
  <c r="V6" i="13"/>
  <c r="W11" i="13" s="1"/>
  <c r="V2" i="13"/>
  <c r="AD2" i="25" s="1"/>
  <c r="AH2" i="25" s="1"/>
  <c r="E6" i="23"/>
  <c r="J6" i="23" s="1"/>
  <c r="H6" i="80" s="1"/>
  <c r="J7" i="80" s="1"/>
  <c r="O5" i="80" s="1"/>
  <c r="E15" i="23"/>
  <c r="J15" i="23" s="1"/>
  <c r="R6" i="13"/>
  <c r="G15" i="23"/>
  <c r="C11" i="14" s="1"/>
  <c r="L7" i="13"/>
  <c r="M7" i="13"/>
  <c r="C7" i="13"/>
  <c r="G7" i="13"/>
  <c r="H7" i="13" s="1"/>
  <c r="G2" i="13"/>
  <c r="G3" i="13"/>
  <c r="I3" i="25" s="1"/>
  <c r="J3" i="25" s="1"/>
  <c r="L3" i="13"/>
  <c r="B20" i="85" s="1"/>
  <c r="E9" i="74"/>
  <c r="E10" i="74"/>
  <c r="E11" i="74"/>
  <c r="E12" i="74"/>
  <c r="E8" i="74"/>
  <c r="D6" i="74"/>
  <c r="D7" i="74"/>
  <c r="D8" i="74"/>
  <c r="D9" i="74"/>
  <c r="D10" i="74"/>
  <c r="D11" i="74"/>
  <c r="D5" i="74"/>
  <c r="C8" i="74"/>
  <c r="C9" i="74"/>
  <c r="C10" i="74"/>
  <c r="C11" i="74"/>
  <c r="C12" i="74"/>
  <c r="C7" i="74"/>
  <c r="B9" i="74"/>
  <c r="B10" i="74"/>
  <c r="B11" i="74"/>
  <c r="B12" i="74"/>
  <c r="B8" i="74"/>
  <c r="A17" i="14"/>
  <c r="AB4" i="13"/>
  <c r="I21" i="23"/>
  <c r="AK3" i="25"/>
  <c r="AL3" i="25" s="1"/>
  <c r="AK4" i="25"/>
  <c r="AL4" i="25" s="1"/>
  <c r="AK5" i="25"/>
  <c r="AL5" i="25" s="1"/>
  <c r="AK6" i="25"/>
  <c r="AL6" i="25" s="1"/>
  <c r="AK7" i="25"/>
  <c r="AL7" i="25" s="1"/>
  <c r="AK2" i="25"/>
  <c r="AO2" i="25" s="1"/>
  <c r="V3" i="13"/>
  <c r="AD3" i="25"/>
  <c r="AE3" i="25" s="1"/>
  <c r="V4" i="13"/>
  <c r="AD4" i="25"/>
  <c r="AE4" i="25" s="1"/>
  <c r="V5" i="13"/>
  <c r="AD5" i="25" s="1"/>
  <c r="AE5" i="25" s="1"/>
  <c r="AD6" i="25"/>
  <c r="AE6" i="25" s="1"/>
  <c r="V7" i="13"/>
  <c r="AD7" i="25" s="1"/>
  <c r="AE7" i="25" s="1"/>
  <c r="V8" i="13"/>
  <c r="AD8" i="25"/>
  <c r="AE8" i="25" s="1"/>
  <c r="V9" i="13"/>
  <c r="AD9" i="25" s="1"/>
  <c r="AE9" i="25" s="1"/>
  <c r="V10" i="13"/>
  <c r="AD10" i="25" s="1"/>
  <c r="AE10" i="25" s="1"/>
  <c r="W3" i="25"/>
  <c r="X3" i="25" s="1"/>
  <c r="W4" i="25"/>
  <c r="X4" i="25" s="1"/>
  <c r="W5" i="25"/>
  <c r="X5" i="25" s="1"/>
  <c r="W6" i="25"/>
  <c r="AA3" i="25" s="1"/>
  <c r="W7" i="25"/>
  <c r="W8" i="25"/>
  <c r="W9" i="25"/>
  <c r="X9" i="25" s="1"/>
  <c r="W10" i="25"/>
  <c r="X10" i="25" s="1"/>
  <c r="W2" i="25"/>
  <c r="AA2" i="25" s="1"/>
  <c r="AA1" i="13"/>
  <c r="AO5" i="25"/>
  <c r="AO1" i="25"/>
  <c r="D20" i="86"/>
  <c r="B22" i="85"/>
  <c r="B21" i="85"/>
  <c r="D20" i="85"/>
  <c r="B22" i="84"/>
  <c r="B21" i="84"/>
  <c r="D20" i="84"/>
  <c r="X4" i="13"/>
  <c r="X5" i="13"/>
  <c r="X7" i="13"/>
  <c r="X8" i="13"/>
  <c r="X9" i="13"/>
  <c r="X10" i="13"/>
  <c r="X3" i="13"/>
  <c r="X2" i="13"/>
  <c r="V1" i="13"/>
  <c r="Q1" i="13"/>
  <c r="A14" i="14"/>
  <c r="A11" i="14"/>
  <c r="AH5" i="25"/>
  <c r="AH1" i="25"/>
  <c r="X8" i="25"/>
  <c r="AA5" i="25"/>
  <c r="AA1" i="25"/>
  <c r="I18" i="23"/>
  <c r="I15" i="23"/>
  <c r="X7" i="25"/>
  <c r="N5" i="13"/>
  <c r="N6" i="13"/>
  <c r="N7" i="13"/>
  <c r="N8" i="13"/>
  <c r="N9" i="13"/>
  <c r="N3" i="13"/>
  <c r="N4" i="13"/>
  <c r="N2" i="13"/>
  <c r="I5" i="13"/>
  <c r="I6" i="13"/>
  <c r="I7" i="13"/>
  <c r="I8" i="13"/>
  <c r="I9" i="13"/>
  <c r="I10" i="13"/>
  <c r="N10" i="13" s="1"/>
  <c r="I3" i="13"/>
  <c r="I4" i="13"/>
  <c r="I2" i="13"/>
  <c r="G4" i="13"/>
  <c r="I4" i="25" s="1"/>
  <c r="J4" i="25" s="1"/>
  <c r="G5" i="13"/>
  <c r="I5" i="25"/>
  <c r="J5" i="25" s="1"/>
  <c r="G6" i="13"/>
  <c r="G8" i="13"/>
  <c r="G9" i="13"/>
  <c r="I9" i="25" s="1"/>
  <c r="J9" i="25" s="1"/>
  <c r="G10" i="13"/>
  <c r="I10" i="25"/>
  <c r="J10" i="25" s="1"/>
  <c r="L5" i="13"/>
  <c r="P5" i="25" s="1"/>
  <c r="Q5" i="25" s="1"/>
  <c r="L6" i="13"/>
  <c r="P6" i="25" s="1"/>
  <c r="Q6" i="25" s="1"/>
  <c r="L8" i="13"/>
  <c r="B21" i="83"/>
  <c r="L9" i="13"/>
  <c r="P9" i="25" s="1"/>
  <c r="Q9" i="25" s="1"/>
  <c r="L10" i="13"/>
  <c r="P10" i="25"/>
  <c r="Q10" i="25" s="1"/>
  <c r="L4" i="13"/>
  <c r="P4" i="25" s="1"/>
  <c r="Q4" i="25" s="1"/>
  <c r="B22" i="83"/>
  <c r="B20" i="83"/>
  <c r="B21" i="82"/>
  <c r="B22" i="82"/>
  <c r="P2" i="25"/>
  <c r="T2" i="25" s="1"/>
  <c r="I7" i="25"/>
  <c r="J7" i="25" s="1"/>
  <c r="L1" i="13"/>
  <c r="G1" i="13"/>
  <c r="D20" i="83"/>
  <c r="D20" i="82"/>
  <c r="A8" i="14"/>
  <c r="A5" i="14"/>
  <c r="P7" i="25"/>
  <c r="Q7" i="25" s="1"/>
  <c r="I6" i="25"/>
  <c r="J6" i="25" s="1"/>
  <c r="B20" i="82"/>
  <c r="I2" i="25"/>
  <c r="M2" i="25" s="1"/>
  <c r="P8" i="25"/>
  <c r="Q8" i="25" s="1"/>
  <c r="I8" i="25"/>
  <c r="J8" i="25" s="1"/>
  <c r="M3" i="25"/>
  <c r="G2" i="82"/>
  <c r="T5" i="25"/>
  <c r="T1" i="25"/>
  <c r="M5" i="25"/>
  <c r="M1" i="25"/>
  <c r="B4" i="25"/>
  <c r="C4" i="25" s="1"/>
  <c r="B5" i="25"/>
  <c r="C5" i="25" s="1"/>
  <c r="B6" i="25"/>
  <c r="C6" i="25" s="1"/>
  <c r="B7" i="25"/>
  <c r="C7" i="25" s="1"/>
  <c r="B8" i="25"/>
  <c r="C8" i="25" s="1"/>
  <c r="B9" i="25"/>
  <c r="C9" i="25" s="1"/>
  <c r="B10" i="25"/>
  <c r="C10" i="25" s="1"/>
  <c r="I12" i="23"/>
  <c r="I9" i="23"/>
  <c r="J12" i="23"/>
  <c r="T3" i="25"/>
  <c r="A2" i="14"/>
  <c r="B1" i="13"/>
  <c r="F1" i="25"/>
  <c r="E5" i="80"/>
  <c r="G5" i="80" s="1"/>
  <c r="E7" i="80"/>
  <c r="G7" i="80"/>
  <c r="I9" i="74"/>
  <c r="I10" i="74"/>
  <c r="B3" i="25"/>
  <c r="C3" i="25" s="1"/>
  <c r="B2" i="25"/>
  <c r="F2" i="25" s="1"/>
  <c r="I6" i="23"/>
  <c r="I8" i="74"/>
  <c r="I4" i="74"/>
  <c r="I5" i="74"/>
  <c r="I7" i="74"/>
  <c r="I6" i="74"/>
  <c r="F24" i="81"/>
  <c r="F20" i="81"/>
  <c r="F23" i="81"/>
  <c r="F21" i="81"/>
  <c r="F22" i="81"/>
  <c r="D20" i="81"/>
  <c r="D20" i="75"/>
  <c r="N3" i="80"/>
  <c r="G6" i="23"/>
  <c r="C2" i="14" s="1"/>
  <c r="F5" i="25"/>
  <c r="F6" i="23"/>
  <c r="H6" i="23" s="1"/>
  <c r="E6" i="80"/>
  <c r="G6" i="80"/>
  <c r="E4" i="80"/>
  <c r="G4" i="80"/>
  <c r="E20" i="86"/>
  <c r="E20" i="82"/>
  <c r="E20" i="75"/>
  <c r="E20" i="83"/>
  <c r="G2" i="85" l="1"/>
  <c r="B7" i="82"/>
  <c r="M4" i="25"/>
  <c r="B7" i="84"/>
  <c r="B14" i="84" s="1"/>
  <c r="D11" i="14" s="1"/>
  <c r="B7" i="85"/>
  <c r="C22" i="83"/>
  <c r="D22" i="83" s="1"/>
  <c r="G2" i="84"/>
  <c r="C21" i="83"/>
  <c r="D21" i="83" s="1"/>
  <c r="E8" i="83" s="1"/>
  <c r="C22" i="85"/>
  <c r="D22" i="85" s="1"/>
  <c r="C21" i="82"/>
  <c r="D21" i="82" s="1"/>
  <c r="AH4" i="25"/>
  <c r="G2" i="75"/>
  <c r="C22" i="86"/>
  <c r="D22" i="86" s="1"/>
  <c r="E8" i="86" s="1"/>
  <c r="AO3" i="25"/>
  <c r="G2" i="86"/>
  <c r="B7" i="86"/>
  <c r="B14" i="86" s="1"/>
  <c r="D17" i="14" s="1"/>
  <c r="C21" i="86"/>
  <c r="D21" i="86" s="1"/>
  <c r="AH3" i="25"/>
  <c r="AA4" i="25"/>
  <c r="B7" i="75"/>
  <c r="B14" i="75" s="1"/>
  <c r="D2" i="14" s="1"/>
  <c r="F3" i="25"/>
  <c r="B24" i="81"/>
  <c r="B23" i="81"/>
  <c r="F4" i="25"/>
  <c r="C22" i="75"/>
  <c r="D22" i="75" s="1"/>
  <c r="H4" i="80"/>
  <c r="C21" i="85"/>
  <c r="H16" i="80"/>
  <c r="N16" i="80"/>
  <c r="H5" i="80"/>
  <c r="N4" i="80"/>
  <c r="H7" i="80"/>
  <c r="B14" i="85"/>
  <c r="D14" i="14" s="1"/>
  <c r="B14" i="82"/>
  <c r="D5" i="14" s="1"/>
  <c r="C22" i="82"/>
  <c r="B9" i="82" s="1"/>
  <c r="X6" i="25"/>
  <c r="N5" i="80"/>
  <c r="B21" i="81"/>
  <c r="H12" i="13"/>
  <c r="G9" i="23" s="1"/>
  <c r="C5" i="14" s="1"/>
  <c r="P12" i="25"/>
  <c r="C21" i="75"/>
  <c r="G2" i="83"/>
  <c r="P3" i="25"/>
  <c r="Q3" i="25" s="1"/>
  <c r="B22" i="81"/>
  <c r="B2" i="82"/>
  <c r="B7" i="83"/>
  <c r="B20" i="84"/>
  <c r="W6" i="13"/>
  <c r="B20" i="81"/>
  <c r="M13" i="80"/>
  <c r="AO4" i="25"/>
  <c r="C22" i="84"/>
  <c r="D22" i="84" s="1"/>
  <c r="F21" i="23"/>
  <c r="H21" i="23" s="1"/>
  <c r="F15" i="23"/>
  <c r="H15" i="23" s="1"/>
  <c r="E18" i="23"/>
  <c r="F9" i="23"/>
  <c r="H9" i="23" s="1"/>
  <c r="G21" i="23"/>
  <c r="C17" i="14" s="1"/>
  <c r="E21" i="86"/>
  <c r="E21" i="82"/>
  <c r="E21" i="83"/>
  <c r="E20" i="81"/>
  <c r="E20" i="85"/>
  <c r="E21" i="75"/>
  <c r="E9" i="83" l="1"/>
  <c r="E10" i="83" s="1"/>
  <c r="D14" i="83" s="1"/>
  <c r="F8" i="14" s="1"/>
  <c r="B9" i="83"/>
  <c r="B3" i="83"/>
  <c r="B2" i="83"/>
  <c r="B1" i="83"/>
  <c r="A14" i="83" s="1"/>
  <c r="B8" i="14" s="1"/>
  <c r="B2" i="86"/>
  <c r="B10" i="86" s="1"/>
  <c r="B3" i="86"/>
  <c r="E9" i="86"/>
  <c r="E10" i="86" s="1"/>
  <c r="D14" i="86" s="1"/>
  <c r="F17" i="14" s="1"/>
  <c r="B9" i="86"/>
  <c r="E4" i="86" s="1"/>
  <c r="B1" i="86"/>
  <c r="C23" i="81"/>
  <c r="D23" i="81" s="1"/>
  <c r="H14" i="81"/>
  <c r="C24" i="81"/>
  <c r="D24" i="81" s="1"/>
  <c r="E7" i="81"/>
  <c r="E14" i="81" s="1"/>
  <c r="G2" i="81"/>
  <c r="B7" i="81"/>
  <c r="C22" i="81"/>
  <c r="D22" i="81" s="1"/>
  <c r="T4" i="25"/>
  <c r="Q12" i="25"/>
  <c r="B14" i="83"/>
  <c r="D8" i="14" s="1"/>
  <c r="E18" i="80"/>
  <c r="G18" i="80" s="1"/>
  <c r="H18" i="80" s="1"/>
  <c r="E17" i="80"/>
  <c r="G17" i="80" s="1"/>
  <c r="H17" i="80" s="1"/>
  <c r="J18" i="80" s="1"/>
  <c r="H15" i="80"/>
  <c r="J16" i="80"/>
  <c r="D21" i="85"/>
  <c r="E8" i="85" s="1"/>
  <c r="B3" i="85"/>
  <c r="B9" i="85"/>
  <c r="B2" i="85"/>
  <c r="B1" i="85"/>
  <c r="E9" i="85"/>
  <c r="E10" i="85" s="1"/>
  <c r="D14" i="85" s="1"/>
  <c r="F14" i="14" s="1"/>
  <c r="C21" i="84"/>
  <c r="D22" i="82"/>
  <c r="E8" i="82" s="1"/>
  <c r="E4" i="82" s="1"/>
  <c r="E9" i="82"/>
  <c r="E10" i="82" s="1"/>
  <c r="D14" i="82" s="1"/>
  <c r="F5" i="14" s="1"/>
  <c r="B3" i="82"/>
  <c r="B11" i="82" s="1"/>
  <c r="J18" i="23"/>
  <c r="G18" i="23"/>
  <c r="C14" i="14" s="1"/>
  <c r="F18" i="23"/>
  <c r="H18" i="23" s="1"/>
  <c r="E4" i="83"/>
  <c r="E2" i="83"/>
  <c r="F14" i="83" s="1"/>
  <c r="H8" i="14" s="1"/>
  <c r="B1" i="75"/>
  <c r="B9" i="75"/>
  <c r="D21" i="75"/>
  <c r="E8" i="75" s="1"/>
  <c r="E9" i="75"/>
  <c r="E10" i="75" s="1"/>
  <c r="D14" i="75" s="1"/>
  <c r="F2" i="14" s="1"/>
  <c r="B2" i="75"/>
  <c r="B3" i="75"/>
  <c r="J4" i="80"/>
  <c r="H3" i="80"/>
  <c r="B1" i="82"/>
  <c r="C21" i="81"/>
  <c r="B8" i="86"/>
  <c r="E22" i="75"/>
  <c r="E22" i="82"/>
  <c r="E22" i="83"/>
  <c r="E21" i="85"/>
  <c r="E21" i="81"/>
  <c r="E22" i="86"/>
  <c r="E20" i="84"/>
  <c r="B4" i="83" l="1"/>
  <c r="B11" i="83"/>
  <c r="B10" i="83"/>
  <c r="B8" i="83"/>
  <c r="E2" i="86"/>
  <c r="F14" i="86" s="1"/>
  <c r="H17" i="14" s="1"/>
  <c r="B11" i="86"/>
  <c r="B4" i="86"/>
  <c r="A14" i="86"/>
  <c r="B17" i="14" s="1"/>
  <c r="E7" i="86"/>
  <c r="E14" i="86" s="1"/>
  <c r="G17" i="14" s="1"/>
  <c r="E7" i="83"/>
  <c r="E14" i="83" s="1"/>
  <c r="G8" i="14" s="1"/>
  <c r="E7" i="82"/>
  <c r="E14" i="82" s="1"/>
  <c r="G5" i="14" s="1"/>
  <c r="E7" i="75"/>
  <c r="E14" i="75" s="1"/>
  <c r="G2" i="14" s="1"/>
  <c r="B4" i="82"/>
  <c r="A14" i="82"/>
  <c r="B5" i="14" s="1"/>
  <c r="B8" i="82"/>
  <c r="J3" i="80"/>
  <c r="O4" i="80"/>
  <c r="O3" i="80" s="1"/>
  <c r="E2" i="85"/>
  <c r="F14" i="85" s="1"/>
  <c r="H14" i="14" s="1"/>
  <c r="E4" i="85"/>
  <c r="B2" i="84"/>
  <c r="B3" i="84"/>
  <c r="B1" i="84"/>
  <c r="E9" i="84"/>
  <c r="E10" i="84" s="1"/>
  <c r="D14" i="84" s="1"/>
  <c r="F11" i="14" s="1"/>
  <c r="D21" i="84"/>
  <c r="E8" i="84" s="1"/>
  <c r="B9" i="84"/>
  <c r="J15" i="80"/>
  <c r="O16" i="80"/>
  <c r="O15" i="80" s="1"/>
  <c r="B14" i="81"/>
  <c r="E4" i="75"/>
  <c r="E2" i="75"/>
  <c r="F14" i="75" s="1"/>
  <c r="H2" i="14" s="1"/>
  <c r="B11" i="75"/>
  <c r="B10" i="75"/>
  <c r="C14" i="86"/>
  <c r="E17" i="14" s="1"/>
  <c r="A14" i="75"/>
  <c r="B2" i="14" s="1"/>
  <c r="B4" i="75"/>
  <c r="B8" i="75"/>
  <c r="C14" i="83"/>
  <c r="E8" i="14" s="1"/>
  <c r="A14" i="85"/>
  <c r="B14" i="14" s="1"/>
  <c r="B4" i="85"/>
  <c r="B8" i="85"/>
  <c r="E2" i="82"/>
  <c r="F14" i="82" s="1"/>
  <c r="H5" i="14" s="1"/>
  <c r="B9" i="81"/>
  <c r="B1" i="81"/>
  <c r="B8" i="81" s="1"/>
  <c r="B3" i="81"/>
  <c r="D21" i="81"/>
  <c r="E8" i="81" s="1"/>
  <c r="B2" i="81"/>
  <c r="E9" i="81"/>
  <c r="E10" i="81" s="1"/>
  <c r="D14" i="81" s="1"/>
  <c r="B11" i="85"/>
  <c r="B10" i="85"/>
  <c r="B10" i="82"/>
  <c r="E22" i="81"/>
  <c r="E21" i="84"/>
  <c r="E22" i="85"/>
  <c r="E3" i="83" l="1"/>
  <c r="G14" i="83" s="1"/>
  <c r="I8" i="14" s="1"/>
  <c r="E3" i="86"/>
  <c r="G14" i="86" s="1"/>
  <c r="I17" i="14" s="1"/>
  <c r="E7" i="85"/>
  <c r="E14" i="85" s="1"/>
  <c r="G14" i="14" s="1"/>
  <c r="E3" i="82"/>
  <c r="G14" i="82" s="1"/>
  <c r="I5" i="14" s="1"/>
  <c r="C14" i="82"/>
  <c r="E5" i="14" s="1"/>
  <c r="B10" i="81"/>
  <c r="B11" i="81"/>
  <c r="B4" i="81"/>
  <c r="A14" i="81"/>
  <c r="A14" i="84"/>
  <c r="B11" i="14" s="1"/>
  <c r="B4" i="84"/>
  <c r="B8" i="84"/>
  <c r="E2" i="81"/>
  <c r="F14" i="81" s="1"/>
  <c r="E4" i="81"/>
  <c r="C14" i="85"/>
  <c r="E14" i="14" s="1"/>
  <c r="E3" i="75"/>
  <c r="G14" i="75" s="1"/>
  <c r="I2" i="14" s="1"/>
  <c r="C14" i="75"/>
  <c r="E2" i="14"/>
  <c r="E4" i="84"/>
  <c r="E2" i="84"/>
  <c r="F14" i="84" s="1"/>
  <c r="H11" i="14" s="1"/>
  <c r="B10" i="84"/>
  <c r="B11" i="84"/>
  <c r="C14" i="81"/>
  <c r="E3" i="81"/>
  <c r="G14" i="81" s="1"/>
  <c r="E23" i="81"/>
  <c r="E22" i="84"/>
  <c r="E3" i="85" l="1"/>
  <c r="G14" i="85" s="1"/>
  <c r="I14" i="14" s="1"/>
  <c r="E7" i="84"/>
  <c r="E14" i="84" s="1"/>
  <c r="G11" i="14" s="1"/>
  <c r="C14" i="84"/>
  <c r="E11" i="14" s="1"/>
  <c r="E24" i="81"/>
  <c r="E3" i="84" l="1"/>
  <c r="G14" i="84" s="1"/>
  <c r="I1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Sharon:</t>
        </r>
        <r>
          <rPr>
            <sz val="9"/>
            <rFont val="宋体"/>
            <family val="3"/>
            <charset val="134"/>
          </rPr>
          <t xml:space="preserve">
冻结拆分窗格</t>
        </r>
      </text>
    </comment>
  </commentList>
</comments>
</file>

<file path=xl/sharedStrings.xml><?xml version="1.0" encoding="utf-8"?>
<sst xmlns="http://schemas.openxmlformats.org/spreadsheetml/2006/main" count="579" uniqueCount="127">
  <si>
    <t>一、产品基本情况</t>
  </si>
  <si>
    <t>指数名称</t>
  </si>
  <si>
    <t>日期</t>
  </si>
  <si>
    <t>指数点位</t>
  </si>
  <si>
    <t>产品编码</t>
  </si>
  <si>
    <t>产品名称</t>
  </si>
  <si>
    <t>成立日期</t>
  </si>
  <si>
    <t>投资策略</t>
  </si>
  <si>
    <t>净值日期</t>
  </si>
  <si>
    <t>累计净值</t>
  </si>
  <si>
    <t>净值周变动</t>
  </si>
  <si>
    <t>成立以来</t>
  </si>
  <si>
    <t>近一个月年化收益</t>
  </si>
  <si>
    <t>资产净值</t>
  </si>
  <si>
    <t>FOF</t>
  </si>
  <si>
    <t>年化收益率</t>
  </si>
  <si>
    <t>最大回撤</t>
  </si>
  <si>
    <t>交易周</t>
  </si>
  <si>
    <t>本周收益</t>
  </si>
  <si>
    <t>累计收益率</t>
  </si>
  <si>
    <t>年化波动率</t>
  </si>
  <si>
    <t>Sharpe Ratio</t>
  </si>
  <si>
    <t>Calmar Ratio</t>
  </si>
  <si>
    <t>今年以来</t>
  </si>
  <si>
    <t>类别</t>
  </si>
  <si>
    <t>投顾</t>
  </si>
  <si>
    <t>子基金</t>
  </si>
  <si>
    <t>二级策略类别</t>
  </si>
  <si>
    <t>持有市值</t>
  </si>
  <si>
    <t>投资权重</t>
  </si>
  <si>
    <t>一级策略类别</t>
  </si>
  <si>
    <t>一级策略合计</t>
  </si>
  <si>
    <t>策略类别</t>
  </si>
  <si>
    <t>子基金个数</t>
  </si>
  <si>
    <t>权重</t>
  </si>
  <si>
    <t>现金管理</t>
  </si>
  <si>
    <t>货币基金+银行存款</t>
  </si>
  <si>
    <t>周净值变动</t>
  </si>
  <si>
    <t>综合指标</t>
  </si>
  <si>
    <t>注：</t>
  </si>
  <si>
    <t>累计收益率公式中的最后一个净值</t>
  </si>
  <si>
    <t>正收益周</t>
  </si>
  <si>
    <t>负收益周</t>
  </si>
  <si>
    <t>零收益日</t>
  </si>
  <si>
    <t>Sortino Ratio</t>
  </si>
  <si>
    <t>收益指标</t>
  </si>
  <si>
    <t>风险指标</t>
  </si>
  <si>
    <t>下侧波动率</t>
  </si>
  <si>
    <t>周均收益率</t>
  </si>
  <si>
    <t>标准差</t>
  </si>
  <si>
    <t>胜率</t>
  </si>
  <si>
    <t>盈亏比</t>
  </si>
  <si>
    <t>累积收益率</t>
  </si>
  <si>
    <t>源数据</t>
  </si>
  <si>
    <t>每周盈亏</t>
  </si>
  <si>
    <t>下跌幅度</t>
  </si>
  <si>
    <r>
      <t>中证5</t>
    </r>
    <r>
      <rPr>
        <sz val="12"/>
        <rFont val="宋体"/>
        <family val="3"/>
        <charset val="134"/>
        <scheme val="minor"/>
      </rPr>
      <t>00指数</t>
    </r>
    <phoneticPr fontId="19" type="noConversion"/>
  </si>
  <si>
    <t>列1</t>
    <phoneticPr fontId="19" type="noConversion"/>
  </si>
  <si>
    <t>资产净值（估值）</t>
    <phoneticPr fontId="19" type="noConversion"/>
  </si>
  <si>
    <t>套利</t>
    <phoneticPr fontId="19" type="noConversion"/>
  </si>
  <si>
    <t>爱凡哲</t>
    <phoneticPr fontId="19" type="noConversion"/>
  </si>
  <si>
    <t>爱凡哲</t>
    <phoneticPr fontId="19" type="noConversion"/>
  </si>
  <si>
    <t>套利策略</t>
    <phoneticPr fontId="19" type="noConversion"/>
  </si>
  <si>
    <t>年化收益率</t>
    <phoneticPr fontId="19" type="noConversion"/>
  </si>
  <si>
    <t>爱凡哲八号</t>
    <phoneticPr fontId="19" type="noConversion"/>
  </si>
  <si>
    <t>期货高频</t>
    <phoneticPr fontId="19" type="noConversion"/>
  </si>
  <si>
    <t>稳健类</t>
    <phoneticPr fontId="19" type="noConversion"/>
  </si>
  <si>
    <t>期货套利</t>
    <phoneticPr fontId="19" type="noConversion"/>
  </si>
  <si>
    <t>爱凡哲六号</t>
    <phoneticPr fontId="19" type="noConversion"/>
  </si>
  <si>
    <t>垒盈</t>
    <phoneticPr fontId="19" type="noConversion"/>
  </si>
  <si>
    <t>垒盈二号</t>
    <phoneticPr fontId="19" type="noConversion"/>
  </si>
  <si>
    <t>爱凡哲六号</t>
    <phoneticPr fontId="19" type="noConversion"/>
  </si>
  <si>
    <t>持有份额</t>
    <phoneticPr fontId="19" type="noConversion"/>
  </si>
  <si>
    <t>期末单位净值</t>
    <phoneticPr fontId="19" type="noConversion"/>
  </si>
  <si>
    <t>日期</t>
    <phoneticPr fontId="19" type="noConversion"/>
  </si>
  <si>
    <t>申购日</t>
    <phoneticPr fontId="19" type="noConversion"/>
  </si>
  <si>
    <t>成立以来年化收益率</t>
    <phoneticPr fontId="19" type="noConversion"/>
  </si>
  <si>
    <t>股指高频</t>
    <phoneticPr fontId="19" type="noConversion"/>
  </si>
  <si>
    <t>FOF净值</t>
    <phoneticPr fontId="19" type="noConversion"/>
  </si>
  <si>
    <t>垒盈二号</t>
    <phoneticPr fontId="19" type="noConversion"/>
  </si>
  <si>
    <t>英大长三角碳一号7期FOF单一资产管理计划</t>
    <phoneticPr fontId="19" type="noConversion"/>
  </si>
  <si>
    <t>英大长三角碳一号8期FOF单一资产管理计划</t>
    <phoneticPr fontId="19" type="noConversion"/>
  </si>
  <si>
    <t>SQH831</t>
    <phoneticPr fontId="19" type="noConversion"/>
  </si>
  <si>
    <t>SQH833</t>
    <phoneticPr fontId="19" type="noConversion"/>
  </si>
  <si>
    <t>英大长三角碳一号11期FOF单一资产管理计划</t>
    <phoneticPr fontId="19" type="noConversion"/>
  </si>
  <si>
    <t>SQL543</t>
    <phoneticPr fontId="19" type="noConversion"/>
  </si>
  <si>
    <t>英大长三角碳一号7期FOF</t>
    <phoneticPr fontId="19" type="noConversion"/>
  </si>
  <si>
    <t>英大长三角碳一号8期FOF</t>
    <phoneticPr fontId="19" type="noConversion"/>
  </si>
  <si>
    <t>英大长三角碳一号11期FOF</t>
    <phoneticPr fontId="19" type="noConversion"/>
  </si>
  <si>
    <t>英大长三角碳一号9期FOF单一资产管理计划</t>
    <phoneticPr fontId="19" type="noConversion"/>
  </si>
  <si>
    <t>SQH834</t>
    <phoneticPr fontId="19" type="noConversion"/>
  </si>
  <si>
    <t>SQL545</t>
    <phoneticPr fontId="19" type="noConversion"/>
  </si>
  <si>
    <t>英大长三角碳一号12期FOF单一资产管理计划</t>
    <phoneticPr fontId="19" type="noConversion"/>
  </si>
  <si>
    <t>英大长三角碳一号9期FOF</t>
    <phoneticPr fontId="19" type="noConversion"/>
  </si>
  <si>
    <t>英大长三角碳一号12期FOF</t>
    <phoneticPr fontId="19" type="noConversion"/>
  </si>
  <si>
    <t>英大长三角碳一号13期FOF</t>
    <phoneticPr fontId="19" type="noConversion"/>
  </si>
  <si>
    <t>英大长三角碳一号13期FOF单一资产管理计划</t>
    <phoneticPr fontId="19" type="noConversion"/>
  </si>
  <si>
    <t>SQL869</t>
    <phoneticPr fontId="19" type="noConversion"/>
  </si>
  <si>
    <t>周涨跌幅</t>
    <phoneticPr fontId="19" type="noConversion"/>
  </si>
  <si>
    <t>琅琊三号</t>
    <phoneticPr fontId="19" type="noConversion"/>
  </si>
  <si>
    <t>申购日</t>
    <phoneticPr fontId="19" type="noConversion"/>
  </si>
  <si>
    <t>黑玺湖畔1号</t>
    <phoneticPr fontId="19" type="noConversion"/>
  </si>
  <si>
    <t>钧誉量化对冲11号</t>
    <phoneticPr fontId="19" type="noConversion"/>
  </si>
  <si>
    <t>图灵林海7号</t>
    <phoneticPr fontId="19" type="noConversion"/>
  </si>
  <si>
    <t>比例</t>
    <phoneticPr fontId="19" type="noConversion"/>
  </si>
  <si>
    <t>英大长三角碳一号7811期FOF</t>
    <phoneticPr fontId="19" type="noConversion"/>
  </si>
  <si>
    <t>爱凡哲八号</t>
    <phoneticPr fontId="19" type="noConversion"/>
  </si>
  <si>
    <t>英大长三角碳一号91213期FOF</t>
    <phoneticPr fontId="19" type="noConversion"/>
  </si>
  <si>
    <t>申购日</t>
    <phoneticPr fontId="19" type="noConversion"/>
  </si>
  <si>
    <t>爱凡哲</t>
    <phoneticPr fontId="19" type="noConversion"/>
  </si>
  <si>
    <t>琅玡三号</t>
    <phoneticPr fontId="19" type="noConversion"/>
  </si>
  <si>
    <t>黑玺</t>
    <phoneticPr fontId="19" type="noConversion"/>
  </si>
  <si>
    <t>股票T0</t>
    <phoneticPr fontId="19" type="noConversion"/>
  </si>
  <si>
    <t>英大长三角碳一号7811期FOF</t>
    <phoneticPr fontId="19" type="noConversion"/>
  </si>
  <si>
    <t>图灵</t>
    <phoneticPr fontId="19" type="noConversion"/>
  </si>
  <si>
    <t>钧誉</t>
    <phoneticPr fontId="19" type="noConversion"/>
  </si>
  <si>
    <t>量化对冲11号</t>
    <phoneticPr fontId="19" type="noConversion"/>
  </si>
  <si>
    <t>期货高频</t>
    <phoneticPr fontId="19" type="noConversion"/>
  </si>
  <si>
    <t>次高频策略</t>
    <phoneticPr fontId="19" type="noConversion"/>
  </si>
  <si>
    <t>股票T0</t>
    <phoneticPr fontId="19" type="noConversion"/>
  </si>
  <si>
    <t>灵海7号</t>
    <phoneticPr fontId="19" type="noConversion"/>
  </si>
  <si>
    <t>1.0002</t>
  </si>
  <si>
    <t>1.0005</t>
  </si>
  <si>
    <t>1.0006</t>
  </si>
  <si>
    <t>1.0004</t>
  </si>
  <si>
    <t>1.0003</t>
  </si>
  <si>
    <t>1.0011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</si>
</sst>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 * #,##0.00_ ;_ * \-#,##0.00_ ;_ * &quot;-&quot;??_ ;_ @_ "/>
    <numFmt numFmtId="177" formatCode="0_ "/>
    <numFmt numFmtId="178" formatCode="0.00_ "/>
    <numFmt numFmtId="179" formatCode="0.0000_);[Red]\(0.0000\)"/>
    <numFmt numFmtId="180" formatCode="0.00_);[Red]\(0.00\)"/>
    <numFmt numFmtId="181" formatCode="_ * #,##0_ ;_ * \-#,##0_ ;_ * &quot;-&quot;??_ ;_ @_ "/>
    <numFmt numFmtId="182" formatCode="0.0%"/>
    <numFmt numFmtId="183" formatCode="0.0000%"/>
    <numFmt numFmtId="184" formatCode="0.0000_ "/>
    <numFmt numFmtId="185" formatCode="0_);[Red]\(0\)"/>
    <numFmt numFmtId="186" formatCode="yyyy\-mm\-dd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20"/>
      <color theme="1"/>
      <name val="黑体"/>
      <family val="3"/>
      <charset val="134"/>
    </font>
    <font>
      <sz val="12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2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0" fontId="1" fillId="0" borderId="0">
      <alignment vertical="center"/>
    </xf>
    <xf numFmtId="0" fontId="23" fillId="0" borderId="0"/>
    <xf numFmtId="9" fontId="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4" fontId="0" fillId="0" borderId="0" xfId="0" applyNumberFormat="1">
      <alignment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2" xfId="0" applyNumberFormat="1" applyFill="1" applyBorder="1">
      <alignment vertical="center"/>
    </xf>
    <xf numFmtId="177" fontId="0" fillId="0" borderId="3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0" fontId="3" fillId="0" borderId="5" xfId="0" applyNumberFormat="1" applyFont="1" applyFill="1" applyBorder="1">
      <alignment vertical="center"/>
    </xf>
    <xf numFmtId="10" fontId="0" fillId="0" borderId="6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0" fontId="0" fillId="0" borderId="8" xfId="0" applyNumberFormat="1" applyFill="1" applyBorder="1">
      <alignment vertical="center"/>
    </xf>
    <xf numFmtId="178" fontId="0" fillId="0" borderId="9" xfId="0" applyNumberFormat="1" applyFill="1" applyBorder="1">
      <alignment vertical="center"/>
    </xf>
    <xf numFmtId="184" fontId="0" fillId="0" borderId="0" xfId="0" applyNumberFormat="1">
      <alignment vertical="center"/>
    </xf>
    <xf numFmtId="10" fontId="0" fillId="0" borderId="1" xfId="0" applyNumberFormat="1" applyFill="1" applyBorder="1">
      <alignment vertical="center"/>
    </xf>
    <xf numFmtId="178" fontId="4" fillId="0" borderId="9" xfId="0" applyNumberFormat="1" applyFont="1" applyFill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14" fontId="3" fillId="0" borderId="5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11" fontId="0" fillId="0" borderId="11" xfId="0" applyNumberFormat="1" applyFill="1" applyBorder="1" applyAlignment="1">
      <alignment vertical="center"/>
    </xf>
    <xf numFmtId="14" fontId="0" fillId="3" borderId="12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0" xfId="0" applyNumberFormat="1" applyFill="1" applyBorder="1">
      <alignment vertical="center"/>
    </xf>
    <xf numFmtId="10" fontId="0" fillId="0" borderId="9" xfId="0" applyNumberFormat="1" applyFill="1" applyBorder="1">
      <alignment vertical="center"/>
    </xf>
    <xf numFmtId="10" fontId="0" fillId="0" borderId="9" xfId="0" applyNumberFormat="1" applyFont="1" applyFill="1" applyBorder="1" applyAlignment="1">
      <alignment horizontal="right" vertical="center"/>
    </xf>
    <xf numFmtId="10" fontId="0" fillId="0" borderId="7" xfId="0" applyNumberFormat="1" applyFill="1" applyBorder="1">
      <alignment vertical="center"/>
    </xf>
    <xf numFmtId="183" fontId="0" fillId="0" borderId="1" xfId="0" applyNumberFormat="1" applyFill="1" applyBorder="1">
      <alignment vertical="center"/>
    </xf>
    <xf numFmtId="183" fontId="0" fillId="0" borderId="0" xfId="0" applyNumberForma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4" fontId="0" fillId="0" borderId="13" xfId="0" applyNumberFormat="1" applyFill="1" applyBorder="1">
      <alignment vertical="center"/>
    </xf>
    <xf numFmtId="10" fontId="0" fillId="0" borderId="14" xfId="0" applyNumberFormat="1" applyFill="1" applyBorder="1">
      <alignment vertical="center"/>
    </xf>
    <xf numFmtId="10" fontId="0" fillId="0" borderId="15" xfId="0" applyNumberFormat="1" applyFill="1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2" fillId="0" borderId="17" xfId="0" applyNumberFormat="1" applyFont="1" applyFill="1" applyBorder="1" applyAlignment="1">
      <alignment horizontal="center" vertical="center" wrapText="1"/>
    </xf>
    <xf numFmtId="185" fontId="2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186" fontId="0" fillId="0" borderId="1" xfId="0" applyNumberFormat="1" applyFill="1" applyBorder="1" applyAlignment="1">
      <alignment horizontal="right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79" fontId="0" fillId="0" borderId="1" xfId="2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4" fontId="8" fillId="0" borderId="1" xfId="0" applyNumberFormat="1" applyFont="1" applyBorder="1" applyAlignment="1">
      <alignment horizontal="right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14" fontId="10" fillId="8" borderId="20" xfId="0" applyNumberFormat="1" applyFont="1" applyFill="1" applyBorder="1" applyAlignment="1">
      <alignment horizontal="center" vertical="center" wrapText="1"/>
    </xf>
    <xf numFmtId="14" fontId="10" fillId="8" borderId="8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182" fontId="0" fillId="0" borderId="1" xfId="2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10" fontId="13" fillId="0" borderId="1" xfId="2" applyNumberFormat="1" applyFont="1" applyFill="1" applyBorder="1" applyAlignment="1">
      <alignment horizontal="center" vertical="center" wrapText="1"/>
    </xf>
    <xf numFmtId="10" fontId="6" fillId="0" borderId="1" xfId="2" applyNumberFormat="1" applyFont="1" applyFill="1" applyBorder="1" applyAlignment="1">
      <alignment horizontal="center" vertical="center" wrapText="1"/>
    </xf>
    <xf numFmtId="10" fontId="5" fillId="0" borderId="1" xfId="2" applyNumberFormat="1" applyFont="1" applyFill="1" applyBorder="1" applyAlignment="1">
      <alignment horizontal="center" vertical="center" wrapText="1"/>
    </xf>
    <xf numFmtId="180" fontId="6" fillId="0" borderId="1" xfId="2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/>
    </xf>
    <xf numFmtId="182" fontId="5" fillId="0" borderId="8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center" vertical="center"/>
    </xf>
    <xf numFmtId="184" fontId="20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81" fontId="22" fillId="0" borderId="1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0" fontId="15" fillId="0" borderId="1" xfId="2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 wrapText="1"/>
    </xf>
    <xf numFmtId="184" fontId="6" fillId="0" borderId="23" xfId="0" applyNumberFormat="1" applyFont="1" applyFill="1" applyBorder="1" applyAlignment="1">
      <alignment horizontal="center" vertical="center"/>
    </xf>
    <xf numFmtId="176" fontId="6" fillId="0" borderId="1" xfId="1" applyFont="1" applyBorder="1" applyAlignment="1">
      <alignment horizontal="center" vertical="center"/>
    </xf>
    <xf numFmtId="179" fontId="6" fillId="0" borderId="23" xfId="0" applyNumberFormat="1" applyFont="1" applyFill="1" applyBorder="1" applyAlignment="1">
      <alignment horizontal="center" vertical="center"/>
    </xf>
    <xf numFmtId="179" fontId="22" fillId="0" borderId="23" xfId="0" applyNumberFormat="1" applyFont="1" applyFill="1" applyBorder="1" applyAlignment="1">
      <alignment horizontal="center" vertical="center"/>
    </xf>
    <xf numFmtId="176" fontId="6" fillId="0" borderId="23" xfId="1" applyFont="1" applyFill="1" applyBorder="1" applyAlignment="1">
      <alignment horizontal="center" vertical="center"/>
    </xf>
    <xf numFmtId="176" fontId="22" fillId="0" borderId="23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4" fontId="24" fillId="0" borderId="24" xfId="6" applyNumberFormat="1" applyFont="1" applyBorder="1" applyAlignment="1">
      <alignment horizontal="right" vertical="center" wrapText="1"/>
    </xf>
    <xf numFmtId="179" fontId="0" fillId="0" borderId="23" xfId="0" applyNumberFormat="1" applyBorder="1">
      <alignment vertical="center"/>
    </xf>
    <xf numFmtId="186" fontId="0" fillId="0" borderId="23" xfId="0" applyNumberFormat="1" applyFill="1" applyBorder="1" applyAlignment="1">
      <alignment horizontal="right" vertical="center"/>
    </xf>
    <xf numFmtId="182" fontId="5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10" fontId="5" fillId="0" borderId="0" xfId="2" applyNumberFormat="1" applyFont="1" applyFill="1" applyBorder="1" applyAlignment="1">
      <alignment horizontal="center" vertical="center" wrapText="1"/>
    </xf>
    <xf numFmtId="10" fontId="6" fillId="0" borderId="0" xfId="2" applyNumberFormat="1" applyFont="1" applyFill="1" applyBorder="1" applyAlignment="1">
      <alignment horizontal="center" vertical="center" wrapText="1"/>
    </xf>
    <xf numFmtId="180" fontId="6" fillId="0" borderId="0" xfId="2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177" fontId="6" fillId="0" borderId="23" xfId="0" applyNumberFormat="1" applyFont="1" applyFill="1" applyBorder="1" applyAlignment="1">
      <alignment horizontal="center" vertical="center" wrapText="1"/>
    </xf>
    <xf numFmtId="10" fontId="6" fillId="0" borderId="23" xfId="2" applyNumberFormat="1" applyFont="1" applyFill="1" applyBorder="1" applyAlignment="1">
      <alignment horizontal="center" vertical="center" wrapText="1"/>
    </xf>
    <xf numFmtId="10" fontId="5" fillId="0" borderId="23" xfId="2" applyNumberFormat="1" applyFont="1" applyFill="1" applyBorder="1" applyAlignment="1">
      <alignment horizontal="center" vertical="center" wrapText="1"/>
    </xf>
    <xf numFmtId="180" fontId="6" fillId="0" borderId="23" xfId="2" applyNumberFormat="1" applyFont="1" applyFill="1" applyBorder="1" applyAlignment="1">
      <alignment horizontal="center" vertical="center" wrapText="1"/>
    </xf>
    <xf numFmtId="10" fontId="14" fillId="0" borderId="23" xfId="0" applyNumberFormat="1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0" fontId="14" fillId="0" borderId="0" xfId="0" applyNumberFormat="1" applyFont="1" applyBorder="1" applyAlignment="1">
      <alignment horizontal="center" vertical="center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79" fontId="7" fillId="10" borderId="1" xfId="0" applyNumberFormat="1" applyFont="1" applyFill="1" applyBorder="1" applyAlignment="1">
      <alignment horizontal="center" vertical="center" wrapText="1"/>
    </xf>
    <xf numFmtId="179" fontId="7" fillId="11" borderId="1" xfId="0" applyNumberFormat="1" applyFont="1" applyFill="1" applyBorder="1" applyAlignment="1">
      <alignment horizontal="center" vertical="center" wrapText="1"/>
    </xf>
    <xf numFmtId="179" fontId="7" fillId="6" borderId="23" xfId="0" applyNumberFormat="1" applyFont="1" applyFill="1" applyBorder="1" applyAlignment="1">
      <alignment horizontal="center" vertical="center" wrapText="1"/>
    </xf>
    <xf numFmtId="10" fontId="0" fillId="0" borderId="23" xfId="2" applyNumberFormat="1" applyFont="1" applyBorder="1" applyAlignment="1">
      <alignment horizontal="center" vertical="center"/>
    </xf>
    <xf numFmtId="10" fontId="15" fillId="0" borderId="23" xfId="2" applyNumberFormat="1" applyFont="1" applyBorder="1" applyAlignment="1">
      <alignment horizontal="center" vertical="center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/>
    </xf>
    <xf numFmtId="9" fontId="7" fillId="6" borderId="1" xfId="2" applyFont="1" applyFill="1" applyBorder="1" applyAlignment="1">
      <alignment horizontal="center" vertical="center" wrapText="1"/>
    </xf>
    <xf numFmtId="9" fontId="7" fillId="6" borderId="23" xfId="2" applyFont="1" applyFill="1" applyBorder="1" applyAlignment="1">
      <alignment horizontal="center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/>
    </xf>
    <xf numFmtId="181" fontId="22" fillId="0" borderId="0" xfId="0" applyNumberFormat="1" applyFont="1" applyBorder="1" applyAlignment="1">
      <alignment horizontal="center" vertical="center"/>
    </xf>
    <xf numFmtId="182" fontId="0" fillId="0" borderId="0" xfId="2" applyNumberFormat="1" applyFont="1" applyBorder="1" applyAlignment="1">
      <alignment horizontal="center" vertical="center"/>
    </xf>
    <xf numFmtId="181" fontId="6" fillId="0" borderId="23" xfId="1" applyNumberFormat="1" applyFont="1" applyFill="1" applyBorder="1" applyAlignment="1">
      <alignment horizontal="center" vertical="center"/>
    </xf>
    <xf numFmtId="10" fontId="6" fillId="0" borderId="23" xfId="0" applyNumberFormat="1" applyFont="1" applyFill="1" applyBorder="1" applyAlignment="1">
      <alignment horizontal="center" vertical="center"/>
    </xf>
    <xf numFmtId="182" fontId="6" fillId="0" borderId="23" xfId="0" applyNumberFormat="1" applyFont="1" applyFill="1" applyBorder="1" applyAlignment="1">
      <alignment horizontal="center" vertical="center"/>
    </xf>
    <xf numFmtId="182" fontId="5" fillId="0" borderId="23" xfId="0" applyNumberFormat="1" applyFont="1" applyFill="1" applyBorder="1" applyAlignment="1">
      <alignment horizontal="center" vertical="center" wrapText="1"/>
    </xf>
    <xf numFmtId="176" fontId="6" fillId="0" borderId="23" xfId="1" applyNumberFormat="1" applyFont="1" applyFill="1" applyBorder="1" applyAlignment="1">
      <alignment horizontal="center" vertical="center"/>
    </xf>
    <xf numFmtId="14" fontId="6" fillId="0" borderId="2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4" fontId="22" fillId="0" borderId="23" xfId="0" applyNumberFormat="1" applyFont="1" applyFill="1" applyBorder="1" applyAlignment="1">
      <alignment horizontal="center" vertical="center"/>
    </xf>
    <xf numFmtId="0" fontId="4" fillId="0" borderId="23" xfId="3" applyNumberFormat="1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14" fontId="22" fillId="0" borderId="17" xfId="0" applyNumberFormat="1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4" fillId="0" borderId="17" xfId="3" applyNumberFormat="1" applyFont="1" applyFill="1" applyBorder="1" applyAlignment="1">
      <alignment horizontal="center" vertical="center"/>
    </xf>
    <xf numFmtId="179" fontId="0" fillId="0" borderId="26" xfId="0" applyNumberFormat="1" applyBorder="1">
      <alignment vertical="center"/>
    </xf>
    <xf numFmtId="4" fontId="24" fillId="0" borderId="27" xfId="6" applyNumberFormat="1" applyFont="1" applyBorder="1" applyAlignment="1">
      <alignment horizontal="right" vertical="center" wrapText="1"/>
    </xf>
    <xf numFmtId="4" fontId="24" fillId="0" borderId="23" xfId="6" applyNumberFormat="1" applyFont="1" applyBorder="1" applyAlignment="1">
      <alignment horizontal="right" vertical="center" wrapText="1"/>
    </xf>
    <xf numFmtId="179" fontId="0" fillId="0" borderId="23" xfId="0" applyNumberFormat="1" applyFill="1" applyBorder="1">
      <alignment vertical="center"/>
    </xf>
    <xf numFmtId="0" fontId="0" fillId="0" borderId="23" xfId="0" applyBorder="1">
      <alignment vertical="center"/>
    </xf>
    <xf numFmtId="4" fontId="8" fillId="0" borderId="23" xfId="0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4" fillId="0" borderId="25" xfId="6" applyNumberFormat="1" applyFont="1" applyBorder="1" applyAlignment="1">
      <alignment horizontal="right" vertical="center" wrapText="1"/>
    </xf>
    <xf numFmtId="4" fontId="25" fillId="0" borderId="25" xfId="0" applyNumberFormat="1" applyFont="1" applyBorder="1" applyAlignment="1">
      <alignment horizontal="right" vertical="center" wrapText="1"/>
    </xf>
    <xf numFmtId="179" fontId="0" fillId="0" borderId="23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179" fontId="0" fillId="0" borderId="23" xfId="0" applyNumberFormat="1" applyBorder="1" applyAlignment="1">
      <alignment horizontal="center"/>
    </xf>
    <xf numFmtId="179" fontId="0" fillId="0" borderId="26" xfId="0" applyNumberFormat="1" applyBorder="1" applyAlignment="1">
      <alignment horizontal="center"/>
    </xf>
    <xf numFmtId="4" fontId="24" fillId="0" borderId="28" xfId="0" applyNumberFormat="1" applyFont="1" applyBorder="1" applyAlignment="1">
      <alignment horizontal="right" vertical="center" wrapText="1"/>
    </xf>
    <xf numFmtId="0" fontId="0" fillId="0" borderId="23" xfId="0" applyBorder="1" applyAlignment="1">
      <alignment horizontal="center" vertical="center"/>
    </xf>
    <xf numFmtId="179" fontId="0" fillId="0" borderId="23" xfId="0" applyNumberForma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0" fontId="6" fillId="0" borderId="18" xfId="0" applyNumberFormat="1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84" fontId="6" fillId="0" borderId="23" xfId="0" applyNumberFormat="1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</cellXfs>
  <cellStyles count="12">
    <cellStyle name="百分比" xfId="2" builtinId="5"/>
    <cellStyle name="百分比 2" xfId="10" xr:uid="{00000000-0005-0000-0000-000001000000}"/>
    <cellStyle name="百分比 3" xfId="11" xr:uid="{00000000-0005-0000-0000-000002000000}"/>
    <cellStyle name="常规" xfId="0" builtinId="0"/>
    <cellStyle name="常规 2" xfId="3" xr:uid="{00000000-0005-0000-0000-000004000000}"/>
    <cellStyle name="常规 2 2" xfId="8" xr:uid="{00000000-0005-0000-0000-000005000000}"/>
    <cellStyle name="常规 3" xfId="4" xr:uid="{00000000-0005-0000-0000-000006000000}"/>
    <cellStyle name="常规 4" xfId="5" xr:uid="{00000000-0005-0000-0000-000007000000}"/>
    <cellStyle name="常规 5" xfId="6" xr:uid="{00000000-0005-0000-0000-000008000000}"/>
    <cellStyle name="常规 6" xfId="7" xr:uid="{00000000-0005-0000-0000-000009000000}"/>
    <cellStyle name="常规 7" xfId="9" xr:uid="{00000000-0005-0000-0000-00000A000000}"/>
    <cellStyle name="千位分隔" xfId="1" builtinId="3"/>
  </cellStyles>
  <dxfs count="44"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79" formatCode="0.0000_);[Red]\(0.0000\)"/>
    </dxf>
    <dxf>
      <numFmt numFmtId="19" formatCode="yyyy/m/d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79" formatCode="0.0000_);[Red]\(0.0000\)"/>
    </dxf>
    <dxf>
      <numFmt numFmtId="19" formatCode="yyyy/m/d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79" formatCode="0.0000_);[Red]\(0.0000\)"/>
    </dxf>
    <dxf>
      <numFmt numFmtId="19" formatCode="yyyy/m/d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79" formatCode="0.0000_);[Red]\(0.0000\)"/>
    </dxf>
    <dxf>
      <numFmt numFmtId="19" formatCode="yyyy/m/d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79" formatCode="0.0000_);[Red]\(0.0000\)"/>
    </dxf>
    <dxf>
      <numFmt numFmtId="19" formatCode="yyyy/m/d"/>
    </dxf>
    <dxf>
      <numFmt numFmtId="4" formatCode="#,##0.00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84" formatCode="0.0000_ "/>
    </dxf>
    <dxf>
      <numFmt numFmtId="19" formatCode="yyyy/m/d"/>
    </dxf>
    <dxf>
      <numFmt numFmtId="14" formatCode="0.00%"/>
      <alignment horizontal="center" vertical="center"/>
    </dxf>
    <dxf>
      <numFmt numFmtId="14" formatCode="0.00%"/>
      <alignment horizontal="center" vertical="center"/>
    </dxf>
    <dxf>
      <font>
        <b val="0"/>
        <i val="0"/>
        <strike val="0"/>
        <u val="none"/>
        <sz val="11"/>
        <color theme="1"/>
        <name val="宋体"/>
        <scheme val="none"/>
      </font>
      <numFmt numFmtId="14" formatCode="0.00%"/>
      <alignment horizontal="center" vertical="center"/>
    </dxf>
    <dxf>
      <numFmt numFmtId="184" formatCode="0.0000_ "/>
    </dxf>
    <dxf>
      <numFmt numFmtId="19" formatCode="yyyy/m/d"/>
    </dxf>
    <dxf>
      <numFmt numFmtId="182" formatCode="0.0%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2" formatCode="0.0%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宋体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72758862888618"/>
          <c:y val="0.13433150569380009"/>
          <c:w val="0.89133399874311481"/>
          <c:h val="0.76525562648138945"/>
        </c:manualLayout>
      </c:layout>
      <c:lineChart>
        <c:grouping val="standard"/>
        <c:varyColors val="0"/>
        <c:ser>
          <c:idx val="0"/>
          <c:order val="0"/>
          <c:tx>
            <c:strRef>
              <c:f>'2FOF净值画线'!$F$1</c:f>
              <c:strCache>
                <c:ptCount val="1"/>
                <c:pt idx="0">
                  <c:v>英大长三角碳一号7期FOF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'2FOF净值画线'!$E$2:$E$4</c:f>
              <c:numCache>
                <c:formatCode>yyyy\-mm\-dd</c:formatCode>
                <c:ptCount val="3"/>
                <c:pt idx="0">
                  <c:v>44323</c:v>
                </c:pt>
                <c:pt idx="1">
                  <c:v>44330</c:v>
                </c:pt>
                <c:pt idx="2">
                  <c:v>44337</c:v>
                </c:pt>
              </c:numCache>
            </c:numRef>
          </c:cat>
          <c:val>
            <c:numRef>
              <c:f>'2FOF净值画线'!$F$2:$F$4</c:f>
              <c:numCache>
                <c:formatCode>0.0000_);[Red]\(0.0000\)</c:formatCode>
                <c:ptCount val="3"/>
                <c:pt idx="0">
                  <c:v>1</c:v>
                </c:pt>
                <c:pt idx="1">
                  <c:v>0.99990000000000001</c:v>
                </c:pt>
                <c:pt idx="2">
                  <c:v>1.0003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C-4556-B886-AA12FCB1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08480"/>
        <c:axId val="2082405216"/>
      </c:lineChart>
      <c:catAx>
        <c:axId val="208240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05216"/>
        <c:crosses val="autoZero"/>
        <c:auto val="0"/>
        <c:lblAlgn val="ctr"/>
        <c:lblOffset val="100"/>
        <c:noMultiLvlLbl val="1"/>
      </c:catAx>
      <c:valAx>
        <c:axId val="2082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'2FOF净值画线'!$B$1</c:f>
              <c:strCache>
                <c:ptCount val="1"/>
                <c:pt idx="0">
                  <c:v>英大长三角碳一号7期FOF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'2FOF净值画线'!$A$2:$A$12</c:f>
              <c:numCache>
                <c:formatCode>yyyy\-mm\-dd</c:formatCode>
                <c:ptCount val="11"/>
                <c:pt idx="0">
                  <c:v>44323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44333</c:v>
                </c:pt>
                <c:pt idx="7">
                  <c:v>44334</c:v>
                </c:pt>
                <c:pt idx="8">
                  <c:v>44335</c:v>
                </c:pt>
                <c:pt idx="9">
                  <c:v>44336</c:v>
                </c:pt>
                <c:pt idx="10">
                  <c:v>44337</c:v>
                </c:pt>
              </c:numCache>
            </c:numRef>
          </c:cat>
          <c:val>
            <c:numRef>
              <c:f>'2FOF净值画线'!$B$2:$B$12</c:f>
              <c:numCache>
                <c:formatCode>0.0000_ </c:formatCode>
                <c:ptCount val="11"/>
                <c:pt idx="0">
                  <c:v>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1</c:v>
                </c:pt>
                <c:pt idx="7">
                  <c:v>1.0001</c:v>
                </c:pt>
                <c:pt idx="8">
                  <c:v>1.0002</c:v>
                </c:pt>
                <c:pt idx="9">
                  <c:v>1.0003</c:v>
                </c:pt>
                <c:pt idx="10">
                  <c:v>1.0003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7-4C3E-B75F-4AFD90AF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85488"/>
        <c:axId val="1337185904"/>
      </c:lineChart>
      <c:dateAx>
        <c:axId val="133718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85904"/>
        <c:crosses val="autoZero"/>
        <c:auto val="1"/>
        <c:lblOffset val="100"/>
        <c:baseTimeUnit val="days"/>
      </c:dateAx>
      <c:valAx>
        <c:axId val="13371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'2FOF净值画线'!$AK$1</c:f>
              <c:strCache>
                <c:ptCount val="1"/>
                <c:pt idx="0">
                  <c:v>英大长三角碳一号13期FOF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'2FOF净值画线'!$AJ$2:$AJ$8</c:f>
              <c:numCache>
                <c:formatCode>yyyy\-mm\-dd</c:formatCode>
                <c:ptCount val="7"/>
                <c:pt idx="0">
                  <c:v>44328</c:v>
                </c:pt>
                <c:pt idx="1">
                  <c:v>44329</c:v>
                </c:pt>
                <c:pt idx="2">
                  <c:v>44330</c:v>
                </c:pt>
                <c:pt idx="3">
                  <c:v>44333</c:v>
                </c:pt>
                <c:pt idx="4">
                  <c:v>44334</c:v>
                </c:pt>
                <c:pt idx="5">
                  <c:v>44335</c:v>
                </c:pt>
                <c:pt idx="6">
                  <c:v>44336</c:v>
                </c:pt>
              </c:numCache>
            </c:numRef>
          </c:cat>
          <c:val>
            <c:numRef>
              <c:f>'2FOF净值画线'!$AK$2:$AK$8</c:f>
              <c:numCache>
                <c:formatCode>0.0000_ 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1.0001</c:v>
                </c:pt>
                <c:pt idx="3">
                  <c:v>1</c:v>
                </c:pt>
                <c:pt idx="4">
                  <c:v>1.0002</c:v>
                </c:pt>
                <c:pt idx="5">
                  <c:v>1.0002</c:v>
                </c:pt>
                <c:pt idx="6">
                  <c:v>1.0004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C-4119-AC19-EF376AEF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37904"/>
        <c:axId val="1033238320"/>
      </c:lineChart>
      <c:dateAx>
        <c:axId val="103323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38320"/>
        <c:crosses val="autoZero"/>
        <c:auto val="1"/>
        <c:lblOffset val="100"/>
        <c:baseTimeUnit val="days"/>
      </c:dateAx>
      <c:valAx>
        <c:axId val="10332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90382593468851"/>
          <c:y val="5.8990897414418944E-2"/>
          <c:w val="0.99782050827892199"/>
          <c:h val="0.941008979140764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E-45D9-8D29-B8CD40F1C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E-45D9-8D29-B8CD40F1C6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E-45D9-8D29-B8CD40F1C6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C5E-45D9-8D29-B8CD40F1C6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C5E-45D9-8D29-B8CD40F1C6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A8-4365-9410-19B925AEAE90}"/>
              </c:ext>
            </c:extLst>
          </c:dPt>
          <c:dLbls>
            <c:dLbl>
              <c:idx val="0"/>
              <c:layout>
                <c:manualLayout>
                  <c:x val="4.3115052347444853E-3"/>
                  <c:y val="9.14907578042106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02294162120068"/>
                      <c:h val="6.7745574356396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5E-45D9-8D29-B8CD40F1C699}"/>
                </c:ext>
              </c:extLst>
            </c:dLbl>
            <c:dLbl>
              <c:idx val="1"/>
              <c:layout>
                <c:manualLayout>
                  <c:x val="-6.5924188121497543E-2"/>
                  <c:y val="5.40489752610710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87503865926443"/>
                      <c:h val="0.20705991496565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C5E-45D9-8D29-B8CD40F1C699}"/>
                </c:ext>
              </c:extLst>
            </c:dLbl>
            <c:dLbl>
              <c:idx val="2"/>
              <c:layout>
                <c:manualLayout>
                  <c:x val="8.7837413477086387E-2"/>
                  <c:y val="2.89163455631875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79839944704098"/>
                      <c:h val="0.191721678729552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C5E-45D9-8D29-B8CD40F1C699}"/>
                </c:ext>
              </c:extLst>
            </c:dLbl>
            <c:dLbl>
              <c:idx val="3"/>
              <c:layout>
                <c:manualLayout>
                  <c:x val="2.0096791595077008E-2"/>
                  <c:y val="5.31916289719104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176273345358"/>
                      <c:h val="0.12482674514170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5E-45D9-8D29-B8CD40F1C699}"/>
                </c:ext>
              </c:extLst>
            </c:dLbl>
            <c:dLbl>
              <c:idx val="4"/>
              <c:layout>
                <c:manualLayout>
                  <c:x val="8.1913507131127813E-2"/>
                  <c:y val="2.03782040542803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73291515127441"/>
                      <c:h val="0.20072708996481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C5E-45D9-8D29-B8CD40F1C699}"/>
                </c:ext>
              </c:extLst>
            </c:dLbl>
            <c:dLbl>
              <c:idx val="5"/>
              <c:layout>
                <c:manualLayout>
                  <c:x val="6.2516910775945289E-2"/>
                  <c:y val="5.31916289719104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51975467195721"/>
                      <c:h val="5.5496453900709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A4A8-4365-9410-19B925AEA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'4资产配置'!$L$3:$L$7</c:f>
              <c:strCache>
                <c:ptCount val="4"/>
                <c:pt idx="0">
                  <c:v>现金管理</c:v>
                </c:pt>
                <c:pt idx="1">
                  <c:v>套利策略</c:v>
                </c:pt>
                <c:pt idx="2">
                  <c:v>次高频策略</c:v>
                </c:pt>
                <c:pt idx="3">
                  <c:v>股票T0</c:v>
                </c:pt>
              </c:strCache>
            </c:strRef>
          </c:cat>
          <c:val>
            <c:numRef>
              <c:f>'4资产配置'!$O$3:$O$7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E-45D9-8D29-B8CD40F1C69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腾扬</a:t>
            </a:r>
            <a:r>
              <a:rPr lang="en-US" altLang="zh-CN"/>
              <a:t>FOF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'周更新-中证500指数'!$B$19</c:f>
              <c:strCache>
                <c:ptCount val="1"/>
                <c:pt idx="0">
                  <c:v>累计净值</c:v>
                </c:pt>
              </c:strCache>
            </c:strRef>
          </c:tx>
          <c:marker>
            <c:symbol val="none"/>
          </c:marker>
          <c:cat>
            <c:numRef>
              <c:f>'周更新-中证500指数'!$A$20:$A$43</c:f>
              <c:numCache>
                <c:formatCode>yyyy\-mm\-dd</c:formatCode>
                <c:ptCount val="24"/>
                <c:pt idx="0">
                  <c:v>44025</c:v>
                </c:pt>
                <c:pt idx="1">
                  <c:v>44029</c:v>
                </c:pt>
                <c:pt idx="2">
                  <c:v>44036</c:v>
                </c:pt>
                <c:pt idx="3">
                  <c:v>44043</c:v>
                </c:pt>
                <c:pt idx="4">
                  <c:v>44050</c:v>
                </c:pt>
              </c:numCache>
            </c:numRef>
          </c:cat>
          <c:val>
            <c:numRef>
              <c:f>'周更新-中证500指数'!$B$20:$B$43</c:f>
              <c:numCache>
                <c:formatCode>0.0000_ 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1-4DD6-B0A4-E05E318F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31888"/>
        <c:axId val="2083928080"/>
      </c:lineChart>
      <c:dateAx>
        <c:axId val="208393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28080"/>
        <c:crosses val="autoZero"/>
        <c:auto val="1"/>
        <c:lblOffset val="100"/>
        <c:baseTimeUnit val="days"/>
      </c:dateAx>
      <c:valAx>
        <c:axId val="2083928080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31888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13</xdr:row>
      <xdr:rowOff>22860</xdr:rowOff>
    </xdr:from>
    <xdr:to>
      <xdr:col>7</xdr:col>
      <xdr:colOff>624840</xdr:colOff>
      <xdr:row>28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25</xdr:row>
      <xdr:rowOff>121920</xdr:rowOff>
    </xdr:from>
    <xdr:to>
      <xdr:col>5</xdr:col>
      <xdr:colOff>693420</xdr:colOff>
      <xdr:row>39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533400</xdr:colOff>
      <xdr:row>14</xdr:row>
      <xdr:rowOff>114306</xdr:rowOff>
    </xdr:from>
    <xdr:to>
      <xdr:col>40</xdr:col>
      <xdr:colOff>419100</xdr:colOff>
      <xdr:row>29</xdr:row>
      <xdr:rowOff>114306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25</xdr:row>
      <xdr:rowOff>20955</xdr:rowOff>
    </xdr:from>
    <xdr:to>
      <xdr:col>8</xdr:col>
      <xdr:colOff>800100</xdr:colOff>
      <xdr:row>46</xdr:row>
      <xdr:rowOff>62865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161925</xdr:rowOff>
    </xdr:from>
    <xdr:to>
      <xdr:col>11</xdr:col>
      <xdr:colOff>876300</xdr:colOff>
      <xdr:row>18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33521;&#22823;&#38271;&#19977;&#35282;&#37329;&#34701;&#20013;&#24515;/&#20135;&#21697;&#25237;&#36164;&#21644;&#20928;&#20540;&#36319;&#36394;/&#23376;&#22522;&#37329;&#25968;&#25454;&#36319;&#3639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爱凡哲六号"/>
      <sheetName val="爱凡哲八号"/>
      <sheetName val="琅玡三号"/>
      <sheetName val="垒盈二号"/>
      <sheetName val="华钧元鼎1期"/>
      <sheetName val="黑玺湖畔1号"/>
      <sheetName val="塑造者2号"/>
      <sheetName val="淘利慧眼组合1号"/>
      <sheetName val="麦迪生利悦动1号"/>
      <sheetName val="麦迪生利悦动2号 "/>
      <sheetName val="均成宏观对冲1号"/>
      <sheetName val="合绎塑造者三号"/>
      <sheetName val="集微投资2期"/>
    </sheetNames>
    <sheetDataSet>
      <sheetData sheetId="0">
        <row r="2">
          <cell r="A2" t="str">
            <v>交易日</v>
          </cell>
          <cell r="B2">
            <v>26</v>
          </cell>
          <cell r="D2" t="str">
            <v>综合指标</v>
          </cell>
          <cell r="F2" t="str">
            <v>注：</v>
          </cell>
          <cell r="G2" t="str">
            <v>累计收益率中的最后一个净值为</v>
          </cell>
        </row>
        <row r="3">
          <cell r="A3" t="str">
            <v>正收益日</v>
          </cell>
          <cell r="B3">
            <v>14</v>
          </cell>
          <cell r="D3" t="str">
            <v>Sharpe Ratio</v>
          </cell>
          <cell r="E3">
            <v>5.269753797697601</v>
          </cell>
        </row>
        <row r="4">
          <cell r="A4" t="str">
            <v>负收益日</v>
          </cell>
          <cell r="B4">
            <v>7</v>
          </cell>
          <cell r="D4" t="str">
            <v>Calmar Ratio</v>
          </cell>
          <cell r="E4">
            <v>52.429561717351703</v>
          </cell>
          <cell r="G4">
            <v>1.3979999999999999</v>
          </cell>
        </row>
        <row r="5">
          <cell r="A5" t="str">
            <v>零收益日</v>
          </cell>
          <cell r="B5">
            <v>5</v>
          </cell>
          <cell r="D5" t="str">
            <v>Sortino Ratio</v>
          </cell>
          <cell r="E5">
            <v>15.470742683161424</v>
          </cell>
        </row>
        <row r="7">
          <cell r="A7" t="str">
            <v>收益指标</v>
          </cell>
          <cell r="D7" t="str">
            <v>风险指标</v>
          </cell>
        </row>
        <row r="8">
          <cell r="A8" t="str">
            <v>累计收益率</v>
          </cell>
          <cell r="B8">
            <v>1.5988372093023173E-2</v>
          </cell>
          <cell r="D8" t="str">
            <v>最大回撤</v>
          </cell>
          <cell r="E8">
            <v>-2.8735632183908288E-3</v>
          </cell>
        </row>
        <row r="9">
          <cell r="A9" t="str">
            <v>年化收益率</v>
          </cell>
          <cell r="B9">
            <v>0.15065966010733375</v>
          </cell>
          <cell r="D9" t="str">
            <v>下侧波动率</v>
          </cell>
          <cell r="E9">
            <v>7.8679579246937665E-4</v>
          </cell>
        </row>
        <row r="10">
          <cell r="A10" t="str">
            <v>日均收益率</v>
          </cell>
          <cell r="B10">
            <v>8.4615384615384696E-4</v>
          </cell>
          <cell r="D10" t="str">
            <v>标准差</v>
          </cell>
          <cell r="E10">
            <v>2.3098451496549968E-3</v>
          </cell>
        </row>
        <row r="11">
          <cell r="A11" t="str">
            <v>胜率</v>
          </cell>
          <cell r="B11">
            <v>0.53846153846153844</v>
          </cell>
          <cell r="D11" t="str">
            <v>年化波动率</v>
          </cell>
          <cell r="E11">
            <v>3.6154795404887238E-2</v>
          </cell>
        </row>
        <row r="12">
          <cell r="A12" t="str">
            <v>盈亏比</v>
          </cell>
          <cell r="B12">
            <v>1.5999999999999757</v>
          </cell>
        </row>
        <row r="14">
          <cell r="A14" t="str">
            <v>交易日</v>
          </cell>
          <cell r="B14" t="str">
            <v>年化收益率</v>
          </cell>
          <cell r="C14" t="str">
            <v>年化波动率</v>
          </cell>
          <cell r="D14" t="str">
            <v>最大回撤</v>
          </cell>
          <cell r="E14" t="str">
            <v>Sharpe Ratio</v>
          </cell>
          <cell r="F14" t="str">
            <v>Calmar Ratio</v>
          </cell>
        </row>
        <row r="15">
          <cell r="A15">
            <v>26</v>
          </cell>
          <cell r="B15">
            <v>0.15065966010733375</v>
          </cell>
          <cell r="C15">
            <v>3.6154795404887238E-2</v>
          </cell>
          <cell r="D15">
            <v>-2.8735632183908288E-3</v>
          </cell>
          <cell r="E15">
            <v>5.269753797697601</v>
          </cell>
          <cell r="F15">
            <v>52.429561717351703</v>
          </cell>
        </row>
        <row r="19">
          <cell r="B19" t="str">
            <v>源数据</v>
          </cell>
        </row>
        <row r="20">
          <cell r="A20" t="str">
            <v>日期</v>
          </cell>
          <cell r="B20" t="str">
            <v>累计净值</v>
          </cell>
          <cell r="C20" t="str">
            <v>每日盈亏</v>
          </cell>
          <cell r="D20" t="str">
            <v>下跌幅度</v>
          </cell>
          <cell r="E20" t="str">
            <v>最大回撤</v>
          </cell>
          <cell r="F20" t="str">
            <v>单位净值</v>
          </cell>
          <cell r="G20" t="str">
            <v>持有涨跌幅</v>
          </cell>
          <cell r="H20" t="str">
            <v>列1</v>
          </cell>
        </row>
        <row r="21">
          <cell r="A21">
            <v>44300</v>
          </cell>
          <cell r="B21">
            <v>1.3759999999999999</v>
          </cell>
          <cell r="C21">
            <v>0</v>
          </cell>
          <cell r="D21" t="str">
            <v>/</v>
          </cell>
          <cell r="E21">
            <v>0</v>
          </cell>
          <cell r="F21">
            <v>1.0679999999999998</v>
          </cell>
          <cell r="G21" t="str">
            <v>申购日</v>
          </cell>
        </row>
        <row r="22">
          <cell r="A22">
            <v>44301</v>
          </cell>
          <cell r="B22">
            <v>1.385</v>
          </cell>
          <cell r="C22">
            <v>9.000000000000119E-3</v>
          </cell>
          <cell r="D22" t="str">
            <v>/</v>
          </cell>
          <cell r="E22">
            <v>0</v>
          </cell>
          <cell r="F22">
            <v>1.077</v>
          </cell>
          <cell r="G22">
            <v>4.5784883720930841E-3</v>
          </cell>
        </row>
        <row r="23">
          <cell r="A23">
            <v>44302</v>
          </cell>
          <cell r="B23">
            <v>1.3859999999999999</v>
          </cell>
          <cell r="C23">
            <v>9.9999999999988987E-4</v>
          </cell>
          <cell r="D23" t="str">
            <v>/</v>
          </cell>
          <cell r="E23">
            <v>0</v>
          </cell>
          <cell r="F23">
            <v>1.0779999999999998</v>
          </cell>
          <cell r="G23">
            <v>5.0872093023255861E-3</v>
          </cell>
        </row>
        <row r="24">
          <cell r="A24">
            <v>44305</v>
          </cell>
          <cell r="B24">
            <v>1.39</v>
          </cell>
          <cell r="C24">
            <v>4.0000000000000036E-3</v>
          </cell>
          <cell r="D24" t="str">
            <v>/</v>
          </cell>
          <cell r="E24">
            <v>0</v>
          </cell>
          <cell r="F24">
            <v>1.0819999999999999</v>
          </cell>
          <cell r="G24">
            <v>7.1220930232558204E-3</v>
          </cell>
        </row>
        <row r="25">
          <cell r="A25">
            <v>44306</v>
          </cell>
          <cell r="B25">
            <v>1.39</v>
          </cell>
          <cell r="C25">
            <v>0</v>
          </cell>
          <cell r="D25" t="str">
            <v>/</v>
          </cell>
          <cell r="E25">
            <v>0</v>
          </cell>
          <cell r="F25">
            <v>1.0819999999999999</v>
          </cell>
          <cell r="G25">
            <v>7.1220930232558204E-3</v>
          </cell>
        </row>
        <row r="26">
          <cell r="A26">
            <v>44307</v>
          </cell>
          <cell r="B26">
            <v>1.389</v>
          </cell>
          <cell r="C26">
            <v>-9.9999999999988987E-4</v>
          </cell>
          <cell r="D26">
            <v>-9.9999999999988987E-4</v>
          </cell>
          <cell r="E26">
            <v>-7.1942446043160579E-4</v>
          </cell>
          <cell r="F26">
            <v>1.081</v>
          </cell>
          <cell r="G26">
            <v>6.6133720930233184E-3</v>
          </cell>
        </row>
        <row r="27">
          <cell r="A27">
            <v>44308</v>
          </cell>
          <cell r="B27">
            <v>1.3879999999999999</v>
          </cell>
          <cell r="C27">
            <v>-1.0000000000001119E-3</v>
          </cell>
          <cell r="D27">
            <v>-1.0000000000001119E-3</v>
          </cell>
          <cell r="E27">
            <v>-1.4388489208633226E-3</v>
          </cell>
          <cell r="F27">
            <v>1.0799999999999998</v>
          </cell>
          <cell r="G27">
            <v>6.1046511627907028E-3</v>
          </cell>
        </row>
        <row r="28">
          <cell r="A28">
            <v>44309</v>
          </cell>
          <cell r="B28">
            <v>1.389</v>
          </cell>
          <cell r="C28">
            <v>1.0000000000001119E-3</v>
          </cell>
          <cell r="D28" t="str">
            <v>/</v>
          </cell>
          <cell r="E28">
            <v>-1.4388489208633226E-3</v>
          </cell>
          <cell r="F28">
            <v>1.081</v>
          </cell>
          <cell r="G28">
            <v>6.6133720930233184E-3</v>
          </cell>
        </row>
        <row r="29">
          <cell r="A29">
            <v>44312</v>
          </cell>
          <cell r="B29">
            <v>1.391</v>
          </cell>
          <cell r="C29">
            <v>2.0000000000000018E-3</v>
          </cell>
          <cell r="D29" t="str">
            <v>/</v>
          </cell>
          <cell r="E29">
            <v>-1.4388489208633226E-3</v>
          </cell>
          <cell r="F29">
            <v>1.083</v>
          </cell>
          <cell r="G29">
            <v>7.6308139534884351E-3</v>
          </cell>
        </row>
        <row r="30">
          <cell r="A30">
            <v>44313</v>
          </cell>
          <cell r="B30">
            <v>1.39</v>
          </cell>
          <cell r="C30">
            <v>-1.0000000000001119E-3</v>
          </cell>
          <cell r="D30">
            <v>-1.0000000000001119E-3</v>
          </cell>
          <cell r="E30">
            <v>-1.4388489208633226E-3</v>
          </cell>
          <cell r="F30">
            <v>1.0819999999999999</v>
          </cell>
          <cell r="G30">
            <v>7.1220930232558204E-3</v>
          </cell>
        </row>
        <row r="31">
          <cell r="A31">
            <v>44314</v>
          </cell>
          <cell r="B31">
            <v>1.391</v>
          </cell>
          <cell r="C31">
            <v>1.0000000000001119E-3</v>
          </cell>
          <cell r="D31" t="str">
            <v>/</v>
          </cell>
          <cell r="E31">
            <v>-1.4388489208633226E-3</v>
          </cell>
          <cell r="F31">
            <v>1.083</v>
          </cell>
          <cell r="G31">
            <v>7.6308139534884351E-3</v>
          </cell>
        </row>
        <row r="32">
          <cell r="A32">
            <v>44315</v>
          </cell>
          <cell r="B32">
            <v>1.3919999999999999</v>
          </cell>
          <cell r="C32">
            <v>9.9999999999988987E-4</v>
          </cell>
          <cell r="D32" t="str">
            <v>/</v>
          </cell>
          <cell r="E32">
            <v>-1.4388489208633226E-3</v>
          </cell>
          <cell r="F32">
            <v>1.0839999999999999</v>
          </cell>
          <cell r="G32">
            <v>8.1395348837209371E-3</v>
          </cell>
        </row>
        <row r="33">
          <cell r="A33">
            <v>44316</v>
          </cell>
          <cell r="B33">
            <v>1.389</v>
          </cell>
          <cell r="C33">
            <v>-2.9999999999998916E-3</v>
          </cell>
          <cell r="D33">
            <v>-2.9999999999998916E-3</v>
          </cell>
          <cell r="E33">
            <v>-2.1551724137930384E-3</v>
          </cell>
          <cell r="F33">
            <v>1.081</v>
          </cell>
          <cell r="G33">
            <v>6.6133720930233184E-3</v>
          </cell>
        </row>
        <row r="34">
          <cell r="A34">
            <v>44322</v>
          </cell>
          <cell r="B34">
            <v>1.3879999999999999</v>
          </cell>
          <cell r="C34">
            <v>-1.0000000000001119E-3</v>
          </cell>
          <cell r="D34">
            <v>-1.0000000000001119E-3</v>
          </cell>
          <cell r="E34">
            <v>-2.8735632183908288E-3</v>
          </cell>
          <cell r="F34">
            <v>1.0799999999999998</v>
          </cell>
          <cell r="G34">
            <v>6.1046511627907028E-3</v>
          </cell>
        </row>
        <row r="35">
          <cell r="A35">
            <v>44323</v>
          </cell>
          <cell r="B35">
            <v>1.3879999999999999</v>
          </cell>
          <cell r="C35">
            <v>0</v>
          </cell>
          <cell r="D35" t="str">
            <v>/</v>
          </cell>
          <cell r="E35">
            <v>-2.8735632183908288E-3</v>
          </cell>
          <cell r="F35">
            <v>1.0799999999999998</v>
          </cell>
          <cell r="G35">
            <v>6.1046511627907028E-3</v>
          </cell>
        </row>
        <row r="36">
          <cell r="A36">
            <v>44326</v>
          </cell>
          <cell r="B36">
            <v>1.389</v>
          </cell>
          <cell r="C36">
            <v>1.0000000000001119E-3</v>
          </cell>
          <cell r="D36" t="str">
            <v>/</v>
          </cell>
          <cell r="E36">
            <v>-2.8735632183908288E-3</v>
          </cell>
          <cell r="F36">
            <v>1.081</v>
          </cell>
          <cell r="G36">
            <v>6.6133720930233184E-3</v>
          </cell>
        </row>
        <row r="37">
          <cell r="A37">
            <v>44327</v>
          </cell>
          <cell r="B37">
            <v>1.389</v>
          </cell>
          <cell r="C37">
            <v>0</v>
          </cell>
          <cell r="D37" t="str">
            <v>/</v>
          </cell>
          <cell r="E37">
            <v>-2.8735632183908288E-3</v>
          </cell>
          <cell r="F37">
            <v>1.081</v>
          </cell>
          <cell r="G37">
            <v>6.6133720930233184E-3</v>
          </cell>
        </row>
        <row r="38">
          <cell r="A38">
            <v>44328</v>
          </cell>
          <cell r="B38">
            <v>1.3919999999999999</v>
          </cell>
          <cell r="C38">
            <v>2.9999999999998916E-3</v>
          </cell>
          <cell r="D38" t="str">
            <v>/</v>
          </cell>
          <cell r="E38">
            <v>-2.8735632183908288E-3</v>
          </cell>
          <cell r="F38">
            <v>1.0839999999999999</v>
          </cell>
          <cell r="G38">
            <v>8.1395348837209371E-3</v>
          </cell>
        </row>
        <row r="39">
          <cell r="A39">
            <v>44329</v>
          </cell>
          <cell r="B39">
            <v>1.3939999999999999</v>
          </cell>
          <cell r="C39">
            <v>2.0000000000000018E-3</v>
          </cell>
          <cell r="D39" t="str">
            <v>/</v>
          </cell>
          <cell r="E39">
            <v>-2.8735632183908288E-3</v>
          </cell>
          <cell r="F39">
            <v>1.0859999999999999</v>
          </cell>
          <cell r="G39">
            <v>9.1569767441860555E-3</v>
          </cell>
        </row>
        <row r="40">
          <cell r="A40">
            <v>44330</v>
          </cell>
          <cell r="B40">
            <v>1.397</v>
          </cell>
          <cell r="C40">
            <v>3.0000000000001137E-3</v>
          </cell>
          <cell r="D40" t="str">
            <v>/</v>
          </cell>
          <cell r="E40">
            <v>-2.8735632183908288E-3</v>
          </cell>
          <cell r="F40">
            <v>1.089</v>
          </cell>
          <cell r="G40">
            <v>1.0683139534883788E-2</v>
          </cell>
          <cell r="H40" t="str">
            <v>申购日</v>
          </cell>
        </row>
        <row r="41">
          <cell r="A41">
            <v>44333</v>
          </cell>
          <cell r="B41">
            <v>1.3979999999999999</v>
          </cell>
          <cell r="C41">
            <v>9.9999999999988987E-4</v>
          </cell>
          <cell r="D41" t="str">
            <v>/</v>
          </cell>
          <cell r="E41">
            <v>-2.8735632183908288E-3</v>
          </cell>
          <cell r="F41">
            <v>1.0899999999999999</v>
          </cell>
          <cell r="G41">
            <v>1.1191860465116289E-2</v>
          </cell>
          <cell r="H41">
            <v>6.4279155188239024E-4</v>
          </cell>
        </row>
        <row r="42">
          <cell r="A42">
            <v>44334</v>
          </cell>
          <cell r="B42">
            <v>1.3959999999999999</v>
          </cell>
          <cell r="C42">
            <v>-2.0000000000000018E-3</v>
          </cell>
          <cell r="D42">
            <v>-2.0000000000000018E-3</v>
          </cell>
          <cell r="E42">
            <v>-2.8735632183908288E-3</v>
          </cell>
          <cell r="F42">
            <v>1.0879999999999999</v>
          </cell>
          <cell r="G42">
            <v>1.0174418604651172E-2</v>
          </cell>
          <cell r="H42">
            <v>-9.1827364554647559E-4</v>
          </cell>
        </row>
        <row r="43">
          <cell r="A43">
            <v>44335</v>
          </cell>
          <cell r="B43">
            <v>1.3979999999999999</v>
          </cell>
          <cell r="C43">
            <v>2.0000000000000018E-3</v>
          </cell>
          <cell r="D43" t="str">
            <v>/</v>
          </cell>
          <cell r="E43">
            <v>-2.8735632183908288E-3</v>
          </cell>
          <cell r="F43">
            <v>1.0899999999999999</v>
          </cell>
          <cell r="G43">
            <v>1.1191860465116289E-2</v>
          </cell>
          <cell r="H43">
            <v>6.4279155188239024E-4</v>
          </cell>
        </row>
        <row r="44">
          <cell r="A44">
            <v>44336</v>
          </cell>
          <cell r="B44">
            <v>1.3979999999999999</v>
          </cell>
          <cell r="C44">
            <v>0</v>
          </cell>
          <cell r="D44" t="str">
            <v>/</v>
          </cell>
          <cell r="E44">
            <v>-2.8735632183908288E-3</v>
          </cell>
          <cell r="F44">
            <v>1.0899999999999999</v>
          </cell>
          <cell r="G44">
            <v>1.1191860465116289E-2</v>
          </cell>
          <cell r="H44">
            <v>6.4279155188239024E-4</v>
          </cell>
        </row>
        <row r="45">
          <cell r="A45">
            <v>44337</v>
          </cell>
          <cell r="B45">
            <v>1.399</v>
          </cell>
          <cell r="C45">
            <v>1.0000000000001119E-3</v>
          </cell>
          <cell r="D45" t="str">
            <v>/</v>
          </cell>
          <cell r="E45">
            <v>-2.8735632183908288E-3</v>
          </cell>
          <cell r="F45">
            <v>1.091</v>
          </cell>
          <cell r="G45">
            <v>1.1700581395348903E-2</v>
          </cell>
          <cell r="H45">
            <v>1.285583103764923E-3</v>
          </cell>
        </row>
        <row r="46">
          <cell r="A46">
            <v>44340</v>
          </cell>
          <cell r="B46">
            <v>1.3979999999999999</v>
          </cell>
          <cell r="C46">
            <v>-1.0000000000001119E-3</v>
          </cell>
          <cell r="D46">
            <v>-1.0000000000001119E-3</v>
          </cell>
          <cell r="E46">
            <v>-2.8735632183908288E-3</v>
          </cell>
          <cell r="F46">
            <v>1.0899999999999999</v>
          </cell>
          <cell r="G46">
            <v>1.1191860465116289E-2</v>
          </cell>
          <cell r="H46">
            <v>6.4279155188239024E-4</v>
          </cell>
        </row>
      </sheetData>
      <sheetData sheetId="1"/>
      <sheetData sheetId="2">
        <row r="2">
          <cell r="A2" t="str">
            <v>交易日</v>
          </cell>
          <cell r="B2">
            <v>11</v>
          </cell>
          <cell r="D2" t="str">
            <v>综合指标</v>
          </cell>
          <cell r="F2" t="str">
            <v>注：</v>
          </cell>
          <cell r="G2" t="str">
            <v>累计收益率中的最后一个净值为</v>
          </cell>
        </row>
        <row r="3">
          <cell r="A3" t="str">
            <v>正收益日</v>
          </cell>
          <cell r="B3">
            <v>4</v>
          </cell>
          <cell r="D3" t="str">
            <v>Sharpe Ratio</v>
          </cell>
          <cell r="E3">
            <v>-4.7177544166510463</v>
          </cell>
        </row>
        <row r="4">
          <cell r="A4" t="str">
            <v>负收益日</v>
          </cell>
          <cell r="B4">
            <v>4</v>
          </cell>
          <cell r="D4" t="str">
            <v>Calmar Ratio</v>
          </cell>
          <cell r="E4">
            <v>2.6737967914434169E-2</v>
          </cell>
          <cell r="G4">
            <v>1.0007999999999999</v>
          </cell>
        </row>
        <row r="5">
          <cell r="A5" t="str">
            <v>零收益日</v>
          </cell>
          <cell r="B5">
            <v>3</v>
          </cell>
          <cell r="D5" t="str">
            <v>Sortino Ratio</v>
          </cell>
          <cell r="E5">
            <v>-2.8468151193691438</v>
          </cell>
        </row>
        <row r="7">
          <cell r="A7" t="str">
            <v>收益指标</v>
          </cell>
          <cell r="D7" t="str">
            <v>风险指标</v>
          </cell>
        </row>
        <row r="8">
          <cell r="A8" t="str">
            <v>累计收益率</v>
          </cell>
          <cell r="B8">
            <v>1.2004801920766361E-3</v>
          </cell>
          <cell r="D8" t="str">
            <v>最大回撤</v>
          </cell>
          <cell r="E8">
            <v>-1</v>
          </cell>
        </row>
        <row r="9">
          <cell r="A9" t="str">
            <v>年化收益率</v>
          </cell>
          <cell r="B9">
            <v>2.6737967914434169E-2</v>
          </cell>
          <cell r="D9" t="str">
            <v>下侧波动率</v>
          </cell>
          <cell r="E9">
            <v>0.50011672220925918</v>
          </cell>
        </row>
        <row r="10">
          <cell r="A10" t="str">
            <v>日均收益率</v>
          </cell>
          <cell r="B10">
            <v>-9.0890909090909106E-2</v>
          </cell>
          <cell r="D10" t="str">
            <v>标准差</v>
          </cell>
          <cell r="E10">
            <v>0.30178337414292872</v>
          </cell>
        </row>
        <row r="11">
          <cell r="A11" t="str">
            <v>胜率</v>
          </cell>
          <cell r="B11">
            <v>0.36363636363636365</v>
          </cell>
          <cell r="D11" t="str">
            <v>年化波动率</v>
          </cell>
          <cell r="E11">
            <v>4.723656973439887</v>
          </cell>
        </row>
        <row r="12">
          <cell r="A12" t="str">
            <v>盈亏比</v>
          </cell>
          <cell r="B12">
            <v>2.6932668329174092E-3</v>
          </cell>
        </row>
        <row r="14">
          <cell r="A14" t="str">
            <v>交易日</v>
          </cell>
          <cell r="B14" t="str">
            <v>年化收益率</v>
          </cell>
          <cell r="C14" t="str">
            <v>年化波动率</v>
          </cell>
          <cell r="D14" t="str">
            <v>最大回撤</v>
          </cell>
          <cell r="E14" t="str">
            <v>Sharpe Ratio</v>
          </cell>
          <cell r="F14" t="str">
            <v>Calmar Ratio</v>
          </cell>
        </row>
        <row r="15">
          <cell r="A15">
            <v>11</v>
          </cell>
          <cell r="B15">
            <v>2.6737967914434169E-2</v>
          </cell>
          <cell r="C15">
            <v>4.723656973439887</v>
          </cell>
          <cell r="D15">
            <v>-1</v>
          </cell>
          <cell r="E15">
            <v>-4.7177544166510463</v>
          </cell>
          <cell r="F15">
            <v>2.6737967914434169E-2</v>
          </cell>
        </row>
        <row r="19">
          <cell r="B19" t="str">
            <v>源数据</v>
          </cell>
        </row>
        <row r="20">
          <cell r="A20" t="str">
            <v>日期</v>
          </cell>
          <cell r="B20" t="str">
            <v>累计净值</v>
          </cell>
          <cell r="C20" t="str">
            <v>每日盈亏</v>
          </cell>
          <cell r="D20" t="str">
            <v>下跌幅度</v>
          </cell>
          <cell r="E20" t="str">
            <v>最大回撤</v>
          </cell>
          <cell r="F20" t="str">
            <v>单位净值</v>
          </cell>
          <cell r="G20" t="str">
            <v>持有涨跌幅</v>
          </cell>
        </row>
        <row r="21">
          <cell r="A21">
            <v>44327</v>
          </cell>
          <cell r="B21">
            <v>0.99960000000000004</v>
          </cell>
          <cell r="C21">
            <v>0</v>
          </cell>
          <cell r="D21" t="str">
            <v>/</v>
          </cell>
          <cell r="E21">
            <v>0</v>
          </cell>
          <cell r="F21">
            <v>0.99960000000000004</v>
          </cell>
          <cell r="G21" t="str">
            <v>申购日</v>
          </cell>
        </row>
        <row r="22">
          <cell r="A22">
            <v>44328</v>
          </cell>
          <cell r="B22">
            <v>0.99970000000000003</v>
          </cell>
          <cell r="C22">
            <v>9.9999999999988987E-5</v>
          </cell>
          <cell r="D22" t="str">
            <v>/</v>
          </cell>
          <cell r="E22">
            <v>0</v>
          </cell>
          <cell r="F22">
            <v>0.99970000000000003</v>
          </cell>
          <cell r="G22">
            <v>7.0028011204548155E-5</v>
          </cell>
        </row>
        <row r="23">
          <cell r="A23">
            <v>44329</v>
          </cell>
          <cell r="B23">
            <v>0.99970000000000003</v>
          </cell>
          <cell r="C23">
            <v>0</v>
          </cell>
          <cell r="D23" t="str">
            <v>/</v>
          </cell>
          <cell r="E23">
            <v>0</v>
          </cell>
          <cell r="F23">
            <v>0.99970000000000003</v>
          </cell>
          <cell r="G23">
            <v>7.0028011204548155E-5</v>
          </cell>
        </row>
        <row r="24">
          <cell r="A24">
            <v>44330</v>
          </cell>
          <cell r="B24">
            <v>0.99929999999999997</v>
          </cell>
          <cell r="C24">
            <v>-4.0000000000006697E-4</v>
          </cell>
          <cell r="D24">
            <v>-4.0000000000006697E-4</v>
          </cell>
          <cell r="E24">
            <v>-4.0012003601086477E-4</v>
          </cell>
          <cell r="F24">
            <v>0.99929999999999997</v>
          </cell>
          <cell r="G24">
            <v>-3.0012004801927006E-4</v>
          </cell>
        </row>
        <row r="25">
          <cell r="A25">
            <v>44333</v>
          </cell>
          <cell r="B25">
            <v>0.99950000000000006</v>
          </cell>
          <cell r="C25">
            <v>0</v>
          </cell>
          <cell r="D25" t="str">
            <v>/</v>
          </cell>
          <cell r="E25">
            <v>-4.0012003601086477E-4</v>
          </cell>
          <cell r="F25">
            <v>0.99950000000000006</v>
          </cell>
          <cell r="G25">
            <v>-1.0004001600638635E-4</v>
          </cell>
        </row>
        <row r="26">
          <cell r="A26">
            <v>44334</v>
          </cell>
          <cell r="B26">
            <v>1.0008999999999999</v>
          </cell>
          <cell r="C26">
            <v>1.3999999999998458E-3</v>
          </cell>
          <cell r="D26" t="str">
            <v>/</v>
          </cell>
          <cell r="E26">
            <v>-4.0012003601086477E-4</v>
          </cell>
          <cell r="F26">
            <v>1.0008999999999999</v>
          </cell>
          <cell r="G26">
            <v>9.1036414565819339E-4</v>
          </cell>
        </row>
        <row r="27">
          <cell r="A27">
            <v>44335</v>
          </cell>
          <cell r="B27">
            <v>1</v>
          </cell>
          <cell r="C27">
            <v>-8.9999999999990088E-4</v>
          </cell>
          <cell r="D27">
            <v>-8.9999999999990088E-4</v>
          </cell>
          <cell r="E27">
            <v>-8.9919072834443448E-4</v>
          </cell>
          <cell r="F27">
            <v>1</v>
          </cell>
          <cell r="G27">
            <v>2.8011204481788172E-4</v>
          </cell>
        </row>
        <row r="28">
          <cell r="A28">
            <v>44336</v>
          </cell>
          <cell r="B28">
            <v>1.0009999999999999</v>
          </cell>
          <cell r="C28">
            <v>9.9999999999988987E-4</v>
          </cell>
          <cell r="D28" t="str">
            <v>/</v>
          </cell>
          <cell r="E28">
            <v>-8.9919072834443448E-4</v>
          </cell>
          <cell r="F28">
            <v>1.0009999999999999</v>
          </cell>
          <cell r="G28">
            <v>9.8039215686258614E-4</v>
          </cell>
        </row>
        <row r="29">
          <cell r="A29">
            <v>44337</v>
          </cell>
          <cell r="B29">
            <v>1.0005999999999999</v>
          </cell>
          <cell r="C29">
            <v>-3.9999999999995595E-4</v>
          </cell>
          <cell r="D29">
            <v>-3.9999999999995595E-4</v>
          </cell>
          <cell r="E29">
            <v>-8.9919072834443448E-4</v>
          </cell>
          <cell r="F29">
            <v>1.0005999999999999</v>
          </cell>
          <cell r="G29">
            <v>7.0028011204470442E-4</v>
          </cell>
        </row>
        <row r="30">
          <cell r="A30">
            <v>44340</v>
          </cell>
          <cell r="B30">
            <v>1.0007999999999999</v>
          </cell>
          <cell r="C30">
            <v>1.9999999999997797E-4</v>
          </cell>
          <cell r="D30" t="str">
            <v>/</v>
          </cell>
          <cell r="E30">
            <v>-8.9919072834443448E-4</v>
          </cell>
          <cell r="F30">
            <v>1.0007999999999999</v>
          </cell>
          <cell r="G30">
            <v>8.4033613445364528E-4</v>
          </cell>
        </row>
        <row r="31">
          <cell r="A31">
            <v>44341</v>
          </cell>
          <cell r="C31">
            <v>-1.0007999999999999</v>
          </cell>
          <cell r="D31">
            <v>-1.0007999999999999</v>
          </cell>
          <cell r="E31">
            <v>-1</v>
          </cell>
          <cell r="F31">
            <v>0</v>
          </cell>
          <cell r="G31">
            <v>-1</v>
          </cell>
        </row>
      </sheetData>
      <sheetData sheetId="3">
        <row r="2">
          <cell r="A2" t="str">
            <v>交易日</v>
          </cell>
          <cell r="B2">
            <v>24</v>
          </cell>
          <cell r="D2" t="str">
            <v>综合指标</v>
          </cell>
          <cell r="F2" t="str">
            <v>注：</v>
          </cell>
          <cell r="G2" t="str">
            <v>累计收益率中的最后一个净值为</v>
          </cell>
        </row>
        <row r="3">
          <cell r="A3" t="str">
            <v>正收益日</v>
          </cell>
          <cell r="B3">
            <v>7</v>
          </cell>
          <cell r="D3" t="str">
            <v>Sharpe Ratio</v>
          </cell>
          <cell r="E3">
            <v>7.3414209339456642</v>
          </cell>
        </row>
        <row r="4">
          <cell r="A4" t="str">
            <v>负收益日</v>
          </cell>
          <cell r="B4">
            <v>0</v>
          </cell>
          <cell r="D4" t="str">
            <v>Calmar Ratio</v>
          </cell>
          <cell r="E4" t="e">
            <v>#DIV/0!</v>
          </cell>
          <cell r="G4">
            <v>1.796</v>
          </cell>
        </row>
        <row r="5">
          <cell r="A5" t="str">
            <v>零收益日</v>
          </cell>
          <cell r="B5">
            <v>17</v>
          </cell>
          <cell r="D5" t="str">
            <v>Sortino Ratio</v>
          </cell>
          <cell r="E5" t="e">
            <v>#DIV/0!</v>
          </cell>
        </row>
        <row r="7">
          <cell r="A7" t="str">
            <v>收益指标</v>
          </cell>
          <cell r="D7" t="str">
            <v>风险指标</v>
          </cell>
        </row>
        <row r="8">
          <cell r="A8" t="str">
            <v>累计收益率</v>
          </cell>
          <cell r="B8">
            <v>4.4742729306488371E-3</v>
          </cell>
          <cell r="D8" t="str">
            <v>最大回撤</v>
          </cell>
          <cell r="E8">
            <v>0</v>
          </cell>
        </row>
        <row r="9">
          <cell r="A9" t="str">
            <v>年化收益率</v>
          </cell>
          <cell r="B9">
            <v>4.5674869500373548E-2</v>
          </cell>
          <cell r="D9" t="str">
            <v>下侧波动率</v>
          </cell>
          <cell r="E9" t="e">
            <v>#DIV/0!</v>
          </cell>
        </row>
        <row r="10">
          <cell r="A10" t="str">
            <v>日均收益率</v>
          </cell>
          <cell r="B10">
            <v>3.3333333333333365E-4</v>
          </cell>
          <cell r="D10" t="str">
            <v>标准差</v>
          </cell>
          <cell r="E10">
            <v>5.6465970257328028E-4</v>
          </cell>
        </row>
        <row r="11">
          <cell r="A11" t="str">
            <v>胜率</v>
          </cell>
          <cell r="B11">
            <v>0.29166666666666669</v>
          </cell>
          <cell r="D11" t="str">
            <v>年化波动率</v>
          </cell>
          <cell r="E11">
            <v>8.8383223537606744E-3</v>
          </cell>
        </row>
        <row r="12">
          <cell r="A12" t="str">
            <v>盈亏比</v>
          </cell>
          <cell r="B12" t="e">
            <v>#DIV/0!</v>
          </cell>
        </row>
        <row r="14">
          <cell r="A14" t="str">
            <v>交易日</v>
          </cell>
          <cell r="B14" t="str">
            <v>年化收益率</v>
          </cell>
          <cell r="C14" t="str">
            <v>年化波动率</v>
          </cell>
          <cell r="D14" t="str">
            <v>最大回撤</v>
          </cell>
          <cell r="E14" t="str">
            <v>Sharpe Ratio</v>
          </cell>
          <cell r="F14" t="str">
            <v>Calmar Ratio</v>
          </cell>
        </row>
        <row r="15">
          <cell r="A15">
            <v>24</v>
          </cell>
          <cell r="B15">
            <v>4.5674869500373548E-2</v>
          </cell>
          <cell r="C15">
            <v>8.8383223537606744E-3</v>
          </cell>
          <cell r="D15">
            <v>0</v>
          </cell>
          <cell r="E15">
            <v>7.3414209339456642</v>
          </cell>
          <cell r="F15" t="e">
            <v>#DIV/0!</v>
          </cell>
        </row>
        <row r="19">
          <cell r="B19" t="str">
            <v>源数据</v>
          </cell>
        </row>
        <row r="20">
          <cell r="A20" t="str">
            <v>日期</v>
          </cell>
          <cell r="B20" t="str">
            <v>累计净值</v>
          </cell>
          <cell r="C20" t="str">
            <v>每日盈亏</v>
          </cell>
          <cell r="D20" t="str">
            <v>下跌幅度</v>
          </cell>
          <cell r="E20" t="str">
            <v>最大回撤</v>
          </cell>
          <cell r="F20" t="str">
            <v>单位净值</v>
          </cell>
          <cell r="G20" t="str">
            <v>持有涨跌幅</v>
          </cell>
          <cell r="H20" t="str">
            <v>列1</v>
          </cell>
        </row>
        <row r="21">
          <cell r="A21">
            <v>44302</v>
          </cell>
          <cell r="B21">
            <v>1.788</v>
          </cell>
          <cell r="C21">
            <v>0</v>
          </cell>
          <cell r="D21" t="str">
            <v>/</v>
          </cell>
          <cell r="E21">
            <v>0</v>
          </cell>
          <cell r="F21">
            <v>1.788</v>
          </cell>
          <cell r="G21" t="str">
            <v>申购日</v>
          </cell>
        </row>
        <row r="22">
          <cell r="A22">
            <v>44305</v>
          </cell>
          <cell r="B22">
            <v>1.788</v>
          </cell>
          <cell r="C22">
            <v>0</v>
          </cell>
          <cell r="D22" t="str">
            <v>/</v>
          </cell>
          <cell r="E22">
            <v>0</v>
          </cell>
          <cell r="F22">
            <v>1.788</v>
          </cell>
          <cell r="G22">
            <v>0</v>
          </cell>
        </row>
        <row r="23">
          <cell r="A23">
            <v>44306</v>
          </cell>
          <cell r="B23">
            <v>1.788</v>
          </cell>
          <cell r="C23">
            <v>0</v>
          </cell>
          <cell r="D23" t="str">
            <v>/</v>
          </cell>
          <cell r="E23">
            <v>0</v>
          </cell>
          <cell r="F23">
            <v>1.788</v>
          </cell>
          <cell r="G23">
            <v>0</v>
          </cell>
        </row>
        <row r="24">
          <cell r="A24">
            <v>44307</v>
          </cell>
          <cell r="B24">
            <v>1.788</v>
          </cell>
          <cell r="C24">
            <v>0</v>
          </cell>
          <cell r="D24" t="str">
            <v>/</v>
          </cell>
          <cell r="E24">
            <v>0</v>
          </cell>
          <cell r="F24">
            <v>1.788</v>
          </cell>
          <cell r="G24">
            <v>0</v>
          </cell>
        </row>
        <row r="25">
          <cell r="A25">
            <v>44308</v>
          </cell>
          <cell r="B25">
            <v>1.788</v>
          </cell>
          <cell r="C25">
            <v>0</v>
          </cell>
          <cell r="D25" t="str">
            <v>/</v>
          </cell>
          <cell r="E25">
            <v>0</v>
          </cell>
          <cell r="F25">
            <v>1.788</v>
          </cell>
          <cell r="G25">
            <v>0</v>
          </cell>
        </row>
        <row r="26">
          <cell r="A26">
            <v>44309</v>
          </cell>
          <cell r="B26">
            <v>1.788</v>
          </cell>
          <cell r="C26">
            <v>0</v>
          </cell>
          <cell r="D26" t="str">
            <v>/</v>
          </cell>
          <cell r="E26">
            <v>0</v>
          </cell>
          <cell r="F26">
            <v>1.788</v>
          </cell>
          <cell r="G26">
            <v>0</v>
          </cell>
          <cell r="H26" t="str">
            <v xml:space="preserve">  </v>
          </cell>
        </row>
        <row r="27">
          <cell r="A27">
            <v>44312</v>
          </cell>
          <cell r="B27">
            <v>1.788</v>
          </cell>
          <cell r="C27">
            <v>0</v>
          </cell>
          <cell r="D27" t="str">
            <v>/</v>
          </cell>
          <cell r="E27">
            <v>0</v>
          </cell>
          <cell r="F27">
            <v>1.788</v>
          </cell>
          <cell r="G27">
            <v>0</v>
          </cell>
        </row>
        <row r="28">
          <cell r="A28">
            <v>44313</v>
          </cell>
          <cell r="B28">
            <v>1.788</v>
          </cell>
          <cell r="C28">
            <v>0</v>
          </cell>
          <cell r="D28" t="str">
            <v>/</v>
          </cell>
          <cell r="E28">
            <v>0</v>
          </cell>
          <cell r="F28">
            <v>1.788</v>
          </cell>
          <cell r="G28">
            <v>0</v>
          </cell>
        </row>
        <row r="29">
          <cell r="A29">
            <v>44314</v>
          </cell>
          <cell r="B29">
            <v>1.788</v>
          </cell>
          <cell r="C29">
            <v>0</v>
          </cell>
          <cell r="D29" t="str">
            <v>/</v>
          </cell>
          <cell r="E29">
            <v>0</v>
          </cell>
          <cell r="F29">
            <v>1.788</v>
          </cell>
          <cell r="G29">
            <v>0</v>
          </cell>
        </row>
        <row r="30">
          <cell r="A30">
            <v>44315</v>
          </cell>
          <cell r="B30">
            <v>1.7889999999999999</v>
          </cell>
          <cell r="C30">
            <v>9.9999999999988987E-4</v>
          </cell>
          <cell r="D30" t="str">
            <v>/</v>
          </cell>
          <cell r="E30">
            <v>0</v>
          </cell>
          <cell r="F30">
            <v>1.7889999999999999</v>
          </cell>
          <cell r="G30">
            <v>3.9149888143172421E-4</v>
          </cell>
        </row>
        <row r="31">
          <cell r="A31">
            <v>44316</v>
          </cell>
          <cell r="B31">
            <v>1.7889999999999999</v>
          </cell>
          <cell r="C31">
            <v>0</v>
          </cell>
          <cell r="D31" t="str">
            <v>/</v>
          </cell>
          <cell r="E31">
            <v>0</v>
          </cell>
          <cell r="F31">
            <v>1.7889999999999999</v>
          </cell>
          <cell r="G31">
            <v>3.9149888143172421E-4</v>
          </cell>
        </row>
        <row r="32">
          <cell r="A32">
            <v>44322</v>
          </cell>
          <cell r="B32">
            <v>1.79</v>
          </cell>
          <cell r="C32">
            <v>1.0000000000001119E-3</v>
          </cell>
          <cell r="D32" t="str">
            <v>/</v>
          </cell>
          <cell r="E32">
            <v>0</v>
          </cell>
          <cell r="F32">
            <v>1.79</v>
          </cell>
          <cell r="G32">
            <v>7.8299776286353527E-4</v>
          </cell>
        </row>
        <row r="33">
          <cell r="A33">
            <v>44323</v>
          </cell>
          <cell r="B33">
            <v>1.79</v>
          </cell>
          <cell r="C33">
            <v>0</v>
          </cell>
          <cell r="D33" t="str">
            <v>/</v>
          </cell>
          <cell r="E33">
            <v>0</v>
          </cell>
          <cell r="F33">
            <v>1.79</v>
          </cell>
          <cell r="G33">
            <v>7.8299776286353527E-4</v>
          </cell>
        </row>
        <row r="34">
          <cell r="A34">
            <v>44326</v>
          </cell>
          <cell r="B34">
            <v>1.7909999999999999</v>
          </cell>
          <cell r="C34">
            <v>9.9999999999988987E-4</v>
          </cell>
          <cell r="D34" t="str">
            <v>/</v>
          </cell>
          <cell r="E34">
            <v>0</v>
          </cell>
          <cell r="F34">
            <v>1.7909999999999999</v>
          </cell>
          <cell r="G34">
            <v>1.1744966442952594E-3</v>
          </cell>
        </row>
        <row r="35">
          <cell r="A35">
            <v>44327</v>
          </cell>
          <cell r="B35">
            <v>1.792</v>
          </cell>
          <cell r="C35">
            <v>1.0000000000001119E-3</v>
          </cell>
          <cell r="D35" t="str">
            <v>/</v>
          </cell>
          <cell r="E35">
            <v>0</v>
          </cell>
          <cell r="F35">
            <v>1.792</v>
          </cell>
          <cell r="G35">
            <v>1.5659955257270705E-3</v>
          </cell>
        </row>
        <row r="36">
          <cell r="A36">
            <v>44328</v>
          </cell>
          <cell r="B36">
            <v>1.7929999999999999</v>
          </cell>
          <cell r="C36">
            <v>9.9999999999988987E-4</v>
          </cell>
          <cell r="D36" t="str">
            <v>/</v>
          </cell>
          <cell r="E36">
            <v>0</v>
          </cell>
          <cell r="F36">
            <v>1.7929999999999999</v>
          </cell>
          <cell r="G36">
            <v>1.9574944071587947E-3</v>
          </cell>
        </row>
        <row r="37">
          <cell r="A37">
            <v>44329</v>
          </cell>
          <cell r="B37">
            <v>1.7929999999999999</v>
          </cell>
          <cell r="C37">
            <v>0</v>
          </cell>
          <cell r="D37" t="str">
            <v>/</v>
          </cell>
          <cell r="E37">
            <v>0</v>
          </cell>
          <cell r="F37">
            <v>1.7929999999999999</v>
          </cell>
          <cell r="G37">
            <v>1.9574944071587947E-3</v>
          </cell>
          <cell r="H37" t="str">
            <v>申购日</v>
          </cell>
        </row>
        <row r="38">
          <cell r="A38">
            <v>44330</v>
          </cell>
          <cell r="B38">
            <v>1.7949999999999999</v>
          </cell>
          <cell r="C38">
            <v>2.0000000000000018E-3</v>
          </cell>
          <cell r="D38" t="str">
            <v>/</v>
          </cell>
          <cell r="E38">
            <v>0</v>
          </cell>
          <cell r="F38">
            <v>1.7949999999999999</v>
          </cell>
          <cell r="G38">
            <v>2.7404921700223302E-3</v>
          </cell>
          <cell r="H38">
            <v>7.8081427774679367E-4</v>
          </cell>
        </row>
        <row r="39">
          <cell r="A39">
            <v>44333</v>
          </cell>
          <cell r="B39">
            <v>1.796</v>
          </cell>
          <cell r="C39">
            <v>1.0000000000001119E-3</v>
          </cell>
          <cell r="D39" t="str">
            <v>/</v>
          </cell>
          <cell r="E39">
            <v>0</v>
          </cell>
          <cell r="F39">
            <v>1.796</v>
          </cell>
          <cell r="G39">
            <v>3.1319910514541411E-3</v>
          </cell>
          <cell r="H39">
            <v>1.1712214166202338E-3</v>
          </cell>
        </row>
        <row r="40">
          <cell r="A40">
            <v>44334</v>
          </cell>
          <cell r="B40">
            <v>1.796</v>
          </cell>
          <cell r="C40">
            <v>0</v>
          </cell>
          <cell r="D40" t="str">
            <v>/</v>
          </cell>
          <cell r="E40">
            <v>0</v>
          </cell>
          <cell r="F40">
            <v>1.796</v>
          </cell>
          <cell r="G40">
            <v>3.1319910514541411E-3</v>
          </cell>
          <cell r="H40">
            <v>1.1712214166202338E-3</v>
          </cell>
        </row>
        <row r="41">
          <cell r="A41">
            <v>44335</v>
          </cell>
          <cell r="B41">
            <v>1.796</v>
          </cell>
          <cell r="C41">
            <v>0</v>
          </cell>
          <cell r="D41" t="str">
            <v>/</v>
          </cell>
          <cell r="E41">
            <v>0</v>
          </cell>
          <cell r="F41">
            <v>1.796</v>
          </cell>
          <cell r="G41">
            <v>3.1319910514541411E-3</v>
          </cell>
          <cell r="H41">
            <v>1.1712214166202338E-3</v>
          </cell>
        </row>
        <row r="42">
          <cell r="A42">
            <v>44336</v>
          </cell>
          <cell r="B42">
            <v>1.796</v>
          </cell>
          <cell r="C42">
            <v>0</v>
          </cell>
          <cell r="D42" t="str">
            <v>/</v>
          </cell>
          <cell r="E42">
            <v>0</v>
          </cell>
          <cell r="F42">
            <v>1.796</v>
          </cell>
          <cell r="G42">
            <v>3.1319910514541411E-3</v>
          </cell>
          <cell r="H42">
            <v>1.1712214166202338E-3</v>
          </cell>
        </row>
        <row r="43">
          <cell r="A43">
            <v>44337</v>
          </cell>
          <cell r="B43">
            <v>1.796</v>
          </cell>
          <cell r="C43">
            <v>0</v>
          </cell>
          <cell r="D43" t="str">
            <v>/</v>
          </cell>
          <cell r="E43">
            <v>0</v>
          </cell>
          <cell r="F43">
            <v>1.796</v>
          </cell>
          <cell r="G43">
            <v>3.1319910514541411E-3</v>
          </cell>
          <cell r="H43">
            <v>1.1712214166202338E-3</v>
          </cell>
        </row>
        <row r="44">
          <cell r="A44">
            <v>44340</v>
          </cell>
          <cell r="B44">
            <v>1.796</v>
          </cell>
          <cell r="C44">
            <v>0</v>
          </cell>
          <cell r="D44" t="str">
            <v>/</v>
          </cell>
          <cell r="E44">
            <v>0</v>
          </cell>
          <cell r="F44">
            <v>1.796</v>
          </cell>
          <cell r="G44">
            <v>3.1319910514541411E-3</v>
          </cell>
          <cell r="H44">
            <v>1.1712214166202338E-3</v>
          </cell>
        </row>
      </sheetData>
      <sheetData sheetId="4"/>
      <sheetData sheetId="5">
        <row r="2">
          <cell r="A2" t="str">
            <v>交易日</v>
          </cell>
          <cell r="B2">
            <v>12</v>
          </cell>
          <cell r="D2" t="str">
            <v>综合指标</v>
          </cell>
          <cell r="F2" t="str">
            <v>注：</v>
          </cell>
          <cell r="G2" t="str">
            <v>累计收益率中的最后一个净值为</v>
          </cell>
        </row>
        <row r="3">
          <cell r="A3" t="str">
            <v>正收益日</v>
          </cell>
          <cell r="B3">
            <v>2</v>
          </cell>
          <cell r="D3" t="str">
            <v>Sharpe Ratio</v>
          </cell>
          <cell r="E3">
            <v>-4.51022472273615</v>
          </cell>
        </row>
        <row r="4">
          <cell r="A4" t="str">
            <v>负收益日</v>
          </cell>
          <cell r="B4">
            <v>1</v>
          </cell>
          <cell r="D4" t="str">
            <v>Calmar Ratio</v>
          </cell>
          <cell r="E4">
            <v>4.574309185959774E-2</v>
          </cell>
          <cell r="G4">
            <v>1.3420000000000001</v>
          </cell>
        </row>
        <row r="5">
          <cell r="A5" t="str">
            <v>零收益日</v>
          </cell>
          <cell r="B5">
            <v>9</v>
          </cell>
          <cell r="D5" t="str">
            <v>Sortino Ratio</v>
          </cell>
          <cell r="E5" t="e">
            <v>#DIV/0!</v>
          </cell>
        </row>
        <row r="7">
          <cell r="A7" t="str">
            <v>收益指标</v>
          </cell>
          <cell r="D7" t="str">
            <v>风险指标</v>
          </cell>
        </row>
        <row r="8">
          <cell r="A8" t="str">
            <v>累计收益率</v>
          </cell>
          <cell r="B8">
            <v>2.2404779686333587E-3</v>
          </cell>
          <cell r="D8" t="str">
            <v>最大回撤</v>
          </cell>
          <cell r="E8">
            <v>-1</v>
          </cell>
        </row>
        <row r="9">
          <cell r="A9" t="str">
            <v>年化收益率</v>
          </cell>
          <cell r="B9">
            <v>4.574309185959774E-2</v>
          </cell>
          <cell r="D9" t="str">
            <v>下侧波动率</v>
          </cell>
          <cell r="E9" t="e">
            <v>#DIV/0!</v>
          </cell>
        </row>
        <row r="10">
          <cell r="A10" t="str">
            <v>日均收益率</v>
          </cell>
          <cell r="B10">
            <v>-0.11158333333333333</v>
          </cell>
          <cell r="D10" t="str">
            <v>标准差</v>
          </cell>
          <cell r="E10">
            <v>0.38748125076830453</v>
          </cell>
        </row>
        <row r="11">
          <cell r="A11" t="str">
            <v>胜率</v>
          </cell>
          <cell r="B11">
            <v>0.16666666666666666</v>
          </cell>
          <cell r="D11" t="str">
            <v>年化波动率</v>
          </cell>
          <cell r="E11">
            <v>6.0650409170720012</v>
          </cell>
        </row>
        <row r="12">
          <cell r="A12" t="str">
            <v>盈亏比</v>
          </cell>
          <cell r="B12">
            <v>1.1177347242921436E-3</v>
          </cell>
        </row>
        <row r="14">
          <cell r="A14" t="str">
            <v>交易日</v>
          </cell>
          <cell r="B14" t="str">
            <v>年化收益率</v>
          </cell>
          <cell r="C14" t="str">
            <v>年化波动率</v>
          </cell>
          <cell r="D14" t="str">
            <v>最大回撤</v>
          </cell>
          <cell r="E14" t="str">
            <v>Sharpe Ratio</v>
          </cell>
          <cell r="F14" t="str">
            <v>Calmar Ratio</v>
          </cell>
        </row>
        <row r="15">
          <cell r="A15">
            <v>12</v>
          </cell>
          <cell r="B15">
            <v>4.574309185959774E-2</v>
          </cell>
          <cell r="C15">
            <v>6.0650409170720012</v>
          </cell>
          <cell r="D15">
            <v>-1</v>
          </cell>
          <cell r="E15">
            <v>-4.51022472273615</v>
          </cell>
          <cell r="F15">
            <v>4.574309185959774E-2</v>
          </cell>
        </row>
        <row r="19">
          <cell r="B19" t="str">
            <v>源数据</v>
          </cell>
        </row>
        <row r="20">
          <cell r="A20" t="str">
            <v>日期</v>
          </cell>
          <cell r="B20" t="str">
            <v>累计净值</v>
          </cell>
          <cell r="C20" t="str">
            <v>每日盈亏</v>
          </cell>
          <cell r="D20" t="str">
            <v>下跌幅度</v>
          </cell>
          <cell r="E20" t="str">
            <v>最大回撤</v>
          </cell>
          <cell r="F20" t="str">
            <v>单位净值</v>
          </cell>
          <cell r="G20" t="str">
            <v>持有涨跌幅</v>
          </cell>
        </row>
        <row r="21">
          <cell r="A21">
            <v>44330</v>
          </cell>
          <cell r="B21">
            <v>1.339</v>
          </cell>
          <cell r="C21">
            <v>0</v>
          </cell>
          <cell r="D21" t="str">
            <v>/</v>
          </cell>
          <cell r="E21">
            <v>0</v>
          </cell>
          <cell r="F21">
            <v>1.339</v>
          </cell>
          <cell r="G21" t="str">
            <v>申购日</v>
          </cell>
        </row>
        <row r="22">
          <cell r="A22">
            <v>44333</v>
          </cell>
          <cell r="B22">
            <v>1.339</v>
          </cell>
          <cell r="C22">
            <v>0</v>
          </cell>
          <cell r="D22" t="str">
            <v>/</v>
          </cell>
          <cell r="E22">
            <v>0</v>
          </cell>
          <cell r="F22">
            <v>1.339</v>
          </cell>
          <cell r="G22">
            <v>0</v>
          </cell>
        </row>
        <row r="23">
          <cell r="A23">
            <v>44334</v>
          </cell>
          <cell r="B23">
            <v>1.339</v>
          </cell>
          <cell r="C23">
            <v>0</v>
          </cell>
          <cell r="D23" t="str">
            <v>/</v>
          </cell>
          <cell r="E23">
            <v>0</v>
          </cell>
          <cell r="F23">
            <v>1.339</v>
          </cell>
          <cell r="G23">
            <v>0</v>
          </cell>
        </row>
        <row r="24">
          <cell r="A24">
            <v>44335</v>
          </cell>
          <cell r="B24">
            <v>1.341</v>
          </cell>
          <cell r="C24">
            <v>2.0000000000000018E-3</v>
          </cell>
          <cell r="D24" t="str">
            <v>/</v>
          </cell>
          <cell r="E24">
            <v>0</v>
          </cell>
          <cell r="F24">
            <v>1.341</v>
          </cell>
          <cell r="G24">
            <v>7.468259895444529E-4</v>
          </cell>
        </row>
        <row r="25">
          <cell r="A25">
            <v>44336</v>
          </cell>
          <cell r="B25">
            <v>1.341</v>
          </cell>
          <cell r="C25">
            <v>0</v>
          </cell>
          <cell r="D25" t="str">
            <v>/</v>
          </cell>
          <cell r="E25">
            <v>0</v>
          </cell>
          <cell r="F25">
            <v>1.341</v>
          </cell>
          <cell r="G25">
            <v>7.468259895444529E-4</v>
          </cell>
        </row>
        <row r="26">
          <cell r="A26">
            <v>44337</v>
          </cell>
          <cell r="B26">
            <v>1.341</v>
          </cell>
          <cell r="C26">
            <v>0</v>
          </cell>
          <cell r="D26" t="str">
            <v>/</v>
          </cell>
          <cell r="E26">
            <v>0</v>
          </cell>
          <cell r="F26">
            <v>1.341</v>
          </cell>
          <cell r="G26">
            <v>7.468259895444529E-4</v>
          </cell>
        </row>
        <row r="27">
          <cell r="A27">
            <v>44340</v>
          </cell>
          <cell r="B27">
            <v>1.341</v>
          </cell>
          <cell r="C27">
            <v>0</v>
          </cell>
          <cell r="D27" t="str">
            <v>/</v>
          </cell>
          <cell r="E27">
            <v>0</v>
          </cell>
          <cell r="F27">
            <v>1.341</v>
          </cell>
          <cell r="G27">
            <v>7.468259895444529E-4</v>
          </cell>
        </row>
        <row r="28">
          <cell r="A28">
            <v>44341</v>
          </cell>
          <cell r="B28">
            <v>1.3420000000000001</v>
          </cell>
          <cell r="C28">
            <v>1.0000000000001119E-3</v>
          </cell>
          <cell r="D28" t="str">
            <v>/</v>
          </cell>
          <cell r="E28">
            <v>0</v>
          </cell>
          <cell r="F28">
            <v>1.3420000000000001</v>
          </cell>
          <cell r="G28">
            <v>1.1202389843166793E-3</v>
          </cell>
        </row>
        <row r="29">
          <cell r="A29">
            <v>44342</v>
          </cell>
          <cell r="C29">
            <v>-1.3420000000000001</v>
          </cell>
          <cell r="D29">
            <v>-1.3420000000000001</v>
          </cell>
          <cell r="E29">
            <v>-1</v>
          </cell>
          <cell r="F29">
            <v>0</v>
          </cell>
          <cell r="G29">
            <v>-1</v>
          </cell>
        </row>
        <row r="30">
          <cell r="A30">
            <v>44343</v>
          </cell>
          <cell r="C30">
            <v>0</v>
          </cell>
          <cell r="D30" t="str">
            <v>/</v>
          </cell>
          <cell r="E30">
            <v>-1</v>
          </cell>
          <cell r="F30">
            <v>0</v>
          </cell>
          <cell r="G30">
            <v>-1</v>
          </cell>
        </row>
        <row r="31">
          <cell r="A31">
            <v>44344</v>
          </cell>
          <cell r="C31">
            <v>0</v>
          </cell>
          <cell r="D31" t="str">
            <v>/</v>
          </cell>
          <cell r="E31">
            <v>-1</v>
          </cell>
          <cell r="F31">
            <v>0</v>
          </cell>
          <cell r="G31">
            <v>-1</v>
          </cell>
        </row>
        <row r="32">
          <cell r="A32">
            <v>44345</v>
          </cell>
          <cell r="C32">
            <v>0</v>
          </cell>
          <cell r="D32" t="str">
            <v>/</v>
          </cell>
          <cell r="E32">
            <v>-1</v>
          </cell>
          <cell r="F32">
            <v>0</v>
          </cell>
          <cell r="G32">
            <v>-1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L2:O7" totalsRowShown="0">
  <tableColumns count="4">
    <tableColumn id="1" xr3:uid="{00000000-0010-0000-0000-000001000000}" name="策略类别" dataDxfId="43"/>
    <tableColumn id="2" xr3:uid="{00000000-0010-0000-0000-000002000000}" name="子基金个数" dataDxfId="42"/>
    <tableColumn id="3" xr3:uid="{00000000-0010-0000-0000-000003000000}" name="持有市值" dataDxfId="41">
      <calculatedColumnFormula>#REF!</calculatedColumnFormula>
    </tableColumn>
    <tableColumn id="4" xr3:uid="{00000000-0010-0000-0000-000004000000}" name="权重" dataDxfId="40">
      <calculatedColumnFormula>#REF!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表5_10" displayName="表5_10" ref="L14:O18" totalsRowShown="0">
  <tableColumns count="4">
    <tableColumn id="1" xr3:uid="{00000000-0010-0000-0100-000001000000}" name="策略类别" dataDxfId="39"/>
    <tableColumn id="2" xr3:uid="{00000000-0010-0000-0100-000002000000}" name="子基金个数" dataDxfId="38"/>
    <tableColumn id="3" xr3:uid="{00000000-0010-0000-0100-000003000000}" name="持有市值" dataDxfId="37">
      <calculatedColumnFormula>#REF!</calculatedColumnFormula>
    </tableColumn>
    <tableColumn id="4" xr3:uid="{00000000-0010-0000-0100-000004000000}" name="权重" dataDxfId="36">
      <calculatedColumnFormula>#REF!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4" displayName="表1_4" ref="A19:E22" totalsRowShown="0">
  <autoFilter ref="A19:E22" xr:uid="{00000000-0009-0000-0100-000004000000}"/>
  <tableColumns count="5">
    <tableColumn id="1" xr3:uid="{00000000-0010-0000-0200-000001000000}" name="日期" dataDxfId="35"/>
    <tableColumn id="2" xr3:uid="{00000000-0010-0000-0200-000002000000}" name="累计净值" dataDxfId="34">
      <calculatedColumnFormula>VLOOKUP(表1_4[[#This Row],[日期]],碳一号第二批期净值!A:B,2,FALSE)</calculatedColumnFormula>
    </tableColumn>
    <tableColumn id="3" xr3:uid="{00000000-0010-0000-0200-000003000000}" name="每周盈亏" dataDxfId="33"/>
    <tableColumn id="4" xr3:uid="{00000000-0010-0000-0200-000004000000}" name="下跌幅度" dataDxfId="32"/>
    <tableColumn id="5" xr3:uid="{00000000-0010-0000-0200-000005000000}" name="最大回撤" dataDxfId="3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_42" displayName="表1_42" ref="A19:F44" totalsRowShown="0">
  <autoFilter ref="A19:F44" xr:uid="{00000000-0009-0000-0100-000001000000}"/>
  <tableColumns count="6">
    <tableColumn id="1" xr3:uid="{00000000-0010-0000-0300-000001000000}" name="日期" dataDxfId="30"/>
    <tableColumn id="2" xr3:uid="{00000000-0010-0000-0300-000002000000}" name="累计净值" dataDxfId="29">
      <calculatedColumnFormula>F20/F$20</calculatedColumnFormula>
    </tableColumn>
    <tableColumn id="3" xr3:uid="{00000000-0010-0000-0300-000003000000}" name="每周盈亏" dataDxfId="28">
      <calculatedColumnFormula>B20-B19</calculatedColumnFormula>
    </tableColumn>
    <tableColumn id="4" xr3:uid="{00000000-0010-0000-0300-000004000000}" name="下跌幅度" dataDxfId="27">
      <calculatedColumnFormula>IF(C20&lt;0,C20,"/")</calculatedColumnFormula>
    </tableColumn>
    <tableColumn id="5" xr3:uid="{00000000-0010-0000-0300-000005000000}" name="最大回撤" dataDxfId="26">
      <calculatedColumnFormula>IF(表1_42[[#This Row],[累计净值]]-MAX(INDIRECT("B20:B"&amp;ROW()))&lt;E19,表1_42[[#This Row],[累计净值]]-MAX(INDIRECT("B20:B"&amp;ROW())),E19)</calculatedColumnFormula>
    </tableColumn>
    <tableColumn id="6" xr3:uid="{00000000-0010-0000-0300-000006000000}" name="列1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表1_43" displayName="表1_43" ref="A19:E22" totalsRowShown="0">
  <autoFilter ref="A19:E22" xr:uid="{00000000-0009-0000-0100-000002000000}"/>
  <tableColumns count="5">
    <tableColumn id="1" xr3:uid="{00000000-0010-0000-0400-000001000000}" name="日期" dataDxfId="24"/>
    <tableColumn id="2" xr3:uid="{00000000-0010-0000-0400-000002000000}" name="累计净值" dataDxfId="23">
      <calculatedColumnFormula>VLOOKUP(表1_43[[#This Row],[日期]],碳一号第二批期净值!F:G,2,FALSE)</calculatedColumnFormula>
    </tableColumn>
    <tableColumn id="3" xr3:uid="{00000000-0010-0000-0400-000003000000}" name="每周盈亏" dataDxfId="22"/>
    <tableColumn id="4" xr3:uid="{00000000-0010-0000-0400-000004000000}" name="下跌幅度" dataDxfId="21">
      <calculatedColumnFormula>IF(C20&lt;0,C20,"/")</calculatedColumnFormula>
    </tableColumn>
    <tableColumn id="5" xr3:uid="{00000000-0010-0000-0400-000005000000}" name="最大回撤" dataDxfId="20">
      <calculatedColumnFormula>IF(表1_43[[#This Row],[累计净值]]-MAX(INDIRECT("B20:B"&amp;ROW()))&lt;E19,表1_43[[#This Row],[累计净值]]-MAX(INDIRECT("B20:B"&amp;ROW())),E19)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表1_434" displayName="表1_434" ref="A19:E22" totalsRowShown="0">
  <autoFilter ref="A19:E22" xr:uid="{00000000-0009-0000-0100-000003000000}"/>
  <tableColumns count="5">
    <tableColumn id="1" xr3:uid="{00000000-0010-0000-0500-000001000000}" name="日期" dataDxfId="19"/>
    <tableColumn id="2" xr3:uid="{00000000-0010-0000-0500-000002000000}" name="累计净值" dataDxfId="18">
      <calculatedColumnFormula>VLOOKUP(表1_434[[#This Row],[日期]],碳一号第二批期净值!K:L,2,FALSE)</calculatedColumnFormula>
    </tableColumn>
    <tableColumn id="3" xr3:uid="{00000000-0010-0000-0500-000003000000}" name="每周盈亏" dataDxfId="17"/>
    <tableColumn id="4" xr3:uid="{00000000-0010-0000-0500-000004000000}" name="下跌幅度" dataDxfId="16">
      <calculatedColumnFormula>IF(C20&lt;0,C20,"/")</calculatedColumnFormula>
    </tableColumn>
    <tableColumn id="5" xr3:uid="{00000000-0010-0000-0500-000005000000}" name="最大回撤" dataDxfId="15">
      <calculatedColumnFormula>IF(表1_434[[#This Row],[累计净值]]-MAX(INDIRECT("B20:B"&amp;ROW()))&lt;E19,表1_434[[#This Row],[累计净值]]-MAX(INDIRECT("B20:B"&amp;ROW())),E19)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表1_4347" displayName="表1_4347" ref="A19:E22" totalsRowShown="0">
  <autoFilter ref="A19:E22" xr:uid="{00000000-0009-0000-0100-000006000000}"/>
  <tableColumns count="5">
    <tableColumn id="1" xr3:uid="{00000000-0010-0000-0600-000001000000}" name="日期" dataDxfId="14"/>
    <tableColumn id="2" xr3:uid="{00000000-0010-0000-0600-000002000000}" name="累计净值" dataDxfId="13">
      <calculatedColumnFormula>VLOOKUP(表1_4347[[#This Row],[日期]],碳一号第二批期净值!K:L,2,FALSE)</calculatedColumnFormula>
    </tableColumn>
    <tableColumn id="3" xr3:uid="{00000000-0010-0000-0600-000003000000}" name="每周盈亏" dataDxfId="12"/>
    <tableColumn id="4" xr3:uid="{00000000-0010-0000-0600-000004000000}" name="下跌幅度" dataDxfId="11">
      <calculatedColumnFormula>IF(C20&lt;0,C20,"/")</calculatedColumnFormula>
    </tableColumn>
    <tableColumn id="5" xr3:uid="{00000000-0010-0000-0600-000005000000}" name="最大回撤" dataDxfId="10">
      <calculatedColumnFormula>IF(表1_4347[[#This Row],[累计净值]]-MAX(INDIRECT("B20:B"&amp;ROW()))&lt;E19,表1_4347[[#This Row],[累计净值]]-MAX(INDIRECT("B20:B"&amp;ROW())),E19)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表1_43478" displayName="表1_43478" ref="A19:E22" totalsRowShown="0">
  <autoFilter ref="A19:E22" xr:uid="{00000000-0009-0000-0100-000007000000}"/>
  <tableColumns count="5">
    <tableColumn id="1" xr3:uid="{00000000-0010-0000-0700-000001000000}" name="日期" dataDxfId="9"/>
    <tableColumn id="2" xr3:uid="{00000000-0010-0000-0700-000002000000}" name="累计净值" dataDxfId="8">
      <calculatedColumnFormula>VLOOKUP(表1_43478[[#This Row],[日期]],碳一号第二批期净值!K:L,2,FALSE)</calculatedColumnFormula>
    </tableColumn>
    <tableColumn id="3" xr3:uid="{00000000-0010-0000-0700-000003000000}" name="每周盈亏" dataDxfId="7"/>
    <tableColumn id="4" xr3:uid="{00000000-0010-0000-0700-000004000000}" name="下跌幅度" dataDxfId="6">
      <calculatedColumnFormula>IF(C20&lt;0,C20,"/")</calculatedColumnFormula>
    </tableColumn>
    <tableColumn id="5" xr3:uid="{00000000-0010-0000-0700-000005000000}" name="最大回撤" dataDxfId="5">
      <calculatedColumnFormula>IF(表1_43478[[#This Row],[累计净值]]-MAX(INDIRECT("B20:B"&amp;ROW()))&lt;E19,表1_43478[[#This Row],[累计净值]]-MAX(INDIRECT("B20:B"&amp;ROW())),E19)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表1_434789" displayName="表1_434789" ref="A19:E22" totalsRowShown="0">
  <autoFilter ref="A19:E22" xr:uid="{00000000-0009-0000-0100-000008000000}"/>
  <tableColumns count="5">
    <tableColumn id="1" xr3:uid="{00000000-0010-0000-0800-000001000000}" name="日期" dataDxfId="4"/>
    <tableColumn id="2" xr3:uid="{00000000-0010-0000-0800-000002000000}" name="累计净值" dataDxfId="3">
      <calculatedColumnFormula>VLOOKUP(表1_434789[[#This Row],[日期]],碳一号第二批期净值!Z:AA,2,FALSE)</calculatedColumnFormula>
    </tableColumn>
    <tableColumn id="3" xr3:uid="{00000000-0010-0000-0800-000003000000}" name="每周盈亏" dataDxfId="2"/>
    <tableColumn id="4" xr3:uid="{00000000-0010-0000-0800-000004000000}" name="下跌幅度" dataDxfId="1">
      <calculatedColumnFormula>IF(C20&lt;0,C20,"/")</calculatedColumnFormula>
    </tableColumn>
    <tableColumn id="5" xr3:uid="{00000000-0010-0000-0800-000005000000}" name="最大回撤" dataDxfId="0">
      <calculatedColumnFormula>IF(表1_434789[[#This Row],[累计净值]]-MAX(INDIRECT("B20:B"&amp;ROW()))&lt;E19,表1_434789[[#This Row],[累计净值]]-MAX(INDIRECT("B20:B"&amp;ROW())),E19)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J21"/>
  <sheetViews>
    <sheetView showGridLines="0" workbookViewId="0">
      <selection activeCell="E6" sqref="E6"/>
    </sheetView>
  </sheetViews>
  <sheetFormatPr baseColWidth="10" defaultColWidth="9" defaultRowHeight="14"/>
  <cols>
    <col min="1" max="1" width="12.33203125" customWidth="1"/>
    <col min="2" max="2" width="44.1640625" customWidth="1"/>
    <col min="3" max="4" width="12.83203125" customWidth="1"/>
    <col min="5" max="8" width="13.83203125" customWidth="1"/>
    <col min="9" max="9" width="11.1640625" hidden="1" customWidth="1"/>
    <col min="10" max="10" width="19" bestFit="1" customWidth="1"/>
    <col min="11" max="12" width="17.83203125" customWidth="1"/>
  </cols>
  <sheetData>
    <row r="1" spans="1:10" ht="26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16" customHeight="1">
      <c r="A2" s="195" t="s">
        <v>1</v>
      </c>
      <c r="B2" s="196"/>
      <c r="C2" s="196"/>
      <c r="D2" s="197"/>
      <c r="E2" s="78" t="s">
        <v>2</v>
      </c>
      <c r="F2" s="78" t="s">
        <v>3</v>
      </c>
      <c r="G2" s="195" t="s">
        <v>98</v>
      </c>
      <c r="H2" s="196"/>
      <c r="I2" s="196"/>
      <c r="J2" s="197"/>
    </row>
    <row r="3" spans="1:10" ht="16" customHeight="1">
      <c r="A3" s="194" t="s">
        <v>56</v>
      </c>
      <c r="B3" s="189"/>
      <c r="C3" s="189"/>
      <c r="D3" s="190"/>
      <c r="E3" s="79">
        <v>44337</v>
      </c>
      <c r="F3" s="80"/>
      <c r="G3" s="191"/>
      <c r="H3" s="192"/>
      <c r="I3" s="192"/>
      <c r="J3" s="193"/>
    </row>
    <row r="4" spans="1:10" ht="16" customHeight="1">
      <c r="A4" s="188"/>
      <c r="B4" s="189"/>
      <c r="C4" s="189"/>
      <c r="D4" s="190"/>
      <c r="E4" s="79"/>
      <c r="F4" s="80"/>
      <c r="G4" s="191"/>
      <c r="H4" s="192"/>
      <c r="I4" s="192"/>
      <c r="J4" s="193"/>
    </row>
    <row r="5" spans="1:10" ht="19.5" customHeight="1">
      <c r="A5" s="100" t="s">
        <v>4</v>
      </c>
      <c r="B5" s="100" t="s">
        <v>5</v>
      </c>
      <c r="C5" s="100" t="s">
        <v>6</v>
      </c>
      <c r="D5" s="100" t="s">
        <v>7</v>
      </c>
      <c r="E5" s="100" t="s">
        <v>8</v>
      </c>
      <c r="F5" s="100" t="s">
        <v>9</v>
      </c>
      <c r="G5" s="100" t="s">
        <v>10</v>
      </c>
      <c r="H5" s="100" t="s">
        <v>11</v>
      </c>
      <c r="I5" s="101" t="s">
        <v>12</v>
      </c>
      <c r="J5" s="100" t="s">
        <v>13</v>
      </c>
    </row>
    <row r="6" spans="1:10" ht="19.5" customHeight="1">
      <c r="A6" s="64" t="s">
        <v>82</v>
      </c>
      <c r="B6" s="64" t="s">
        <v>80</v>
      </c>
      <c r="C6" s="79">
        <v>44323</v>
      </c>
      <c r="D6" s="64" t="s">
        <v>14</v>
      </c>
      <c r="E6" s="79">
        <f>E3</f>
        <v>44337</v>
      </c>
      <c r="F6" s="81">
        <f>VLOOKUP(E6,碳一号第二批期净值!A:B,2,FALSE)</f>
        <v>1.0003</v>
      </c>
      <c r="G6" s="92">
        <f>VLOOKUP(E6,碳一号第二批期净值!A:C,3,FALSE)</f>
        <v>3.9999999999995595E-4</v>
      </c>
      <c r="H6" s="83">
        <f>F6-1</f>
        <v>2.9999999999996696E-4</v>
      </c>
      <c r="I6" s="82">
        <f>'周更新-碳一号7期'!I14</f>
        <v>0</v>
      </c>
      <c r="J6" s="95">
        <f>VLOOKUP(E6,碳一号第二批期净值!A:D,4,FALSE)</f>
        <v>10002894.51</v>
      </c>
    </row>
    <row r="8" spans="1:10" ht="32">
      <c r="A8" s="100" t="s">
        <v>4</v>
      </c>
      <c r="B8" s="100" t="s">
        <v>5</v>
      </c>
      <c r="C8" s="100" t="s">
        <v>6</v>
      </c>
      <c r="D8" s="100" t="s">
        <v>7</v>
      </c>
      <c r="E8" s="100" t="s">
        <v>8</v>
      </c>
      <c r="F8" s="100" t="s">
        <v>9</v>
      </c>
      <c r="G8" s="100" t="s">
        <v>10</v>
      </c>
      <c r="H8" s="100" t="s">
        <v>11</v>
      </c>
      <c r="I8" s="101" t="s">
        <v>12</v>
      </c>
      <c r="J8" s="100" t="s">
        <v>13</v>
      </c>
    </row>
    <row r="9" spans="1:10" ht="15">
      <c r="A9" s="64" t="s">
        <v>83</v>
      </c>
      <c r="B9" s="64" t="s">
        <v>81</v>
      </c>
      <c r="C9" s="79">
        <v>44323</v>
      </c>
      <c r="D9" s="64" t="s">
        <v>14</v>
      </c>
      <c r="E9" s="79">
        <f>E3</f>
        <v>44337</v>
      </c>
      <c r="F9" s="81">
        <f>VLOOKUP(E9,碳一号第二批期净值!F:G,2,FALSE)</f>
        <v>1.0003</v>
      </c>
      <c r="G9" s="92">
        <f>VLOOKUP(E9,碳一号第二批期净值!F:H,3,FALSE)</f>
        <v>3.9999999999995595E-4</v>
      </c>
      <c r="H9" s="83">
        <f>F9-1</f>
        <v>2.9999999999996696E-4</v>
      </c>
      <c r="I9" s="82">
        <f>'周更新-碳一号7期'!I17</f>
        <v>0</v>
      </c>
      <c r="J9" s="95">
        <f>VLOOKUP(E9,碳一号第二批期净值!F:I,4,FALSE)</f>
        <v>10002898.619999999</v>
      </c>
    </row>
    <row r="11" spans="1:10" ht="32">
      <c r="A11" s="100" t="s">
        <v>4</v>
      </c>
      <c r="B11" s="100" t="s">
        <v>5</v>
      </c>
      <c r="C11" s="100" t="s">
        <v>6</v>
      </c>
      <c r="D11" s="100" t="s">
        <v>7</v>
      </c>
      <c r="E11" s="100" t="s">
        <v>8</v>
      </c>
      <c r="F11" s="100" t="s">
        <v>9</v>
      </c>
      <c r="G11" s="100" t="s">
        <v>10</v>
      </c>
      <c r="H11" s="100" t="s">
        <v>11</v>
      </c>
      <c r="I11" s="101" t="s">
        <v>12</v>
      </c>
      <c r="J11" s="100" t="s">
        <v>13</v>
      </c>
    </row>
    <row r="12" spans="1:10" ht="15">
      <c r="A12" s="64" t="s">
        <v>85</v>
      </c>
      <c r="B12" s="64" t="s">
        <v>84</v>
      </c>
      <c r="C12" s="79">
        <v>44323</v>
      </c>
      <c r="D12" s="64" t="s">
        <v>14</v>
      </c>
      <c r="E12" s="79">
        <f>E3</f>
        <v>44337</v>
      </c>
      <c r="F12" s="81">
        <f>VLOOKUP(E12,碳一号第二批期净值!K:L,2,FALSE)</f>
        <v>1.0003</v>
      </c>
      <c r="G12" s="92">
        <f>VLOOKUP(E12,碳一号第二批期净值!K:M,3,FALSE)</f>
        <v>3.9999999999995595E-4</v>
      </c>
      <c r="H12" s="83">
        <f>F12-1</f>
        <v>2.9999999999996696E-4</v>
      </c>
      <c r="I12" s="82">
        <f>'周更新-碳一号7期'!I20</f>
        <v>0</v>
      </c>
      <c r="J12" s="95">
        <f>VLOOKUP(E12,碳一号第二批期净值!K:N,4,FALSE)</f>
        <v>10002898.619999999</v>
      </c>
    </row>
    <row r="14" spans="1:10" ht="32">
      <c r="A14" s="100" t="s">
        <v>4</v>
      </c>
      <c r="B14" s="100" t="s">
        <v>5</v>
      </c>
      <c r="C14" s="100" t="s">
        <v>6</v>
      </c>
      <c r="D14" s="100" t="s">
        <v>7</v>
      </c>
      <c r="E14" s="100" t="s">
        <v>8</v>
      </c>
      <c r="F14" s="100" t="s">
        <v>9</v>
      </c>
      <c r="G14" s="100" t="s">
        <v>10</v>
      </c>
      <c r="H14" s="100" t="s">
        <v>11</v>
      </c>
      <c r="I14" s="101" t="s">
        <v>12</v>
      </c>
      <c r="J14" s="100" t="s">
        <v>13</v>
      </c>
    </row>
    <row r="15" spans="1:10" ht="15">
      <c r="A15" s="64" t="s">
        <v>90</v>
      </c>
      <c r="B15" s="64" t="s">
        <v>89</v>
      </c>
      <c r="C15" s="79">
        <v>44326</v>
      </c>
      <c r="D15" s="64" t="s">
        <v>14</v>
      </c>
      <c r="E15" s="79">
        <f>E6</f>
        <v>44337</v>
      </c>
      <c r="F15" s="81">
        <f>VLOOKUP(E15,碳一号第二批期净值!P:S,2,FALSE)</f>
        <v>1.0003</v>
      </c>
      <c r="G15" s="92">
        <f>VLOOKUP(E15,碳一号第二批期净值!P:S,3,FALSE)</f>
        <v>3.9999999999995595E-4</v>
      </c>
      <c r="H15" s="83">
        <f>F15-1</f>
        <v>2.9999999999996696E-4</v>
      </c>
      <c r="I15" s="82" t="e">
        <f>'周更新-碳一号7期'!#REF!</f>
        <v>#REF!</v>
      </c>
      <c r="J15" s="95">
        <f>VLOOKUP(E15,碳一号第二批期净值!P:S,4,FALSE)</f>
        <v>10003492.119999999</v>
      </c>
    </row>
    <row r="17" spans="1:10" ht="32">
      <c r="A17" s="100" t="s">
        <v>4</v>
      </c>
      <c r="B17" s="100" t="s">
        <v>5</v>
      </c>
      <c r="C17" s="100" t="s">
        <v>6</v>
      </c>
      <c r="D17" s="100" t="s">
        <v>7</v>
      </c>
      <c r="E17" s="100" t="s">
        <v>8</v>
      </c>
      <c r="F17" s="100" t="s">
        <v>9</v>
      </c>
      <c r="G17" s="100" t="s">
        <v>10</v>
      </c>
      <c r="H17" s="100" t="s">
        <v>11</v>
      </c>
      <c r="I17" s="101" t="s">
        <v>12</v>
      </c>
      <c r="J17" s="100" t="s">
        <v>13</v>
      </c>
    </row>
    <row r="18" spans="1:10" ht="15">
      <c r="A18" s="64" t="s">
        <v>91</v>
      </c>
      <c r="B18" s="64" t="s">
        <v>92</v>
      </c>
      <c r="C18" s="79">
        <v>44326</v>
      </c>
      <c r="D18" s="64" t="s">
        <v>14</v>
      </c>
      <c r="E18" s="79">
        <f>E9</f>
        <v>44337</v>
      </c>
      <c r="F18" s="81">
        <f>VLOOKUP(E18,碳一号第二批期净值!U:X,2,FALSE)</f>
        <v>1.0003</v>
      </c>
      <c r="G18" s="92">
        <f>VLOOKUP(E18,碳一号第二批期净值!U:X,3,FALSE)</f>
        <v>3.9999999999995595E-4</v>
      </c>
      <c r="H18" s="83">
        <f>F18-1</f>
        <v>2.9999999999996696E-4</v>
      </c>
      <c r="I18" s="82">
        <f>'周更新-碳一号7期'!I23</f>
        <v>0</v>
      </c>
      <c r="J18" s="95">
        <f>VLOOKUP(E18,碳一号第二批期净值!U:X,4,FALSE)</f>
        <v>10003492.119999999</v>
      </c>
    </row>
    <row r="20" spans="1:10" ht="32">
      <c r="A20" s="100" t="s">
        <v>4</v>
      </c>
      <c r="B20" s="100" t="s">
        <v>5</v>
      </c>
      <c r="C20" s="100" t="s">
        <v>6</v>
      </c>
      <c r="D20" s="100" t="s">
        <v>7</v>
      </c>
      <c r="E20" s="100" t="s">
        <v>8</v>
      </c>
      <c r="F20" s="100" t="s">
        <v>9</v>
      </c>
      <c r="G20" s="100" t="s">
        <v>10</v>
      </c>
      <c r="H20" s="100" t="s">
        <v>11</v>
      </c>
      <c r="I20" s="101" t="s">
        <v>12</v>
      </c>
      <c r="J20" s="100" t="s">
        <v>13</v>
      </c>
    </row>
    <row r="21" spans="1:10" ht="15">
      <c r="A21" s="64" t="s">
        <v>97</v>
      </c>
      <c r="B21" s="64" t="s">
        <v>96</v>
      </c>
      <c r="C21" s="79">
        <v>44328</v>
      </c>
      <c r="D21" s="64" t="s">
        <v>14</v>
      </c>
      <c r="E21" s="79">
        <f>E12</f>
        <v>44337</v>
      </c>
      <c r="F21" s="81">
        <f>VLOOKUP(E21,碳一号第二批期净值!Z:AA,2,FALSE)</f>
        <v>1.0004</v>
      </c>
      <c r="G21" s="92">
        <f>VLOOKUP(E21,碳一号第二批期净值!Z:AB,3,FALSE)</f>
        <v>2.9999999999996696E-4</v>
      </c>
      <c r="H21" s="83">
        <f>F21-1</f>
        <v>3.9999999999995595E-4</v>
      </c>
      <c r="I21" s="82">
        <f>'周更新-碳一号7期'!I26</f>
        <v>0</v>
      </c>
      <c r="J21" s="95">
        <f>VLOOKUP(E21,碳一号第二批期净值!Z:AC,4,FALSE)</f>
        <v>10003609.539999999</v>
      </c>
    </row>
  </sheetData>
  <mergeCells count="7">
    <mergeCell ref="A1:J1"/>
    <mergeCell ref="A4:D4"/>
    <mergeCell ref="G4:J4"/>
    <mergeCell ref="G3:J3"/>
    <mergeCell ref="A3:D3"/>
    <mergeCell ref="G2:J2"/>
    <mergeCell ref="A2:D2"/>
  </mergeCells>
  <phoneticPr fontId="1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C26" sqref="C26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0.1640625" bestFit="1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6" thickBot="1">
      <c r="A1" s="8" t="s">
        <v>17</v>
      </c>
      <c r="B1" s="9">
        <f>COUNT(表1_434[每周盈亏])-1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COUNTIF(表1_434[每周盈亏],"&gt;0")</f>
        <v>1</v>
      </c>
      <c r="C2" s="15"/>
      <c r="D2" s="16" t="s">
        <v>21</v>
      </c>
      <c r="E2" s="17">
        <f>(50^0.5)*(B9-0.025/52)/E9</f>
        <v>-10.176485749743728</v>
      </c>
      <c r="G2" s="18">
        <f>LOOKUP(999^10,表1_434[累计净值])</f>
        <v>1.0003</v>
      </c>
    </row>
    <row r="3" spans="1:7">
      <c r="A3" s="13" t="s">
        <v>42</v>
      </c>
      <c r="B3" s="14">
        <f>COUNTIF(表1_434[每周盈亏],"&lt;0")</f>
        <v>1</v>
      </c>
      <c r="C3" s="15"/>
      <c r="D3" s="19" t="s">
        <v>22</v>
      </c>
      <c r="E3" s="17">
        <f ca="1">-B8/E7</f>
        <v>75</v>
      </c>
    </row>
    <row r="4" spans="1:7" ht="15">
      <c r="A4" s="13" t="s">
        <v>43</v>
      </c>
      <c r="B4" s="14">
        <f>B1-B2-B3</f>
        <v>0</v>
      </c>
      <c r="C4" s="15"/>
      <c r="D4" s="7" t="s">
        <v>44</v>
      </c>
      <c r="E4" s="20" t="e">
        <f>50^0.5*(B9-0.025/52)/E8</f>
        <v>#DIV/0!</v>
      </c>
    </row>
    <row r="5" spans="1:7" ht="15" thickBot="1">
      <c r="A5" s="21"/>
      <c r="B5" s="22"/>
      <c r="C5" s="22"/>
      <c r="D5" s="22"/>
      <c r="E5" s="23"/>
    </row>
    <row r="6" spans="1:7" ht="16" thickBot="1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LOOKUP(999^10,表1_434[累计净值])-1</f>
        <v>2.9999999999996696E-4</v>
      </c>
      <c r="C7" s="29"/>
      <c r="D7" s="16" t="s">
        <v>16</v>
      </c>
      <c r="E7" s="30">
        <f ca="1">MIN(表1_434[最大回撤])</f>
        <v>-9.9999999999988987E-5</v>
      </c>
    </row>
    <row r="8" spans="1:7">
      <c r="A8" s="13" t="s">
        <v>15</v>
      </c>
      <c r="B8" s="19">
        <f>B7*50/B1</f>
        <v>7.499999999999174E-3</v>
      </c>
      <c r="C8" s="29"/>
      <c r="D8" s="7" t="s">
        <v>47</v>
      </c>
      <c r="E8" s="31" t="e">
        <f>STDEV(表1_434[下跌幅度])</f>
        <v>#DIV/0!</v>
      </c>
    </row>
    <row r="9" spans="1:7">
      <c r="A9" s="32" t="s">
        <v>48</v>
      </c>
      <c r="B9" s="33">
        <f>AVERAGE(表1_434[每周盈亏])</f>
        <v>9.9999999999988987E-5</v>
      </c>
      <c r="C9" s="34"/>
      <c r="D9" s="7" t="s">
        <v>49</v>
      </c>
      <c r="E9" s="31">
        <f>STDEV(表1_434[每周盈亏])</f>
        <v>2.6457513110642993E-4</v>
      </c>
    </row>
    <row r="10" spans="1:7" ht="15">
      <c r="A10" s="35" t="s">
        <v>50</v>
      </c>
      <c r="B10" s="19">
        <f>B2/B1</f>
        <v>0.5</v>
      </c>
      <c r="C10" s="29"/>
      <c r="D10" s="19" t="s">
        <v>20</v>
      </c>
      <c r="E10" s="30">
        <f>50^0.5*E9</f>
        <v>1.8708286933867648E-3</v>
      </c>
    </row>
    <row r="11" spans="1:7" ht="15" thickBot="1">
      <c r="A11" s="36" t="s">
        <v>51</v>
      </c>
      <c r="B11" s="37">
        <f>-(SUMIF(表1_434[每周盈亏],"&gt;=0")/B2)/(SUMIF(表1_434[每周盈亏],"&lt;0")/B3)</f>
        <v>4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2.9999999999996696E-4</v>
      </c>
      <c r="C14" s="46">
        <f>B8</f>
        <v>7.499999999999174E-3</v>
      </c>
      <c r="D14" s="46">
        <f>E10</f>
        <v>1.8708286933867648E-3</v>
      </c>
      <c r="E14" s="46">
        <f ca="1">E7</f>
        <v>-9.9999999999988987E-5</v>
      </c>
      <c r="F14" s="47">
        <f>E2</f>
        <v>-10.176485749743728</v>
      </c>
      <c r="G14" s="47">
        <f ca="1">E3</f>
        <v>75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44323</v>
      </c>
      <c r="B20" s="4">
        <f>VLOOKUP(表1_434[[#This Row],[日期]],碳一号第二批期净值!K:L,2,FALSE)</f>
        <v>1</v>
      </c>
      <c r="C20" s="51">
        <v>0</v>
      </c>
      <c r="D20" s="52" t="str">
        <f>IF(C20&lt;0,C20,"/")</f>
        <v>/</v>
      </c>
      <c r="E20" s="52">
        <f ca="1">IF(表1_434[[#This Row],[累计净值]]-MAX(INDIRECT("B20:B"&amp;ROW()))&lt;E19,表1_434[[#This Row],[累计净值]]-MAX(INDIRECT("B20:B"&amp;ROW())),E19)</f>
        <v>0</v>
      </c>
    </row>
    <row r="21" spans="1:5">
      <c r="A21" s="50">
        <v>44330</v>
      </c>
      <c r="B21" s="4">
        <f>VLOOKUP(表1_434[[#This Row],[日期]],碳一号第二批期净值!K:L,2,FALSE)</f>
        <v>0.99990000000000001</v>
      </c>
      <c r="C21" s="51">
        <f>B21-B20</f>
        <v>-9.9999999999988987E-5</v>
      </c>
      <c r="D21" s="52">
        <f>IF(C21&lt;0,C21,"/")</f>
        <v>-9.9999999999988987E-5</v>
      </c>
      <c r="E21" s="52">
        <f ca="1">IF(表1_434[[#This Row],[累计净值]]-MAX(INDIRECT("B20:B"&amp;ROW()))&lt;E20,表1_434[[#This Row],[累计净值]]-MAX(INDIRECT("B20:B"&amp;ROW())),E20)</f>
        <v>-9.9999999999988987E-5</v>
      </c>
    </row>
    <row r="22" spans="1:5">
      <c r="A22" s="50">
        <v>44337</v>
      </c>
      <c r="B22" s="4">
        <f>VLOOKUP(表1_434[[#This Row],[日期]],碳一号第二批期净值!K:L,2,FALSE)</f>
        <v>1.0003</v>
      </c>
      <c r="C22" s="51">
        <f>B22-B21</f>
        <v>3.9999999999995595E-4</v>
      </c>
      <c r="D22" s="52" t="str">
        <f>IF(C22&lt;0,C22,"/")</f>
        <v>/</v>
      </c>
      <c r="E22" s="52">
        <f ca="1">IF(表1_434[[#This Row],[累计净值]]-MAX(INDIRECT("B20:B"&amp;ROW()))&lt;E21,表1_434[[#This Row],[累计净值]]-MAX(INDIRECT("B20:B"&amp;ROW())),E21)</f>
        <v>-9.9999999999988987E-5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A23" sqref="A23:XFD23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0.1640625" customWidth="1"/>
    <col min="7" max="7" width="10.33203125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6" thickBot="1">
      <c r="A1" s="8" t="s">
        <v>17</v>
      </c>
      <c r="B1" s="9">
        <f>COUNT(表1_4347[每周盈亏])-1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COUNTIF(表1_4347[每周盈亏],"&gt;0")</f>
        <v>1</v>
      </c>
      <c r="C2" s="15"/>
      <c r="D2" s="16" t="s">
        <v>21</v>
      </c>
      <c r="E2" s="17">
        <f>(50^0.5)*(B9-0.025/52)/E9</f>
        <v>-10.63800833805036</v>
      </c>
      <c r="G2" s="18">
        <f>LOOKUP(999^10,表1_4347[累计净值])</f>
        <v>1.0003</v>
      </c>
    </row>
    <row r="3" spans="1:7">
      <c r="A3" s="13" t="s">
        <v>42</v>
      </c>
      <c r="B3" s="14">
        <f>COUNTIF(表1_4347[每周盈亏],"&lt;0")</f>
        <v>0</v>
      </c>
      <c r="C3" s="15"/>
      <c r="D3" s="19" t="s">
        <v>22</v>
      </c>
      <c r="E3" s="17" t="e">
        <f ca="1">-B8/E7</f>
        <v>#DIV/0!</v>
      </c>
    </row>
    <row r="4" spans="1:7" ht="15">
      <c r="A4" s="13" t="s">
        <v>43</v>
      </c>
      <c r="B4" s="14">
        <f>B1-B2-B3</f>
        <v>1</v>
      </c>
      <c r="C4" s="15"/>
      <c r="D4" s="7" t="s">
        <v>44</v>
      </c>
      <c r="E4" s="20" t="e">
        <f>50^0.5*(B9-0.025/52)/E8</f>
        <v>#DIV/0!</v>
      </c>
    </row>
    <row r="5" spans="1:7" ht="15" thickBot="1">
      <c r="A5" s="21"/>
      <c r="B5" s="22"/>
      <c r="C5" s="22"/>
      <c r="D5" s="22"/>
      <c r="E5" s="23"/>
    </row>
    <row r="6" spans="1:7" ht="16" thickBot="1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LOOKUP(999^10,表1_4347[累计净值])-1</f>
        <v>2.9999999999996696E-4</v>
      </c>
      <c r="C7" s="29"/>
      <c r="D7" s="16" t="s">
        <v>16</v>
      </c>
      <c r="E7" s="30">
        <f ca="1">MIN(表1_4347[最大回撤])</f>
        <v>0</v>
      </c>
    </row>
    <row r="8" spans="1:7">
      <c r="A8" s="13" t="s">
        <v>15</v>
      </c>
      <c r="B8" s="19">
        <f>B7*50/B1</f>
        <v>7.499999999999174E-3</v>
      </c>
      <c r="C8" s="29"/>
      <c r="D8" s="7" t="s">
        <v>47</v>
      </c>
      <c r="E8" s="31" t="e">
        <f>STDEV(表1_4347[下跌幅度])</f>
        <v>#DIV/0!</v>
      </c>
    </row>
    <row r="9" spans="1:7">
      <c r="A9" s="32" t="s">
        <v>48</v>
      </c>
      <c r="B9" s="33">
        <f>AVERAGE(表1_4347[每周盈亏])</f>
        <v>1.3333333333331865E-4</v>
      </c>
      <c r="C9" s="34"/>
      <c r="D9" s="7" t="s">
        <v>49</v>
      </c>
      <c r="E9" s="31">
        <f>STDEV(表1_4347[每周盈亏])</f>
        <v>2.3094010767582489E-4</v>
      </c>
    </row>
    <row r="10" spans="1:7" ht="15">
      <c r="A10" s="35" t="s">
        <v>50</v>
      </c>
      <c r="B10" s="19">
        <f>B2/B1</f>
        <v>0.5</v>
      </c>
      <c r="C10" s="29"/>
      <c r="D10" s="19" t="s">
        <v>20</v>
      </c>
      <c r="E10" s="30">
        <f>50^0.5*E9</f>
        <v>1.6329931618552724E-3</v>
      </c>
    </row>
    <row r="11" spans="1:7" ht="15" thickBot="1">
      <c r="A11" s="36" t="s">
        <v>51</v>
      </c>
      <c r="B11" s="37" t="e">
        <f>-(SUMIF(表1_4347[每周盈亏],"&gt;=0")/B2)/(SUMIF(表1_4347[每周盈亏],"&lt;0")/B3)</f>
        <v>#DIV/0!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2.9999999999996696E-4</v>
      </c>
      <c r="C14" s="46">
        <f>B8</f>
        <v>7.499999999999174E-3</v>
      </c>
      <c r="D14" s="46">
        <f>E10</f>
        <v>1.6329931618552724E-3</v>
      </c>
      <c r="E14" s="46">
        <f ca="1">E7</f>
        <v>0</v>
      </c>
      <c r="F14" s="47">
        <f>E2</f>
        <v>-10.63800833805036</v>
      </c>
      <c r="G14" s="47" t="e">
        <f ca="1">E3</f>
        <v>#DIV/0!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44326</v>
      </c>
      <c r="B20" s="4">
        <f>VLOOKUP(表1_4347[[#This Row],[日期]],碳一号第二批期净值!K:L,2,FALSE)</f>
        <v>0.99990000000000001</v>
      </c>
      <c r="C20" s="51">
        <v>0</v>
      </c>
      <c r="D20" s="52" t="str">
        <f>IF(C20&lt;0,C20,"/")</f>
        <v>/</v>
      </c>
      <c r="E20" s="52">
        <f ca="1">IF(表1_4347[[#This Row],[累计净值]]-MAX(INDIRECT("B20:B"&amp;ROW()))&lt;E19,表1_4347[[#This Row],[累计净值]]-MAX(INDIRECT("B20:B"&amp;ROW())),E19)</f>
        <v>0</v>
      </c>
    </row>
    <row r="21" spans="1:5">
      <c r="A21" s="50">
        <v>44330</v>
      </c>
      <c r="B21" s="4">
        <f>VLOOKUP(表1_4347[[#This Row],[日期]],碳一号第二批期净值!K:L,2,FALSE)</f>
        <v>0.99990000000000001</v>
      </c>
      <c r="C21" s="51">
        <f>B21-B20</f>
        <v>0</v>
      </c>
      <c r="D21" s="52" t="str">
        <f>IF(C21&lt;0,C21,"/")</f>
        <v>/</v>
      </c>
      <c r="E21" s="52">
        <f ca="1">IF(表1_4347[[#This Row],[累计净值]]-MAX(INDIRECT("B20:B"&amp;ROW()))&lt;E20,表1_4347[[#This Row],[累计净值]]-MAX(INDIRECT("B20:B"&amp;ROW())),E20)</f>
        <v>0</v>
      </c>
    </row>
    <row r="22" spans="1:5">
      <c r="A22" s="50">
        <v>44337</v>
      </c>
      <c r="B22" s="4">
        <f>VLOOKUP(表1_4347[[#This Row],[日期]],碳一号第二批期净值!K:L,2,FALSE)</f>
        <v>1.0003</v>
      </c>
      <c r="C22" s="51">
        <f>B22-B21</f>
        <v>3.9999999999995595E-4</v>
      </c>
      <c r="D22" s="52" t="str">
        <f>IF(C22&lt;0,C22,"/")</f>
        <v>/</v>
      </c>
      <c r="E22" s="52">
        <f ca="1">IF(表1_4347[[#This Row],[累计净值]]-MAX(INDIRECT("B20:B"&amp;ROW()))&lt;E21,表1_4347[[#This Row],[累计净值]]-MAX(INDIRECT("B20:B"&amp;ROW())),E21)</f>
        <v>0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A23" sqref="A23:XFD23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0.1640625" bestFit="1" customWidth="1"/>
    <col min="7" max="7" width="11.1640625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6" thickBot="1">
      <c r="A1" s="8" t="s">
        <v>17</v>
      </c>
      <c r="B1" s="9">
        <f>COUNT(表1_43478[每周盈亏])-1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COUNTIF(表1_43478[每周盈亏],"&gt;0")</f>
        <v>1</v>
      </c>
      <c r="C2" s="15"/>
      <c r="D2" s="16" t="s">
        <v>21</v>
      </c>
      <c r="E2" s="17">
        <f>(50^0.5)*(B9-0.025/52)/E9</f>
        <v>-10.63800833805036</v>
      </c>
      <c r="G2" s="18">
        <f>LOOKUP(999^10,表1_43478[累计净值])</f>
        <v>1.0003</v>
      </c>
    </row>
    <row r="3" spans="1:7">
      <c r="A3" s="13" t="s">
        <v>42</v>
      </c>
      <c r="B3" s="14">
        <f>COUNTIF(表1_43478[每周盈亏],"&lt;0")</f>
        <v>0</v>
      </c>
      <c r="C3" s="15"/>
      <c r="D3" s="19" t="s">
        <v>22</v>
      </c>
      <c r="E3" s="17" t="e">
        <f ca="1">-B8/E7</f>
        <v>#DIV/0!</v>
      </c>
    </row>
    <row r="4" spans="1:7" ht="15">
      <c r="A4" s="13" t="s">
        <v>43</v>
      </c>
      <c r="B4" s="14">
        <f>B1-B2-B3</f>
        <v>1</v>
      </c>
      <c r="C4" s="15"/>
      <c r="D4" s="7" t="s">
        <v>44</v>
      </c>
      <c r="E4" s="20" t="e">
        <f>50^0.5*(B9-0.025/52)/E8</f>
        <v>#DIV/0!</v>
      </c>
    </row>
    <row r="5" spans="1:7" ht="15" thickBot="1">
      <c r="A5" s="21"/>
      <c r="B5" s="22"/>
      <c r="C5" s="22"/>
      <c r="D5" s="22"/>
      <c r="E5" s="23"/>
    </row>
    <row r="6" spans="1:7" ht="16" thickBot="1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LOOKUP(999^10,表1_43478[累计净值])-1</f>
        <v>2.9999999999996696E-4</v>
      </c>
      <c r="C7" s="29"/>
      <c r="D7" s="16" t="s">
        <v>16</v>
      </c>
      <c r="E7" s="30">
        <f ca="1">MIN(表1_43478[最大回撤])</f>
        <v>0</v>
      </c>
    </row>
    <row r="8" spans="1:7">
      <c r="A8" s="13" t="s">
        <v>15</v>
      </c>
      <c r="B8" s="19">
        <f>B7*50/B1</f>
        <v>7.499999999999174E-3</v>
      </c>
      <c r="C8" s="29"/>
      <c r="D8" s="7" t="s">
        <v>47</v>
      </c>
      <c r="E8" s="31" t="e">
        <f>STDEV(表1_43478[下跌幅度])</f>
        <v>#DIV/0!</v>
      </c>
    </row>
    <row r="9" spans="1:7">
      <c r="A9" s="32" t="s">
        <v>48</v>
      </c>
      <c r="B9" s="33">
        <f>AVERAGE(表1_43478[每周盈亏])</f>
        <v>1.3333333333331865E-4</v>
      </c>
      <c r="C9" s="34"/>
      <c r="D9" s="7" t="s">
        <v>49</v>
      </c>
      <c r="E9" s="31">
        <f>STDEV(表1_43478[每周盈亏])</f>
        <v>2.3094010767582489E-4</v>
      </c>
    </row>
    <row r="10" spans="1:7" ht="15">
      <c r="A10" s="35" t="s">
        <v>50</v>
      </c>
      <c r="B10" s="19">
        <f>B2/B1</f>
        <v>0.5</v>
      </c>
      <c r="C10" s="29"/>
      <c r="D10" s="19" t="s">
        <v>20</v>
      </c>
      <c r="E10" s="30">
        <f>50^0.5*E9</f>
        <v>1.6329931618552724E-3</v>
      </c>
    </row>
    <row r="11" spans="1:7" ht="15" thickBot="1">
      <c r="A11" s="36" t="s">
        <v>51</v>
      </c>
      <c r="B11" s="37" t="e">
        <f>-(SUMIF(表1_43478[每周盈亏],"&gt;=0")/B2)/(SUMIF(表1_43478[每周盈亏],"&lt;0")/B3)</f>
        <v>#DIV/0!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2.9999999999996696E-4</v>
      </c>
      <c r="C14" s="46">
        <f>B8</f>
        <v>7.499999999999174E-3</v>
      </c>
      <c r="D14" s="46">
        <f>E10</f>
        <v>1.6329931618552724E-3</v>
      </c>
      <c r="E14" s="46">
        <f ca="1">E7</f>
        <v>0</v>
      </c>
      <c r="F14" s="47">
        <f>E2</f>
        <v>-10.63800833805036</v>
      </c>
      <c r="G14" s="47" t="e">
        <f ca="1">E3</f>
        <v>#DIV/0!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44326</v>
      </c>
      <c r="B20" s="4">
        <f>VLOOKUP(表1_43478[[#This Row],[日期]],碳一号第二批期净值!K:L,2,FALSE)</f>
        <v>0.99990000000000001</v>
      </c>
      <c r="C20" s="51">
        <v>0</v>
      </c>
      <c r="D20" s="52" t="str">
        <f>IF(C20&lt;0,C20,"/")</f>
        <v>/</v>
      </c>
      <c r="E20" s="52">
        <f ca="1">IF(表1_43478[[#This Row],[累计净值]]-MAX(INDIRECT("B20:B"&amp;ROW()))&lt;E19,表1_43478[[#This Row],[累计净值]]-MAX(INDIRECT("B20:B"&amp;ROW())),E19)</f>
        <v>0</v>
      </c>
    </row>
    <row r="21" spans="1:5">
      <c r="A21" s="50">
        <v>44330</v>
      </c>
      <c r="B21" s="4">
        <f>VLOOKUP(表1_43478[[#This Row],[日期]],碳一号第二批期净值!K:L,2,FALSE)</f>
        <v>0.99990000000000001</v>
      </c>
      <c r="C21" s="51">
        <f>B21-B20</f>
        <v>0</v>
      </c>
      <c r="D21" s="52" t="str">
        <f>IF(C21&lt;0,C21,"/")</f>
        <v>/</v>
      </c>
      <c r="E21" s="52">
        <f ca="1">IF(表1_43478[[#This Row],[累计净值]]-MAX(INDIRECT("B20:B"&amp;ROW()))&lt;E20,表1_43478[[#This Row],[累计净值]]-MAX(INDIRECT("B20:B"&amp;ROW())),E20)</f>
        <v>0</v>
      </c>
    </row>
    <row r="22" spans="1:5">
      <c r="A22" s="50">
        <v>44337</v>
      </c>
      <c r="B22" s="4">
        <f>VLOOKUP(表1_43478[[#This Row],[日期]],碳一号第二批期净值!K:L,2,FALSE)</f>
        <v>1.0003</v>
      </c>
      <c r="C22" s="51">
        <f>B22-B21</f>
        <v>3.9999999999995595E-4</v>
      </c>
      <c r="D22" s="52" t="str">
        <f>IF(C22&lt;0,C22,"/")</f>
        <v>/</v>
      </c>
      <c r="E22" s="52">
        <f ca="1">IF(表1_43478[[#This Row],[累计净值]]-MAX(INDIRECT("B20:B"&amp;ROW()))&lt;E21,表1_43478[[#This Row],[累计净值]]-MAX(INDIRECT("B20:B"&amp;ROW())),E21)</f>
        <v>0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I23" sqref="I23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0.1640625" bestFit="1" customWidth="1"/>
    <col min="7" max="7" width="19.83203125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6" thickBot="1">
      <c r="A1" s="8" t="s">
        <v>17</v>
      </c>
      <c r="B1" s="9">
        <f>COUNT(表1_434789[每周盈亏])-1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COUNTIF(表1_434789[每周盈亏],"&gt;0")</f>
        <v>2</v>
      </c>
      <c r="C2" s="15"/>
      <c r="D2" s="16" t="s">
        <v>21</v>
      </c>
      <c r="E2" s="17">
        <f>(50^0.5)*(B9-0.025/52)/E9</f>
        <v>-16.083156861435878</v>
      </c>
      <c r="G2" s="18">
        <f>LOOKUP(999^10,表1_434789[累计净值])</f>
        <v>1.0004</v>
      </c>
    </row>
    <row r="3" spans="1:7">
      <c r="A3" s="13" t="s">
        <v>42</v>
      </c>
      <c r="B3" s="14">
        <f>COUNTIF(表1_434789[每周盈亏],"&lt;0")</f>
        <v>0</v>
      </c>
      <c r="C3" s="15"/>
      <c r="D3" s="19" t="s">
        <v>22</v>
      </c>
      <c r="E3" s="17" t="e">
        <f ca="1">-B8/E7</f>
        <v>#DIV/0!</v>
      </c>
    </row>
    <row r="4" spans="1:7" ht="15">
      <c r="A4" s="13" t="s">
        <v>43</v>
      </c>
      <c r="B4" s="14">
        <f>B1-B2-B3</f>
        <v>0</v>
      </c>
      <c r="C4" s="15"/>
      <c r="D4" s="7" t="s">
        <v>44</v>
      </c>
      <c r="E4" s="20" t="e">
        <f>50^0.5*(B9-0.025/52)/E8</f>
        <v>#DIV/0!</v>
      </c>
    </row>
    <row r="5" spans="1:7" ht="15" thickBot="1">
      <c r="A5" s="21"/>
      <c r="B5" s="22"/>
      <c r="C5" s="22"/>
      <c r="D5" s="22"/>
      <c r="E5" s="23"/>
    </row>
    <row r="6" spans="1:7" ht="16" thickBot="1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LOOKUP(999^10,表1_434789[累计净值])-1</f>
        <v>3.9999999999995595E-4</v>
      </c>
      <c r="C7" s="29"/>
      <c r="D7" s="16" t="s">
        <v>16</v>
      </c>
      <c r="E7" s="30">
        <f ca="1">MIN(表1_434789[最大回撤])</f>
        <v>0</v>
      </c>
    </row>
    <row r="8" spans="1:7">
      <c r="A8" s="13" t="s">
        <v>15</v>
      </c>
      <c r="B8" s="19">
        <f>B7*50/B1</f>
        <v>9.9999999999988987E-3</v>
      </c>
      <c r="C8" s="29"/>
      <c r="D8" s="7" t="s">
        <v>47</v>
      </c>
      <c r="E8" s="31" t="e">
        <f>STDEV(表1_434789[下跌幅度])</f>
        <v>#DIV/0!</v>
      </c>
    </row>
    <row r="9" spans="1:7">
      <c r="A9" s="32" t="s">
        <v>48</v>
      </c>
      <c r="B9" s="33">
        <f>AVERAGE(表1_434789[每周盈亏])</f>
        <v>1.3333333333331865E-4</v>
      </c>
      <c r="C9" s="34"/>
      <c r="D9" s="7" t="s">
        <v>49</v>
      </c>
      <c r="E9" s="31">
        <f>STDEV(表1_434789[每周盈亏])</f>
        <v>1.5275252316517785E-4</v>
      </c>
    </row>
    <row r="10" spans="1:7" ht="15">
      <c r="A10" s="35" t="s">
        <v>50</v>
      </c>
      <c r="B10" s="19">
        <f>B2/B1</f>
        <v>1</v>
      </c>
      <c r="C10" s="29"/>
      <c r="D10" s="19" t="s">
        <v>20</v>
      </c>
      <c r="E10" s="30">
        <f>50^0.5*E9</f>
        <v>1.0801234497345245E-3</v>
      </c>
    </row>
    <row r="11" spans="1:7" ht="15" thickBot="1">
      <c r="A11" s="36" t="s">
        <v>51</v>
      </c>
      <c r="B11" s="37" t="e">
        <f>-(SUMIF(表1_434789[每周盈亏],"&gt;=0")/B2)/(SUMIF(表1_434789[每周盈亏],"&lt;0")/B3)</f>
        <v>#DIV/0!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3.9999999999995595E-4</v>
      </c>
      <c r="C14" s="46">
        <f>B8</f>
        <v>9.9999999999988987E-3</v>
      </c>
      <c r="D14" s="46">
        <f>E10</f>
        <v>1.0801234497345245E-3</v>
      </c>
      <c r="E14" s="46">
        <f ca="1">E7</f>
        <v>0</v>
      </c>
      <c r="F14" s="47">
        <f>E2</f>
        <v>-16.083156861435878</v>
      </c>
      <c r="G14" s="47" t="e">
        <f ca="1">E3</f>
        <v>#DIV/0!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44328</v>
      </c>
      <c r="B20" s="4">
        <f>VLOOKUP(表1_434789[[#This Row],[日期]],碳一号第二批期净值!Z:AA,2,FALSE)</f>
        <v>1</v>
      </c>
      <c r="C20" s="51">
        <v>0</v>
      </c>
      <c r="D20" s="52" t="str">
        <f>IF(C20&lt;0,C20,"/")</f>
        <v>/</v>
      </c>
      <c r="E20" s="52">
        <f ca="1">IF(表1_434789[[#This Row],[累计净值]]-MAX(INDIRECT("B20:B"&amp;ROW()))&lt;E19,表1_434789[[#This Row],[累计净值]]-MAX(INDIRECT("B20:B"&amp;ROW())),E19)</f>
        <v>0</v>
      </c>
    </row>
    <row r="21" spans="1:5">
      <c r="A21" s="50">
        <v>44330</v>
      </c>
      <c r="B21" s="4">
        <f>VLOOKUP(表1_434789[[#This Row],[日期]],碳一号第二批期净值!Z:AA,2,FALSE)</f>
        <v>1.0001</v>
      </c>
      <c r="C21" s="51">
        <f>B21-B20</f>
        <v>9.9999999999988987E-5</v>
      </c>
      <c r="D21" s="52" t="str">
        <f>IF(C21&lt;0,C21,"/")</f>
        <v>/</v>
      </c>
      <c r="E21" s="52">
        <f ca="1">IF(表1_434789[[#This Row],[累计净值]]-MAX(INDIRECT("B20:B"&amp;ROW()))&lt;E20,表1_434789[[#This Row],[累计净值]]-MAX(INDIRECT("B20:B"&amp;ROW())),E20)</f>
        <v>0</v>
      </c>
    </row>
    <row r="22" spans="1:5">
      <c r="A22" s="50">
        <v>44337</v>
      </c>
      <c r="B22" s="4">
        <f>VLOOKUP(表1_434789[[#This Row],[日期]],碳一号第二批期净值!Z:AA,2,FALSE)</f>
        <v>1.0004</v>
      </c>
      <c r="C22" s="51">
        <f>B22-B21</f>
        <v>2.9999999999996696E-4</v>
      </c>
      <c r="D22" s="52" t="str">
        <f>IF(C22&lt;0,C22,"/")</f>
        <v>/</v>
      </c>
      <c r="E22" s="52">
        <f ca="1">IF(表1_434789[[#This Row],[累计净值]]-MAX(INDIRECT("B20:B"&amp;ROW()))&lt;E21,表1_434789[[#This Row],[累计净值]]-MAX(INDIRECT("B20:B"&amp;ROW())),E21)</f>
        <v>0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AO21"/>
  <sheetViews>
    <sheetView workbookViewId="0">
      <pane xSplit="1" ySplit="1" topLeftCell="B2" activePane="bottomRight" state="frozen"/>
      <selection pane="topRight"/>
      <selection pane="bottomLeft"/>
      <selection pane="bottomRight" activeCell="J32" sqref="J32"/>
    </sheetView>
  </sheetViews>
  <sheetFormatPr baseColWidth="10" defaultColWidth="9" defaultRowHeight="14"/>
  <cols>
    <col min="1" max="2" width="11.6640625" customWidth="1"/>
    <col min="3" max="3" width="12.83203125" customWidth="1"/>
    <col min="4" max="4" width="5.83203125" customWidth="1"/>
    <col min="5" max="5" width="12.1640625" customWidth="1"/>
    <col min="6" max="6" width="11" style="1" customWidth="1"/>
    <col min="7" max="7" width="5" customWidth="1"/>
    <col min="8" max="8" width="11.6640625" bestFit="1" customWidth="1"/>
    <col min="9" max="9" width="11.6640625" customWidth="1"/>
    <col min="10" max="10" width="12" customWidth="1"/>
    <col min="11" max="11" width="5.33203125" customWidth="1"/>
    <col min="12" max="12" width="11.6640625" bestFit="1" customWidth="1"/>
    <col min="13" max="13" width="11.1640625" customWidth="1"/>
    <col min="14" max="14" width="6" customWidth="1"/>
    <col min="15" max="15" width="11.6640625" bestFit="1" customWidth="1"/>
    <col min="16" max="16" width="12" customWidth="1"/>
    <col min="17" max="17" width="11.6640625" customWidth="1"/>
    <col min="18" max="18" width="5" customWidth="1"/>
    <col min="19" max="19" width="11.6640625" bestFit="1" customWidth="1"/>
    <col min="20" max="20" width="9.6640625" customWidth="1"/>
    <col min="21" max="21" width="4.83203125" customWidth="1"/>
    <col min="22" max="22" width="11.6640625" bestFit="1" customWidth="1"/>
    <col min="23" max="23" width="9.83203125" bestFit="1" customWidth="1"/>
    <col min="25" max="25" width="4.5" customWidth="1"/>
    <col min="26" max="26" width="11.6640625" bestFit="1" customWidth="1"/>
    <col min="28" max="28" width="7.6640625" customWidth="1"/>
    <col min="29" max="29" width="11.6640625" bestFit="1" customWidth="1"/>
    <col min="32" max="32" width="4" customWidth="1"/>
    <col min="33" max="33" width="11.6640625" bestFit="1" customWidth="1"/>
    <col min="36" max="36" width="11.6640625" bestFit="1" customWidth="1"/>
    <col min="40" max="40" width="11.6640625" bestFit="1" customWidth="1"/>
  </cols>
  <sheetData>
    <row r="1" spans="1:41" ht="45">
      <c r="A1" s="75" t="s">
        <v>2</v>
      </c>
      <c r="B1" s="76" t="s">
        <v>86</v>
      </c>
      <c r="C1" s="89" t="s">
        <v>76</v>
      </c>
      <c r="D1" s="1"/>
      <c r="E1" s="76" t="s">
        <v>2</v>
      </c>
      <c r="F1" s="76" t="str">
        <f>B1</f>
        <v>英大长三角碳一号7期FOF</v>
      </c>
      <c r="H1" s="75" t="s">
        <v>2</v>
      </c>
      <c r="I1" s="76" t="s">
        <v>87</v>
      </c>
      <c r="J1" s="89" t="s">
        <v>76</v>
      </c>
      <c r="K1" s="1"/>
      <c r="L1" s="76" t="s">
        <v>2</v>
      </c>
      <c r="M1" s="76" t="str">
        <f>I1</f>
        <v>英大长三角碳一号8期FOF</v>
      </c>
      <c r="O1" s="75" t="s">
        <v>2</v>
      </c>
      <c r="P1" s="76" t="s">
        <v>88</v>
      </c>
      <c r="Q1" s="89" t="s">
        <v>76</v>
      </c>
      <c r="R1" s="1"/>
      <c r="S1" s="76" t="s">
        <v>2</v>
      </c>
      <c r="T1" s="76" t="str">
        <f>P1</f>
        <v>英大长三角碳一号11期FOF</v>
      </c>
      <c r="V1" s="117" t="s">
        <v>2</v>
      </c>
      <c r="W1" s="118" t="s">
        <v>93</v>
      </c>
      <c r="X1" s="119" t="s">
        <v>76</v>
      </c>
      <c r="Y1" s="1"/>
      <c r="Z1" s="118" t="s">
        <v>2</v>
      </c>
      <c r="AA1" s="118" t="str">
        <f>W1</f>
        <v>英大长三角碳一号9期FOF</v>
      </c>
      <c r="AC1" s="117" t="s">
        <v>2</v>
      </c>
      <c r="AD1" s="118" t="s">
        <v>94</v>
      </c>
      <c r="AE1" s="119" t="s">
        <v>76</v>
      </c>
      <c r="AF1" s="1"/>
      <c r="AG1" s="118" t="s">
        <v>2</v>
      </c>
      <c r="AH1" s="118" t="str">
        <f>AD1</f>
        <v>英大长三角碳一号12期FOF</v>
      </c>
      <c r="AJ1" s="125" t="s">
        <v>2</v>
      </c>
      <c r="AK1" s="126" t="s">
        <v>95</v>
      </c>
      <c r="AL1" s="127" t="s">
        <v>76</v>
      </c>
      <c r="AM1" s="1"/>
      <c r="AN1" s="126" t="s">
        <v>2</v>
      </c>
      <c r="AO1" s="126" t="str">
        <f>AK1</f>
        <v>英大长三角碳一号13期FOF</v>
      </c>
    </row>
    <row r="2" spans="1:41">
      <c r="A2" s="50">
        <v>44323</v>
      </c>
      <c r="B2" s="77">
        <f>VLOOKUP(A2,碳一号第二批期净值!A:B,2,FALSE)</f>
        <v>1</v>
      </c>
      <c r="C2" s="77"/>
      <c r="E2" s="105">
        <v>44323</v>
      </c>
      <c r="F2" s="4">
        <f>VLOOKUP(E2,A:B,2,FALSE)</f>
        <v>1</v>
      </c>
      <c r="H2" s="50">
        <v>44323</v>
      </c>
      <c r="I2" s="77">
        <f>VLOOKUP(H2,碳一号第二批期净值!F:G,2,FALSE)</f>
        <v>1</v>
      </c>
      <c r="J2" s="77"/>
      <c r="L2" s="105">
        <v>44323</v>
      </c>
      <c r="M2" s="4">
        <f>VLOOKUP(L2,H:I,2,FALSE)</f>
        <v>1</v>
      </c>
      <c r="O2" s="50">
        <v>44323</v>
      </c>
      <c r="P2" s="77">
        <f>VLOOKUP(O2,碳一号第二批期净值!K:L,2,FALSE)</f>
        <v>1</v>
      </c>
      <c r="Q2" s="77"/>
      <c r="S2" s="105">
        <v>44323</v>
      </c>
      <c r="T2" s="4">
        <f>VLOOKUP(S2,O:P,2,FALSE)</f>
        <v>1</v>
      </c>
      <c r="V2" s="50">
        <v>44326</v>
      </c>
      <c r="W2" s="77">
        <f>VLOOKUP(V2,碳一号第二批期净值!P:Q,2,FALSE)</f>
        <v>1</v>
      </c>
      <c r="X2" s="77"/>
      <c r="Z2" s="105">
        <v>44326</v>
      </c>
      <c r="AA2" s="4">
        <f>VLOOKUP(Z2,V:W,2,FALSE)</f>
        <v>1</v>
      </c>
      <c r="AC2" s="50">
        <v>44326</v>
      </c>
      <c r="AD2" s="77">
        <f>VLOOKUP(AC2,碳一号第二批期净值!U:V,2,FALSE)</f>
        <v>1</v>
      </c>
      <c r="AE2" s="77"/>
      <c r="AG2" s="105">
        <v>44326</v>
      </c>
      <c r="AH2" s="4">
        <f>VLOOKUP(AG2,AC:AD,2,FALSE)</f>
        <v>1</v>
      </c>
      <c r="AJ2" s="50">
        <v>44328</v>
      </c>
      <c r="AK2" s="77">
        <f>VLOOKUP(AJ2,碳一号第二批期净值!Z:AA,2,FALSE)</f>
        <v>1</v>
      </c>
      <c r="AL2" s="77"/>
      <c r="AN2" s="105">
        <v>44328</v>
      </c>
      <c r="AO2" s="4">
        <f>VLOOKUP(AN2,AJ:AK,2,FALSE)</f>
        <v>1</v>
      </c>
    </row>
    <row r="3" spans="1:41">
      <c r="A3" s="50">
        <v>44326</v>
      </c>
      <c r="B3" s="77">
        <f>VLOOKUP(A3,碳一号第二批期净值!A:B,2,FALSE)</f>
        <v>0.99990000000000001</v>
      </c>
      <c r="C3" s="6">
        <f>(B3-1)/(A3-$A$2+1)*365</f>
        <v>-9.124999999998995E-3</v>
      </c>
      <c r="E3" s="105">
        <v>44330</v>
      </c>
      <c r="F3" s="4">
        <f>VLOOKUP(E3,A:B,2,FALSE)</f>
        <v>0.99990000000000001</v>
      </c>
      <c r="H3" s="50">
        <v>44326</v>
      </c>
      <c r="I3" s="77">
        <f>VLOOKUP(H3,碳一号第二批期净值!F:G,2,FALSE)</f>
        <v>0.99990000000000001</v>
      </c>
      <c r="J3" s="6">
        <f>(I3-1)/(H3-$A$2+1)*365</f>
        <v>-9.124999999998995E-3</v>
      </c>
      <c r="L3" s="105">
        <v>44330</v>
      </c>
      <c r="M3" s="4">
        <f>VLOOKUP(L3,H:I,2,FALSE)</f>
        <v>0.99990000000000001</v>
      </c>
      <c r="O3" s="50">
        <v>44326</v>
      </c>
      <c r="P3" s="77">
        <f>VLOOKUP(O3,碳一号第二批期净值!K:L,2,FALSE)</f>
        <v>0.99990000000000001</v>
      </c>
      <c r="Q3" s="6">
        <f>(P3-1)/(O3-$A$2+1)*365</f>
        <v>-9.124999999998995E-3</v>
      </c>
      <c r="S3" s="105">
        <v>44330</v>
      </c>
      <c r="T3" s="4">
        <f>VLOOKUP(S3,O:P,2,FALSE)</f>
        <v>0.99990000000000001</v>
      </c>
      <c r="V3" s="50">
        <v>44327</v>
      </c>
      <c r="W3" s="77">
        <f>VLOOKUP(V3,碳一号第二批期净值!P:Q,2,FALSE)</f>
        <v>1</v>
      </c>
      <c r="X3" s="6">
        <f>(W3-1)/(V3-$A$2+1)*365</f>
        <v>0</v>
      </c>
      <c r="Z3" s="105">
        <v>44330</v>
      </c>
      <c r="AA3" s="4">
        <f>VLOOKUP(Z3,V:W,2,FALSE)</f>
        <v>0.99990000000000001</v>
      </c>
      <c r="AC3" s="50">
        <v>44327</v>
      </c>
      <c r="AD3" s="77">
        <f>VLOOKUP(AC3,碳一号第二批期净值!U:V,2,FALSE)</f>
        <v>1</v>
      </c>
      <c r="AE3" s="6">
        <f>(AD3-1)/(AC3-$A$2+1)*365</f>
        <v>0</v>
      </c>
      <c r="AG3" s="105">
        <v>44330</v>
      </c>
      <c r="AH3" s="4">
        <f>VLOOKUP(AG3,AC:AD,2,FALSE)</f>
        <v>0.99990000000000001</v>
      </c>
      <c r="AJ3" s="50">
        <v>44329</v>
      </c>
      <c r="AK3" s="77">
        <f>VLOOKUP(AJ3,碳一号第二批期净值!Z:AA,2,FALSE)</f>
        <v>1</v>
      </c>
      <c r="AL3" s="6">
        <f>(AK3-1)/(AJ3-$A$2+1)*365</f>
        <v>0</v>
      </c>
      <c r="AN3" s="105">
        <v>44330</v>
      </c>
      <c r="AO3" s="4">
        <f>VLOOKUP(AN3,AJ:AK,2,FALSE)</f>
        <v>1.0001</v>
      </c>
    </row>
    <row r="4" spans="1:41">
      <c r="A4" s="50">
        <v>44327</v>
      </c>
      <c r="B4" s="77">
        <f>VLOOKUP(A4,碳一号第二批期净值!A:B,2,FALSE)</f>
        <v>0.99990000000000001</v>
      </c>
      <c r="C4" s="6">
        <f t="shared" ref="C4:C10" si="0">(B4-1)/(A4-$A$2+1)*365</f>
        <v>-7.2999999999991952E-3</v>
      </c>
      <c r="E4" s="105">
        <v>44337</v>
      </c>
      <c r="F4" s="4">
        <f>VLOOKUP(E4,A:B,2,FALSE)</f>
        <v>1.0003</v>
      </c>
      <c r="H4" s="50">
        <v>44327</v>
      </c>
      <c r="I4" s="77">
        <f>VLOOKUP(H4,碳一号第二批期净值!F:G,2,FALSE)</f>
        <v>0.99990000000000001</v>
      </c>
      <c r="J4" s="6">
        <f t="shared" ref="J4:J10" si="1">(I4-1)/(H4-$A$2+1)*365</f>
        <v>-7.2999999999991952E-3</v>
      </c>
      <c r="L4" s="105">
        <v>44337</v>
      </c>
      <c r="M4" s="4">
        <f>VLOOKUP(L4,H:I,2,FALSE)</f>
        <v>1.0003</v>
      </c>
      <c r="O4" s="50">
        <v>44327</v>
      </c>
      <c r="P4" s="77">
        <f>VLOOKUP(O4,碳一号第二批期净值!K:L,2,FALSE)</f>
        <v>0.99990000000000001</v>
      </c>
      <c r="Q4" s="6">
        <f t="shared" ref="Q4:Q10" si="2">(P4-1)/(O4-$A$2+1)*365</f>
        <v>-7.2999999999991952E-3</v>
      </c>
      <c r="S4" s="105">
        <v>44337</v>
      </c>
      <c r="T4" s="4">
        <f>VLOOKUP(S4,O:P,2,FALSE)</f>
        <v>1.0003</v>
      </c>
      <c r="V4" s="50">
        <v>44328</v>
      </c>
      <c r="W4" s="77">
        <f>VLOOKUP(V4,碳一号第二批期净值!P:Q,2,FALSE)</f>
        <v>1</v>
      </c>
      <c r="X4" s="6">
        <f t="shared" ref="X4:X10" si="3">(W4-1)/(V4-$A$2+1)*365</f>
        <v>0</v>
      </c>
      <c r="Z4" s="105">
        <v>44337</v>
      </c>
      <c r="AA4" s="4">
        <f>VLOOKUP(Z4,V:W,2,FALSE)</f>
        <v>1.0003</v>
      </c>
      <c r="AC4" s="50">
        <v>44328</v>
      </c>
      <c r="AD4" s="77">
        <f>VLOOKUP(AC4,碳一号第二批期净值!U:V,2,FALSE)</f>
        <v>1</v>
      </c>
      <c r="AE4" s="6">
        <f t="shared" ref="AE4:AE10" si="4">(AD4-1)/(AC4-$A$2+1)*365</f>
        <v>0</v>
      </c>
      <c r="AG4" s="105">
        <v>44337</v>
      </c>
      <c r="AH4" s="4">
        <f>VLOOKUP(AG4,AC:AD,2,FALSE)</f>
        <v>1.0003</v>
      </c>
      <c r="AJ4" s="50">
        <v>44330</v>
      </c>
      <c r="AK4" s="77">
        <f>VLOOKUP(AJ4,碳一号第二批期净值!Z:AA,2,FALSE)</f>
        <v>1.0001</v>
      </c>
      <c r="AL4" s="6">
        <f t="shared" ref="AL4:AL9" si="5">(AK4-1)/(AJ4-$A$2+1)*365</f>
        <v>4.5624999999994975E-3</v>
      </c>
      <c r="AN4" s="105">
        <v>44337</v>
      </c>
      <c r="AO4" s="4">
        <f>VLOOKUP(AN4,AJ:AK,2,FALSE)</f>
        <v>1.0004</v>
      </c>
    </row>
    <row r="5" spans="1:41">
      <c r="A5" s="50">
        <v>44328</v>
      </c>
      <c r="B5" s="77">
        <f>VLOOKUP(A5,碳一号第二批期净值!A:B,2,FALSE)</f>
        <v>0.99990000000000001</v>
      </c>
      <c r="C5" s="6">
        <f t="shared" si="0"/>
        <v>-6.0833333333326634E-3</v>
      </c>
      <c r="E5" s="105">
        <v>44344</v>
      </c>
      <c r="F5" s="4">
        <f>VLOOKUP(E5,A:B,2,FALSE)</f>
        <v>0</v>
      </c>
      <c r="H5" s="50">
        <v>44328</v>
      </c>
      <c r="I5" s="77">
        <f>VLOOKUP(H5,碳一号第二批期净值!F:G,2,FALSE)</f>
        <v>0.99990000000000001</v>
      </c>
      <c r="J5" s="6">
        <f t="shared" si="1"/>
        <v>-6.0833333333326634E-3</v>
      </c>
      <c r="L5" s="105">
        <v>44344</v>
      </c>
      <c r="M5" s="4">
        <f>VLOOKUP(L5,H:I,2,FALSE)</f>
        <v>0</v>
      </c>
      <c r="O5" s="50">
        <v>44328</v>
      </c>
      <c r="P5" s="77">
        <f>VLOOKUP(O5,碳一号第二批期净值!K:L,2,FALSE)</f>
        <v>0.99990000000000001</v>
      </c>
      <c r="Q5" s="6">
        <f t="shared" si="2"/>
        <v>-6.0833333333326634E-3</v>
      </c>
      <c r="S5" s="105">
        <v>44344</v>
      </c>
      <c r="T5" s="4">
        <f>VLOOKUP(S5,O:P,2,FALSE)</f>
        <v>0</v>
      </c>
      <c r="V5" s="50">
        <v>44329</v>
      </c>
      <c r="W5" s="77">
        <f>VLOOKUP(V5,碳一号第二批期净值!P:Q,2,FALSE)</f>
        <v>1</v>
      </c>
      <c r="X5" s="6">
        <f t="shared" si="3"/>
        <v>0</v>
      </c>
      <c r="Z5" s="105">
        <v>44344</v>
      </c>
      <c r="AA5" s="4">
        <f>VLOOKUP(Z5,V:W,2,FALSE)</f>
        <v>0</v>
      </c>
      <c r="AC5" s="50">
        <v>44329</v>
      </c>
      <c r="AD5" s="77">
        <f>VLOOKUP(AC5,碳一号第二批期净值!U:V,2,FALSE)</f>
        <v>1</v>
      </c>
      <c r="AE5" s="6">
        <f t="shared" si="4"/>
        <v>0</v>
      </c>
      <c r="AG5" s="105">
        <v>44344</v>
      </c>
      <c r="AH5" s="4">
        <f>VLOOKUP(AG5,AC:AD,2,FALSE)</f>
        <v>0</v>
      </c>
      <c r="AJ5" s="50">
        <v>44333</v>
      </c>
      <c r="AK5" s="77">
        <f>VLOOKUP(AJ5,碳一号第二批期净值!Z:AA,2,FALSE)</f>
        <v>1</v>
      </c>
      <c r="AL5" s="6">
        <f t="shared" si="5"/>
        <v>0</v>
      </c>
      <c r="AN5" s="105">
        <v>44344</v>
      </c>
      <c r="AO5" s="4">
        <f>VLOOKUP(AN5,AJ:AK,2,FALSE)</f>
        <v>0</v>
      </c>
    </row>
    <row r="6" spans="1:41">
      <c r="A6" s="50">
        <v>44329</v>
      </c>
      <c r="B6" s="77">
        <f>VLOOKUP(A6,碳一号第二批期净值!A:B,2,FALSE)</f>
        <v>0.99990000000000001</v>
      </c>
      <c r="C6" s="6">
        <f t="shared" si="0"/>
        <v>-5.2142857142851396E-3</v>
      </c>
      <c r="E6" s="105">
        <v>44351</v>
      </c>
      <c r="F6" s="4"/>
      <c r="H6" s="50">
        <v>44329</v>
      </c>
      <c r="I6" s="77">
        <f>VLOOKUP(H6,碳一号第二批期净值!F:G,2,FALSE)</f>
        <v>0.99990000000000001</v>
      </c>
      <c r="J6" s="6">
        <f t="shared" si="1"/>
        <v>-5.2142857142851396E-3</v>
      </c>
      <c r="L6" s="105">
        <v>44351</v>
      </c>
      <c r="M6" s="4"/>
      <c r="O6" s="50">
        <v>44329</v>
      </c>
      <c r="P6" s="77">
        <f>VLOOKUP(O6,碳一号第二批期净值!K:L,2,FALSE)</f>
        <v>0.99990000000000001</v>
      </c>
      <c r="Q6" s="6">
        <f t="shared" si="2"/>
        <v>-5.2142857142851396E-3</v>
      </c>
      <c r="S6" s="105">
        <v>44351</v>
      </c>
      <c r="T6" s="4"/>
      <c r="V6" s="50">
        <v>44330</v>
      </c>
      <c r="W6" s="77">
        <f>VLOOKUP(V6,碳一号第二批期净值!P:Q,2,FALSE)</f>
        <v>0.99990000000000001</v>
      </c>
      <c r="X6" s="6">
        <f t="shared" si="3"/>
        <v>-4.5624999999994975E-3</v>
      </c>
      <c r="Z6" s="105">
        <v>44351</v>
      </c>
      <c r="AA6" s="4"/>
      <c r="AC6" s="50">
        <v>44330</v>
      </c>
      <c r="AD6" s="77">
        <f>VLOOKUP(AC6,碳一号第二批期净值!U:V,2,FALSE)</f>
        <v>0.99990000000000001</v>
      </c>
      <c r="AE6" s="6">
        <f t="shared" si="4"/>
        <v>-4.5624999999994975E-3</v>
      </c>
      <c r="AG6" s="105">
        <v>44351</v>
      </c>
      <c r="AH6" s="4"/>
      <c r="AJ6" s="50">
        <v>44334</v>
      </c>
      <c r="AK6" s="77">
        <f>VLOOKUP(AJ6,碳一号第二批期净值!Z:AA,2,FALSE)</f>
        <v>1.0002</v>
      </c>
      <c r="AL6" s="6">
        <f t="shared" si="5"/>
        <v>6.0833333333326634E-3</v>
      </c>
      <c r="AN6" s="105">
        <v>44351</v>
      </c>
      <c r="AO6" s="4"/>
    </row>
    <row r="7" spans="1:41">
      <c r="A7" s="50">
        <v>44330</v>
      </c>
      <c r="B7" s="77">
        <f>VLOOKUP(A7,碳一号第二批期净值!A:B,2,FALSE)</f>
        <v>0.99990000000000001</v>
      </c>
      <c r="C7" s="6">
        <f t="shared" si="0"/>
        <v>-4.5624999999994975E-3</v>
      </c>
      <c r="H7" s="50">
        <v>44330</v>
      </c>
      <c r="I7" s="77">
        <f>VLOOKUP(H7,碳一号第二批期净值!F:G,2,FALSE)</f>
        <v>0.99990000000000001</v>
      </c>
      <c r="J7" s="6">
        <f t="shared" si="1"/>
        <v>-4.5624999999994975E-3</v>
      </c>
      <c r="M7" s="1"/>
      <c r="O7" s="50">
        <v>44330</v>
      </c>
      <c r="P7" s="77">
        <f>VLOOKUP(O7,碳一号第二批期净值!K:L,2,FALSE)</f>
        <v>0.99990000000000001</v>
      </c>
      <c r="Q7" s="6">
        <f t="shared" si="2"/>
        <v>-4.5624999999994975E-3</v>
      </c>
      <c r="T7" s="1"/>
      <c r="V7" s="50">
        <v>44333</v>
      </c>
      <c r="W7" s="77">
        <f>VLOOKUP(V7,碳一号第二批期净值!P:Q,2,FALSE)</f>
        <v>1</v>
      </c>
      <c r="X7" s="6">
        <f t="shared" si="3"/>
        <v>0</v>
      </c>
      <c r="AA7" s="1"/>
      <c r="AC7" s="50">
        <v>44333</v>
      </c>
      <c r="AD7" s="77">
        <f>VLOOKUP(AC7,碳一号第二批期净值!U:V,2,FALSE)</f>
        <v>1</v>
      </c>
      <c r="AE7" s="6">
        <f t="shared" si="4"/>
        <v>0</v>
      </c>
      <c r="AH7" s="1"/>
      <c r="AJ7" s="50">
        <v>44335</v>
      </c>
      <c r="AK7" s="77">
        <f>VLOOKUP(AJ7,碳一号第二批期净值!Z:AA,2,FALSE)</f>
        <v>1.0002</v>
      </c>
      <c r="AL7" s="6">
        <f t="shared" si="5"/>
        <v>5.6153846153839965E-3</v>
      </c>
      <c r="AO7" s="1"/>
    </row>
    <row r="8" spans="1:41">
      <c r="A8" s="50">
        <v>44333</v>
      </c>
      <c r="B8" s="77">
        <f>VLOOKUP(A8,碳一号第二批期净值!A:B,2,FALSE)</f>
        <v>1</v>
      </c>
      <c r="C8" s="6">
        <f t="shared" si="0"/>
        <v>0</v>
      </c>
      <c r="H8" s="50">
        <v>44333</v>
      </c>
      <c r="I8" s="77">
        <f>VLOOKUP(H8,碳一号第二批期净值!F:G,2,FALSE)</f>
        <v>1</v>
      </c>
      <c r="J8" s="6">
        <f t="shared" si="1"/>
        <v>0</v>
      </c>
      <c r="M8" s="1"/>
      <c r="O8" s="50">
        <v>44333</v>
      </c>
      <c r="P8" s="77">
        <f>VLOOKUP(O8,碳一号第二批期净值!K:L,2,FALSE)</f>
        <v>1</v>
      </c>
      <c r="Q8" s="6">
        <f t="shared" si="2"/>
        <v>0</v>
      </c>
      <c r="T8" s="1"/>
      <c r="V8" s="50">
        <v>44334</v>
      </c>
      <c r="W8" s="77">
        <f>VLOOKUP(V8,碳一号第二批期净值!P:Q,2,FALSE)</f>
        <v>1.0002</v>
      </c>
      <c r="X8" s="6">
        <f t="shared" si="3"/>
        <v>6.0833333333326634E-3</v>
      </c>
      <c r="AA8" s="1"/>
      <c r="AC8" s="50">
        <v>44334</v>
      </c>
      <c r="AD8" s="77">
        <f>VLOOKUP(AC8,碳一号第二批期净值!U:V,2,FALSE)</f>
        <v>1.0002</v>
      </c>
      <c r="AE8" s="6">
        <f t="shared" si="4"/>
        <v>6.0833333333326634E-3</v>
      </c>
      <c r="AH8" s="1"/>
      <c r="AJ8" s="50">
        <v>44336</v>
      </c>
      <c r="AK8" s="77">
        <f>VLOOKUP(AJ8,碳一号第二批期净值!Z:AA,2,FALSE)</f>
        <v>1.0004</v>
      </c>
      <c r="AL8" s="6">
        <f t="shared" si="5"/>
        <v>1.0428571428570279E-2</v>
      </c>
      <c r="AO8" s="1"/>
    </row>
    <row r="9" spans="1:41">
      <c r="A9" s="50">
        <v>44334</v>
      </c>
      <c r="B9" s="77">
        <f>VLOOKUP(A9,碳一号第二批期净值!A:B,2,FALSE)</f>
        <v>1.0001</v>
      </c>
      <c r="C9" s="6">
        <f t="shared" si="0"/>
        <v>3.0416666666663317E-3</v>
      </c>
      <c r="H9" s="50">
        <v>44334</v>
      </c>
      <c r="I9" s="77">
        <f>VLOOKUP(H9,碳一号第二批期净值!F:G,2,FALSE)</f>
        <v>1.0001</v>
      </c>
      <c r="J9" s="6">
        <f t="shared" si="1"/>
        <v>3.0416666666663317E-3</v>
      </c>
      <c r="M9" s="1"/>
      <c r="O9" s="50">
        <v>44334</v>
      </c>
      <c r="P9" s="77">
        <f>VLOOKUP(O9,碳一号第二批期净值!K:L,2,FALSE)</f>
        <v>1.0001</v>
      </c>
      <c r="Q9" s="6">
        <f t="shared" si="2"/>
        <v>3.0416666666663317E-3</v>
      </c>
      <c r="T9" s="1"/>
      <c r="V9" s="50">
        <v>44335</v>
      </c>
      <c r="W9" s="77">
        <f>VLOOKUP(V9,碳一号第二批期净值!P:Q,2,FALSE)</f>
        <v>1.0002</v>
      </c>
      <c r="X9" s="6">
        <f t="shared" si="3"/>
        <v>5.6153846153839965E-3</v>
      </c>
      <c r="AA9" s="1"/>
      <c r="AC9" s="50">
        <v>44335</v>
      </c>
      <c r="AD9" s="77">
        <f>VLOOKUP(AC9,碳一号第二批期净值!U:V,2,FALSE)</f>
        <v>1.0002</v>
      </c>
      <c r="AE9" s="6">
        <f t="shared" si="4"/>
        <v>5.6153846153839965E-3</v>
      </c>
      <c r="AH9" s="1"/>
      <c r="AJ9" s="50">
        <v>44337</v>
      </c>
      <c r="AK9" s="77">
        <f>VLOOKUP(AJ9,碳一号第二批期净值!Z:AA,2,FALSE)</f>
        <v>1.0004</v>
      </c>
      <c r="AL9" s="6">
        <f t="shared" si="5"/>
        <v>9.7333333333322614E-3</v>
      </c>
      <c r="AO9" s="1"/>
    </row>
    <row r="10" spans="1:41">
      <c r="A10" s="50">
        <v>44335</v>
      </c>
      <c r="B10" s="77">
        <f>VLOOKUP(A10,碳一号第二批期净值!A:B,2,FALSE)</f>
        <v>1.0002</v>
      </c>
      <c r="C10" s="6">
        <f t="shared" si="0"/>
        <v>5.6153846153839965E-3</v>
      </c>
      <c r="H10" s="50">
        <v>44335</v>
      </c>
      <c r="I10" s="77">
        <f>VLOOKUP(H10,碳一号第二批期净值!F:G,2,FALSE)</f>
        <v>1.0002</v>
      </c>
      <c r="J10" s="6">
        <f t="shared" si="1"/>
        <v>5.6153846153839965E-3</v>
      </c>
      <c r="M10" s="1"/>
      <c r="O10" s="50">
        <v>44335</v>
      </c>
      <c r="P10" s="77">
        <f>VLOOKUP(O10,碳一号第二批期净值!K:L,2,FALSE)</f>
        <v>1.0002</v>
      </c>
      <c r="Q10" s="6">
        <f t="shared" si="2"/>
        <v>5.6153846153839965E-3</v>
      </c>
      <c r="T10" s="1"/>
      <c r="V10" s="50">
        <v>44336</v>
      </c>
      <c r="W10" s="77">
        <f>VLOOKUP(V10,碳一号第二批期净值!P:Q,2,FALSE)</f>
        <v>1.0004</v>
      </c>
      <c r="X10" s="6">
        <f t="shared" si="3"/>
        <v>1.0428571428570279E-2</v>
      </c>
      <c r="AA10" s="1"/>
      <c r="AC10" s="50">
        <v>44336</v>
      </c>
      <c r="AD10" s="77">
        <f>VLOOKUP(AC10,碳一号第二批期净值!U:V,2,FALSE)</f>
        <v>1.0004</v>
      </c>
      <c r="AE10" s="6">
        <f t="shared" si="4"/>
        <v>1.0428571428570279E-2</v>
      </c>
      <c r="AH10" s="1"/>
      <c r="AJ10" s="50">
        <v>44340</v>
      </c>
      <c r="AK10" s="77"/>
      <c r="AL10" s="6"/>
      <c r="AO10" s="1"/>
    </row>
    <row r="11" spans="1:41">
      <c r="A11" s="50">
        <v>44336</v>
      </c>
      <c r="B11" s="77">
        <f>VLOOKUP(A11,碳一号第二批期净值!A:B,2,FALSE)</f>
        <v>1.0003</v>
      </c>
      <c r="C11" s="6">
        <f t="shared" ref="C11" si="6">(B11-1)/(A11-$A$2+1)*365</f>
        <v>7.8214285714277108E-3</v>
      </c>
      <c r="H11" s="50">
        <v>44336</v>
      </c>
      <c r="I11" s="77">
        <f>VLOOKUP(H11,碳一号第二批期净值!F:G,2,FALSE)</f>
        <v>1.0003</v>
      </c>
      <c r="J11" s="6">
        <f t="shared" ref="J11:J12" si="7">(I11-1)/(H11-$A$2+1)*365</f>
        <v>7.8214285714277108E-3</v>
      </c>
      <c r="O11" s="50">
        <v>44336</v>
      </c>
      <c r="P11" s="77">
        <f>VLOOKUP(O11,碳一号第二批期净值!K:L,2,FALSE)</f>
        <v>1.0003</v>
      </c>
      <c r="Q11" s="6">
        <f t="shared" ref="Q11:Q12" si="8">(P11-1)/(O11-$A$2+1)*365</f>
        <v>7.8214285714277108E-3</v>
      </c>
      <c r="V11" s="50">
        <v>44337</v>
      </c>
      <c r="W11" s="77">
        <f>VLOOKUP(V11,碳一号第二批期净值!P:Q,2,FALSE)</f>
        <v>1.0003</v>
      </c>
      <c r="X11" s="6">
        <f t="shared" ref="X11" si="9">(W11-1)/(V11-$A$2+1)*365</f>
        <v>7.2999999999991952E-3</v>
      </c>
      <c r="AC11" s="50">
        <v>44337</v>
      </c>
      <c r="AD11" s="77">
        <f>VLOOKUP(AC11,碳一号第二批期净值!U:V,2,FALSE)</f>
        <v>1.0003</v>
      </c>
      <c r="AE11" s="6">
        <f t="shared" ref="AE11" si="10">(AD11-1)/(AC11-$A$2+1)*365</f>
        <v>7.2999999999991952E-3</v>
      </c>
      <c r="AJ11" s="50">
        <v>44341</v>
      </c>
    </row>
    <row r="12" spans="1:41">
      <c r="A12" s="50">
        <v>44337</v>
      </c>
      <c r="B12" s="77">
        <f>VLOOKUP(A12,碳一号第二批期净值!A:B,2,FALSE)</f>
        <v>1.0003</v>
      </c>
      <c r="C12" s="6">
        <f t="shared" ref="C12" si="11">(B12-1)/(A12-$A$2+1)*365</f>
        <v>7.2999999999991952E-3</v>
      </c>
      <c r="H12" s="50">
        <v>44337</v>
      </c>
      <c r="I12" s="77">
        <f>VLOOKUP(H12,碳一号第二批期净值!F:G,2,FALSE)</f>
        <v>1.0003</v>
      </c>
      <c r="J12" s="6">
        <f t="shared" si="7"/>
        <v>7.2999999999991952E-3</v>
      </c>
      <c r="O12" s="50">
        <v>44337</v>
      </c>
      <c r="P12" s="77">
        <f>VLOOKUP(O12,碳一号第二批期净值!K:L,2,FALSE)</f>
        <v>1.0003</v>
      </c>
      <c r="Q12" s="6">
        <f t="shared" si="8"/>
        <v>7.2999999999991952E-3</v>
      </c>
      <c r="V12" s="50">
        <v>44340</v>
      </c>
      <c r="AC12" s="50">
        <v>44340</v>
      </c>
      <c r="AJ12" s="50">
        <v>44342</v>
      </c>
    </row>
    <row r="13" spans="1:41">
      <c r="A13" s="50">
        <v>44340</v>
      </c>
      <c r="H13" s="50">
        <v>44340</v>
      </c>
      <c r="O13" s="50">
        <v>44340</v>
      </c>
      <c r="V13" s="50">
        <v>44341</v>
      </c>
      <c r="AC13" s="50">
        <v>44341</v>
      </c>
      <c r="AJ13" s="50">
        <v>44343</v>
      </c>
    </row>
    <row r="14" spans="1:41">
      <c r="A14" s="50">
        <v>44341</v>
      </c>
      <c r="H14" s="50">
        <v>44341</v>
      </c>
      <c r="O14" s="50">
        <v>44341</v>
      </c>
      <c r="V14" s="50">
        <v>44342</v>
      </c>
      <c r="AC14" s="50">
        <v>44342</v>
      </c>
      <c r="AJ14" s="50">
        <v>44344</v>
      </c>
    </row>
    <row r="15" spans="1:41">
      <c r="A15" s="50">
        <v>44342</v>
      </c>
      <c r="H15" s="50">
        <v>44342</v>
      </c>
      <c r="O15" s="50">
        <v>44342</v>
      </c>
      <c r="V15" s="50">
        <v>44343</v>
      </c>
      <c r="AC15" s="50">
        <v>44343</v>
      </c>
      <c r="AJ15" s="50">
        <v>44345</v>
      </c>
    </row>
    <row r="16" spans="1:41">
      <c r="A16" s="50">
        <v>44343</v>
      </c>
      <c r="H16" s="50">
        <v>44343</v>
      </c>
      <c r="O16" s="50">
        <v>44343</v>
      </c>
      <c r="V16" s="50">
        <v>44344</v>
      </c>
      <c r="AC16" s="50">
        <v>44344</v>
      </c>
      <c r="AJ16" s="50">
        <v>44346</v>
      </c>
    </row>
    <row r="17" spans="1:36">
      <c r="A17" s="50">
        <v>44344</v>
      </c>
      <c r="H17" s="50">
        <v>44344</v>
      </c>
      <c r="O17" s="50">
        <v>44344</v>
      </c>
      <c r="V17" s="50">
        <v>44345</v>
      </c>
      <c r="AC17" s="50">
        <v>44345</v>
      </c>
      <c r="AJ17" s="50">
        <v>44347</v>
      </c>
    </row>
    <row r="18" spans="1:36">
      <c r="A18" s="50">
        <v>44345</v>
      </c>
      <c r="H18" s="50">
        <v>44345</v>
      </c>
      <c r="O18" s="50">
        <v>44345</v>
      </c>
      <c r="V18" s="50">
        <v>44346</v>
      </c>
      <c r="AC18" s="50">
        <v>44346</v>
      </c>
      <c r="AJ18" s="50">
        <v>44348</v>
      </c>
    </row>
    <row r="19" spans="1:36">
      <c r="A19" s="50">
        <v>44346</v>
      </c>
      <c r="H19" s="50">
        <v>44346</v>
      </c>
      <c r="O19" s="50">
        <v>44346</v>
      </c>
      <c r="V19" s="50">
        <v>44347</v>
      </c>
      <c r="AC19" s="50">
        <v>44347</v>
      </c>
    </row>
    <row r="20" spans="1:36">
      <c r="A20" s="50">
        <v>44347</v>
      </c>
      <c r="H20" s="50">
        <v>44347</v>
      </c>
      <c r="O20" s="50">
        <v>44347</v>
      </c>
      <c r="V20" s="50">
        <v>44348</v>
      </c>
      <c r="AC20" s="50">
        <v>44348</v>
      </c>
    </row>
    <row r="21" spans="1:36">
      <c r="A21" s="50">
        <v>44348</v>
      </c>
      <c r="H21" s="50">
        <v>44348</v>
      </c>
      <c r="O21" s="50">
        <v>44348</v>
      </c>
    </row>
  </sheetData>
  <phoneticPr fontId="19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Z19"/>
  <sheetViews>
    <sheetView showGridLines="0" workbookViewId="0">
      <selection activeCell="E2" sqref="E2"/>
    </sheetView>
  </sheetViews>
  <sheetFormatPr baseColWidth="10" defaultColWidth="9" defaultRowHeight="14"/>
  <cols>
    <col min="1" max="1" width="26.5" customWidth="1"/>
    <col min="2" max="2" width="13.83203125" customWidth="1"/>
    <col min="3" max="3" width="14.33203125" customWidth="1"/>
    <col min="4" max="9" width="15.83203125" customWidth="1"/>
    <col min="10" max="10" width="11.1640625" customWidth="1"/>
    <col min="11" max="11" width="11.6640625" customWidth="1"/>
    <col min="20" max="20" width="11.6640625" customWidth="1"/>
    <col min="21" max="21" width="26.1640625" customWidth="1"/>
    <col min="22" max="22" width="12.1640625" customWidth="1"/>
    <col min="23" max="23" width="12.6640625" customWidth="1"/>
    <col min="24" max="24" width="12.1640625" customWidth="1"/>
    <col min="25" max="25" width="13.1640625" customWidth="1"/>
    <col min="26" max="26" width="8.5" customWidth="1"/>
  </cols>
  <sheetData>
    <row r="1" spans="1:26" ht="18" customHeight="1">
      <c r="A1" s="102" t="s">
        <v>5</v>
      </c>
      <c r="B1" s="102" t="s">
        <v>17</v>
      </c>
      <c r="C1" s="102" t="s">
        <v>18</v>
      </c>
      <c r="D1" s="102" t="s">
        <v>19</v>
      </c>
      <c r="E1" s="102" t="s">
        <v>63</v>
      </c>
      <c r="F1" s="102" t="s">
        <v>20</v>
      </c>
      <c r="G1" s="102" t="s">
        <v>16</v>
      </c>
      <c r="H1" s="102" t="s">
        <v>21</v>
      </c>
      <c r="I1" s="102" t="s">
        <v>22</v>
      </c>
      <c r="J1" s="72" t="s">
        <v>11</v>
      </c>
      <c r="K1" s="72" t="s">
        <v>23</v>
      </c>
    </row>
    <row r="2" spans="1:26" ht="18" customHeight="1">
      <c r="A2" s="64" t="str">
        <f>'2FOF净值画线'!B1</f>
        <v>英大长三角碳一号7期FOF</v>
      </c>
      <c r="B2" s="67">
        <f>'周更新-碳一号7期'!A14</f>
        <v>2</v>
      </c>
      <c r="C2" s="69">
        <f>'1母基金基本情况汇总'!G6</f>
        <v>3.9999999999995595E-4</v>
      </c>
      <c r="D2" s="70">
        <f>'周更新-碳一号7期'!B14</f>
        <v>2.9999999999996696E-4</v>
      </c>
      <c r="E2" s="70">
        <f>'周更新-碳一号7期'!B8</f>
        <v>7.499999999999174E-3</v>
      </c>
      <c r="F2" s="69">
        <f>'周更新-碳一号7期'!D14</f>
        <v>1.8708286933867648E-3</v>
      </c>
      <c r="G2" s="69">
        <f ca="1">'周更新-碳一号7期'!E14</f>
        <v>-9.9999999999988987E-5</v>
      </c>
      <c r="H2" s="71">
        <f>'周更新-碳一号7期'!F14</f>
        <v>-10.176485749743728</v>
      </c>
      <c r="I2" s="71">
        <f ca="1">'周更新-碳一号7期'!G14</f>
        <v>75</v>
      </c>
      <c r="J2" s="69"/>
      <c r="K2" s="73"/>
    </row>
    <row r="3" spans="1:26" ht="18" customHeight="1">
      <c r="A3" s="84"/>
      <c r="B3" s="67"/>
      <c r="C3" s="68"/>
      <c r="D3" s="70"/>
      <c r="E3" s="70"/>
      <c r="F3" s="69"/>
      <c r="G3" s="69"/>
      <c r="H3" s="71"/>
      <c r="I3" s="71"/>
      <c r="J3" s="69"/>
      <c r="K3" s="69"/>
      <c r="Z3" s="74"/>
    </row>
    <row r="4" spans="1:26" ht="18" customHeight="1">
      <c r="A4" s="102" t="s">
        <v>5</v>
      </c>
      <c r="B4" s="102" t="s">
        <v>17</v>
      </c>
      <c r="C4" s="102" t="s">
        <v>18</v>
      </c>
      <c r="D4" s="102" t="s">
        <v>19</v>
      </c>
      <c r="E4" s="102" t="s">
        <v>63</v>
      </c>
      <c r="F4" s="102" t="s">
        <v>20</v>
      </c>
      <c r="G4" s="102" t="s">
        <v>16</v>
      </c>
      <c r="H4" s="102" t="s">
        <v>21</v>
      </c>
      <c r="I4" s="102" t="s">
        <v>22</v>
      </c>
      <c r="J4" s="72" t="s">
        <v>11</v>
      </c>
      <c r="K4" s="72" t="s">
        <v>23</v>
      </c>
      <c r="Z4" s="106"/>
    </row>
    <row r="5" spans="1:26" ht="18" customHeight="1">
      <c r="A5" s="64" t="str">
        <f>'2FOF净值画线'!I1</f>
        <v>英大长三角碳一号8期FOF</v>
      </c>
      <c r="B5" s="67">
        <f>'周更新-碳一号8期 '!A14</f>
        <v>2</v>
      </c>
      <c r="C5" s="69">
        <f>'1母基金基本情况汇总'!G9</f>
        <v>3.9999999999995595E-4</v>
      </c>
      <c r="D5" s="70">
        <f>'周更新-碳一号8期 '!B14</f>
        <v>2.9999999999996696E-4</v>
      </c>
      <c r="E5" s="70">
        <f>'周更新-碳一号8期 '!C14</f>
        <v>7.499999999999174E-3</v>
      </c>
      <c r="F5" s="69">
        <f>'周更新-碳一号8期 '!D14</f>
        <v>1.8708286933867648E-3</v>
      </c>
      <c r="G5" s="69">
        <f ca="1">'周更新-碳一号8期 '!E14</f>
        <v>-9.9999999999988987E-5</v>
      </c>
      <c r="H5" s="71">
        <f>'周更新-碳一号8期 '!F14</f>
        <v>-10.176485749743728</v>
      </c>
      <c r="I5" s="71">
        <f ca="1">'周更新-碳一号8期 '!G14</f>
        <v>75</v>
      </c>
      <c r="J5" s="69"/>
      <c r="K5" s="73"/>
      <c r="Z5" s="106"/>
    </row>
    <row r="6" spans="1:26" ht="18" customHeight="1">
      <c r="A6" s="84"/>
      <c r="B6" s="67"/>
      <c r="C6" s="68"/>
      <c r="D6" s="70"/>
      <c r="E6" s="70"/>
      <c r="F6" s="69"/>
      <c r="G6" s="69"/>
      <c r="H6" s="71"/>
      <c r="I6" s="71"/>
      <c r="J6" s="69"/>
      <c r="K6" s="69"/>
      <c r="Z6" s="106"/>
    </row>
    <row r="7" spans="1:26" ht="18" customHeight="1">
      <c r="A7" s="102" t="s">
        <v>5</v>
      </c>
      <c r="B7" s="102" t="s">
        <v>17</v>
      </c>
      <c r="C7" s="102" t="s">
        <v>18</v>
      </c>
      <c r="D7" s="102" t="s">
        <v>19</v>
      </c>
      <c r="E7" s="102" t="s">
        <v>63</v>
      </c>
      <c r="F7" s="102" t="s">
        <v>20</v>
      </c>
      <c r="G7" s="102" t="s">
        <v>16</v>
      </c>
      <c r="H7" s="102" t="s">
        <v>21</v>
      </c>
      <c r="I7" s="102" t="s">
        <v>22</v>
      </c>
      <c r="J7" s="72" t="s">
        <v>11</v>
      </c>
      <c r="K7" s="72" t="s">
        <v>23</v>
      </c>
      <c r="Z7" s="106"/>
    </row>
    <row r="8" spans="1:26" ht="18" customHeight="1">
      <c r="A8" s="64" t="str">
        <f>'2FOF净值画线'!P1</f>
        <v>英大长三角碳一号11期FOF</v>
      </c>
      <c r="B8" s="67">
        <f>'周更新-碳一号11期  '!A14</f>
        <v>2</v>
      </c>
      <c r="C8" s="69">
        <f>'1母基金基本情况汇总'!G12</f>
        <v>3.9999999999995595E-4</v>
      </c>
      <c r="D8" s="70">
        <f>'周更新-碳一号11期  '!B14</f>
        <v>2.9999999999996696E-4</v>
      </c>
      <c r="E8" s="70">
        <f>'周更新-碳一号11期  '!C14</f>
        <v>7.499999999999174E-3</v>
      </c>
      <c r="F8" s="69">
        <f>'周更新-碳一号11期  '!D14</f>
        <v>1.8708286933867648E-3</v>
      </c>
      <c r="G8" s="69">
        <f ca="1">'周更新-碳一号11期  '!E14</f>
        <v>-9.9999999999988987E-5</v>
      </c>
      <c r="H8" s="71">
        <f>'周更新-碳一号11期  '!F14</f>
        <v>-10.176485749743728</v>
      </c>
      <c r="I8" s="71">
        <f ca="1">'周更新-碳一号11期  '!G14</f>
        <v>75</v>
      </c>
      <c r="J8" s="69"/>
      <c r="K8" s="73"/>
    </row>
    <row r="9" spans="1:26" ht="18" customHeight="1">
      <c r="A9" s="111"/>
      <c r="B9" s="112"/>
      <c r="C9" s="113"/>
      <c r="D9" s="114"/>
      <c r="E9" s="114"/>
      <c r="F9" s="113"/>
      <c r="G9" s="113"/>
      <c r="H9" s="115"/>
      <c r="I9" s="115"/>
      <c r="J9" s="113"/>
      <c r="K9" s="116"/>
    </row>
    <row r="10" spans="1:26" ht="18" customHeight="1">
      <c r="A10" s="102" t="s">
        <v>5</v>
      </c>
      <c r="B10" s="102" t="s">
        <v>17</v>
      </c>
      <c r="C10" s="102" t="s">
        <v>18</v>
      </c>
      <c r="D10" s="102" t="s">
        <v>19</v>
      </c>
      <c r="E10" s="102" t="s">
        <v>63</v>
      </c>
      <c r="F10" s="102" t="s">
        <v>20</v>
      </c>
      <c r="G10" s="102" t="s">
        <v>16</v>
      </c>
      <c r="H10" s="102" t="s">
        <v>21</v>
      </c>
      <c r="I10" s="102" t="s">
        <v>22</v>
      </c>
      <c r="J10" s="72" t="s">
        <v>11</v>
      </c>
      <c r="K10" s="72" t="s">
        <v>23</v>
      </c>
    </row>
    <row r="11" spans="1:26" ht="18" customHeight="1">
      <c r="A11" s="64" t="str">
        <f>'2FOF净值画线'!W1</f>
        <v>英大长三角碳一号9期FOF</v>
      </c>
      <c r="B11" s="67">
        <f>'周更新-碳一号9期 '!A14</f>
        <v>2</v>
      </c>
      <c r="C11" s="69">
        <f>'1母基金基本情况汇总'!G15</f>
        <v>3.9999999999995595E-4</v>
      </c>
      <c r="D11" s="70">
        <f>'周更新-碳一号9期 '!B14</f>
        <v>2.9999999999996696E-4</v>
      </c>
      <c r="E11" s="70">
        <f>'周更新-碳一号9期 '!C14</f>
        <v>7.499999999999174E-3</v>
      </c>
      <c r="F11" s="69">
        <f>'周更新-碳一号9期 '!D14</f>
        <v>1.6329931618552724E-3</v>
      </c>
      <c r="G11" s="69">
        <f ca="1">'周更新-碳一号9期 '!E14</f>
        <v>0</v>
      </c>
      <c r="H11" s="71">
        <f>'周更新-碳一号9期 '!F14</f>
        <v>-10.63800833805036</v>
      </c>
      <c r="I11" s="71" t="e">
        <f ca="1">'周更新-碳一号9期 '!G14</f>
        <v>#DIV/0!</v>
      </c>
      <c r="J11" s="69"/>
      <c r="K11" s="73"/>
    </row>
    <row r="12" spans="1:26" ht="18" customHeight="1">
      <c r="A12" s="111"/>
      <c r="B12" s="112"/>
      <c r="C12" s="113"/>
      <c r="D12" s="114"/>
      <c r="E12" s="114"/>
      <c r="F12" s="113"/>
      <c r="G12" s="113"/>
      <c r="H12" s="115"/>
      <c r="I12" s="115"/>
      <c r="J12" s="113"/>
      <c r="K12" s="116"/>
    </row>
    <row r="13" spans="1:26" ht="18" customHeight="1">
      <c r="A13" s="102" t="s">
        <v>5</v>
      </c>
      <c r="B13" s="102" t="s">
        <v>17</v>
      </c>
      <c r="C13" s="102" t="s">
        <v>18</v>
      </c>
      <c r="D13" s="102" t="s">
        <v>19</v>
      </c>
      <c r="E13" s="102" t="s">
        <v>63</v>
      </c>
      <c r="F13" s="102" t="s">
        <v>20</v>
      </c>
      <c r="G13" s="102" t="s">
        <v>16</v>
      </c>
      <c r="H13" s="102" t="s">
        <v>21</v>
      </c>
      <c r="I13" s="102" t="s">
        <v>22</v>
      </c>
      <c r="J13" s="72" t="s">
        <v>11</v>
      </c>
      <c r="K13" s="72" t="s">
        <v>23</v>
      </c>
    </row>
    <row r="14" spans="1:26" ht="18" customHeight="1">
      <c r="A14" s="64" t="str">
        <f>'2FOF净值画线'!AD1</f>
        <v>英大长三角碳一号12期FOF</v>
      </c>
      <c r="B14" s="67">
        <f>'周更新-碳一号12期 '!A14</f>
        <v>2</v>
      </c>
      <c r="C14" s="69">
        <f>'1母基金基本情况汇总'!G18</f>
        <v>3.9999999999995595E-4</v>
      </c>
      <c r="D14" s="70">
        <f>'周更新-碳一号12期 '!B14</f>
        <v>2.9999999999996696E-4</v>
      </c>
      <c r="E14" s="70">
        <f>'周更新-碳一号12期 '!C14</f>
        <v>7.499999999999174E-3</v>
      </c>
      <c r="F14" s="69">
        <f>'周更新-碳一号12期 '!D14</f>
        <v>1.6329931618552724E-3</v>
      </c>
      <c r="G14" s="69">
        <f ca="1">'周更新-碳一号12期 '!E14</f>
        <v>0</v>
      </c>
      <c r="H14" s="71">
        <f>'周更新-碳一号12期 '!F14</f>
        <v>-10.63800833805036</v>
      </c>
      <c r="I14" s="71" t="e">
        <f ca="1">'周更新-碳一号12期 '!G14</f>
        <v>#DIV/0!</v>
      </c>
      <c r="J14" s="69"/>
      <c r="K14" s="73"/>
    </row>
    <row r="15" spans="1:26" ht="18" customHeight="1">
      <c r="A15" s="120"/>
      <c r="B15" s="107"/>
      <c r="C15" s="109"/>
      <c r="D15" s="108"/>
      <c r="E15" s="108"/>
      <c r="F15" s="109"/>
      <c r="G15" s="109"/>
      <c r="H15" s="110"/>
      <c r="I15" s="110"/>
      <c r="J15" s="109"/>
      <c r="K15" s="121"/>
    </row>
    <row r="16" spans="1:26" ht="16">
      <c r="A16" s="102" t="s">
        <v>5</v>
      </c>
      <c r="B16" s="102" t="s">
        <v>17</v>
      </c>
      <c r="C16" s="102" t="s">
        <v>18</v>
      </c>
      <c r="D16" s="102" t="s">
        <v>19</v>
      </c>
      <c r="E16" s="102" t="s">
        <v>63</v>
      </c>
      <c r="F16" s="102" t="s">
        <v>20</v>
      </c>
      <c r="G16" s="102" t="s">
        <v>16</v>
      </c>
      <c r="H16" s="102" t="s">
        <v>21</v>
      </c>
      <c r="I16" s="102" t="s">
        <v>22</v>
      </c>
      <c r="J16" s="72" t="s">
        <v>11</v>
      </c>
      <c r="K16" s="72" t="s">
        <v>23</v>
      </c>
    </row>
    <row r="17" spans="1:11" ht="15">
      <c r="A17" s="64" t="str">
        <f>'2FOF净值画线'!AK1</f>
        <v>英大长三角碳一号13期FOF</v>
      </c>
      <c r="B17" s="67">
        <f>'周更新-碳一号13期'!A14</f>
        <v>2</v>
      </c>
      <c r="C17" s="69">
        <f>'1母基金基本情况汇总'!G21</f>
        <v>2.9999999999996696E-4</v>
      </c>
      <c r="D17" s="70">
        <f>'周更新-碳一号13期'!B14</f>
        <v>3.9999999999995595E-4</v>
      </c>
      <c r="E17" s="70">
        <f>'周更新-碳一号13期'!C14</f>
        <v>9.9999999999988987E-3</v>
      </c>
      <c r="F17" s="69">
        <f>'周更新-碳一号13期'!D14</f>
        <v>1.0801234497345245E-3</v>
      </c>
      <c r="G17" s="69">
        <f ca="1">'周更新-碳一号13期'!E14</f>
        <v>0</v>
      </c>
      <c r="H17" s="71">
        <f>'周更新-碳一号13期'!F14</f>
        <v>-16.083156861435878</v>
      </c>
      <c r="I17" s="71" t="e">
        <f ca="1">'周更新-碳一号13期'!G14</f>
        <v>#DIV/0!</v>
      </c>
      <c r="J17" s="69"/>
      <c r="K17" s="73"/>
    </row>
    <row r="18" spans="1:11" ht="15">
      <c r="A18" s="120"/>
      <c r="B18" s="107"/>
      <c r="C18" s="109"/>
      <c r="D18" s="108"/>
      <c r="E18" s="108"/>
      <c r="F18" s="109"/>
      <c r="G18" s="109"/>
      <c r="H18" s="110"/>
      <c r="I18" s="110"/>
      <c r="J18" s="109"/>
      <c r="K18" s="121"/>
    </row>
    <row r="19" spans="1:11" ht="15">
      <c r="A19" s="120"/>
      <c r="B19" s="107"/>
      <c r="C19" s="109"/>
      <c r="D19" s="108"/>
      <c r="E19" s="108"/>
      <c r="F19" s="109"/>
      <c r="G19" s="109"/>
      <c r="H19" s="110"/>
      <c r="I19" s="110"/>
      <c r="J19" s="109"/>
      <c r="K19" s="121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A1:O21"/>
  <sheetViews>
    <sheetView workbookViewId="0">
      <selection activeCell="F22" sqref="F22"/>
    </sheetView>
  </sheetViews>
  <sheetFormatPr baseColWidth="10" defaultColWidth="9" defaultRowHeight="14"/>
  <cols>
    <col min="1" max="1" width="9.83203125" customWidth="1"/>
    <col min="2" max="2" width="13.1640625" customWidth="1"/>
    <col min="3" max="3" width="21.1640625" customWidth="1"/>
    <col min="4" max="4" width="17.1640625" customWidth="1"/>
    <col min="5" max="5" width="11.5" customWidth="1"/>
    <col min="6" max="6" width="17.83203125" bestFit="1" customWidth="1"/>
    <col min="7" max="7" width="17.33203125" customWidth="1"/>
    <col min="8" max="8" width="10.1640625" customWidth="1"/>
    <col min="9" max="9" width="12.5" customWidth="1"/>
    <col min="10" max="10" width="12" customWidth="1"/>
    <col min="12" max="12" width="12.1640625" customWidth="1"/>
    <col min="13" max="13" width="10.5" bestFit="1" customWidth="1"/>
    <col min="14" max="14" width="16.1640625" customWidth="1"/>
    <col min="15" max="15" width="8.33203125" customWidth="1"/>
  </cols>
  <sheetData>
    <row r="1" spans="1:15" ht="20.25" customHeight="1">
      <c r="A1" s="198" t="s">
        <v>113</v>
      </c>
      <c r="B1" s="198"/>
      <c r="C1" s="198"/>
      <c r="D1" s="198"/>
      <c r="E1" s="198"/>
      <c r="F1" s="198"/>
      <c r="G1" s="198"/>
      <c r="H1" s="198"/>
      <c r="I1" s="198"/>
      <c r="J1" s="198"/>
      <c r="L1" s="90" t="s">
        <v>74</v>
      </c>
      <c r="M1" s="2">
        <f>'1母基金基本情况汇总'!E3</f>
        <v>44337</v>
      </c>
    </row>
    <row r="2" spans="1:15" ht="32">
      <c r="A2" s="60" t="s">
        <v>24</v>
      </c>
      <c r="B2" s="60" t="s">
        <v>25</v>
      </c>
      <c r="C2" s="60" t="s">
        <v>26</v>
      </c>
      <c r="D2" s="60" t="s">
        <v>27</v>
      </c>
      <c r="E2" s="93" t="s">
        <v>73</v>
      </c>
      <c r="F2" s="93" t="s">
        <v>72</v>
      </c>
      <c r="G2" s="60" t="s">
        <v>28</v>
      </c>
      <c r="H2" s="60" t="s">
        <v>29</v>
      </c>
      <c r="I2" s="60" t="s">
        <v>30</v>
      </c>
      <c r="J2" s="60" t="s">
        <v>31</v>
      </c>
      <c r="L2" s="61" t="s">
        <v>32</v>
      </c>
      <c r="M2" s="62" t="s">
        <v>33</v>
      </c>
      <c r="N2" s="62" t="s">
        <v>28</v>
      </c>
      <c r="O2" s="62" t="s">
        <v>34</v>
      </c>
    </row>
    <row r="3" spans="1:15" ht="15">
      <c r="A3" s="94" t="s">
        <v>35</v>
      </c>
      <c r="B3" s="199" t="s">
        <v>36</v>
      </c>
      <c r="C3" s="199"/>
      <c r="D3" s="199"/>
      <c r="E3" s="94"/>
      <c r="F3" s="94"/>
      <c r="G3" s="155">
        <v>0</v>
      </c>
      <c r="H3" s="156" t="e">
        <f>1-SUM(H4:H6)</f>
        <v>#REF!</v>
      </c>
      <c r="I3" s="157" t="s">
        <v>35</v>
      </c>
      <c r="J3" s="158" t="e">
        <f>1-J4-J7</f>
        <v>#REF!</v>
      </c>
      <c r="L3" s="63" t="s">
        <v>35</v>
      </c>
      <c r="M3" s="64">
        <v>0</v>
      </c>
      <c r="N3" s="65">
        <f>G3</f>
        <v>0</v>
      </c>
      <c r="O3" s="66" t="e">
        <f>1-SUM(O4:O6)</f>
        <v>#REF!</v>
      </c>
    </row>
    <row r="4" spans="1:15" ht="16">
      <c r="A4" s="165" t="s">
        <v>66</v>
      </c>
      <c r="B4" s="94" t="s">
        <v>61</v>
      </c>
      <c r="C4" s="94" t="s">
        <v>68</v>
      </c>
      <c r="D4" s="94" t="s">
        <v>67</v>
      </c>
      <c r="E4" s="96" t="e">
        <f>VLOOKUP($M$1,#REF!,6,FALSE)</f>
        <v>#REF!</v>
      </c>
      <c r="F4" s="98">
        <f>1000000/1.089</f>
        <v>918273.64554637286</v>
      </c>
      <c r="G4" s="159" t="e">
        <f>E4*F4</f>
        <v>#REF!</v>
      </c>
      <c r="H4" s="156" t="e">
        <f>G4/'1母基金基本情况汇总'!$J$6</f>
        <v>#REF!</v>
      </c>
      <c r="I4" s="165" t="s">
        <v>59</v>
      </c>
      <c r="J4" s="158" t="e">
        <f>SUM(H4:H5)-0.15%</f>
        <v>#REF!</v>
      </c>
      <c r="L4" s="88" t="s">
        <v>62</v>
      </c>
      <c r="M4" s="85">
        <v>3</v>
      </c>
      <c r="N4" s="86" t="e">
        <f>G4+G5</f>
        <v>#REF!</v>
      </c>
      <c r="O4" s="66" t="e">
        <f>J4</f>
        <v>#REF!</v>
      </c>
    </row>
    <row r="5" spans="1:15" ht="16">
      <c r="A5" s="165" t="s">
        <v>66</v>
      </c>
      <c r="B5" s="160" t="s">
        <v>60</v>
      </c>
      <c r="C5" s="94" t="s">
        <v>64</v>
      </c>
      <c r="D5" s="161" t="s">
        <v>67</v>
      </c>
      <c r="E5" s="96" t="e">
        <f>VLOOKUP(M1,#REF!,6,FALSE)</f>
        <v>#REF!</v>
      </c>
      <c r="F5" s="98">
        <f>1000000/1.1159</f>
        <v>896137.64674253971</v>
      </c>
      <c r="G5" s="159" t="e">
        <f>E5*F5</f>
        <v>#REF!</v>
      </c>
      <c r="H5" s="156" t="e">
        <f>G5/'1母基金基本情况汇总'!$J$6</f>
        <v>#REF!</v>
      </c>
      <c r="I5" s="165" t="s">
        <v>59</v>
      </c>
      <c r="J5" s="158"/>
      <c r="L5" s="88" t="s">
        <v>118</v>
      </c>
      <c r="M5" s="85">
        <v>3</v>
      </c>
      <c r="N5" s="86" t="e">
        <f>G7+G6</f>
        <v>#REF!</v>
      </c>
      <c r="O5" s="66" t="e">
        <f>J7</f>
        <v>#REF!</v>
      </c>
    </row>
    <row r="6" spans="1:15" ht="15">
      <c r="A6" s="165" t="s">
        <v>66</v>
      </c>
      <c r="B6" s="162" t="s">
        <v>109</v>
      </c>
      <c r="C6" s="163" t="s">
        <v>110</v>
      </c>
      <c r="D6" s="161" t="s">
        <v>67</v>
      </c>
      <c r="E6" s="97" t="e">
        <f>VLOOKUP(M1,#REF!,6,FALSE)</f>
        <v>#REF!</v>
      </c>
      <c r="F6" s="99">
        <f>3000000/0.9996</f>
        <v>3001200.4801920769</v>
      </c>
      <c r="G6" s="159" t="e">
        <f>E6*F6</f>
        <v>#REF!</v>
      </c>
      <c r="H6" s="156" t="e">
        <f>G6/'1母基金基本情况汇总'!$J$6</f>
        <v>#REF!</v>
      </c>
      <c r="I6" s="165" t="s">
        <v>59</v>
      </c>
      <c r="J6" s="158"/>
      <c r="L6" s="87" t="s">
        <v>119</v>
      </c>
      <c r="M6" s="85">
        <v>1</v>
      </c>
      <c r="N6" s="86"/>
      <c r="O6" s="66"/>
    </row>
    <row r="7" spans="1:15" ht="15">
      <c r="A7" s="165" t="s">
        <v>66</v>
      </c>
      <c r="B7" s="162" t="s">
        <v>69</v>
      </c>
      <c r="C7" s="163" t="s">
        <v>79</v>
      </c>
      <c r="D7" s="164" t="s">
        <v>77</v>
      </c>
      <c r="E7" s="97" t="e">
        <f>VLOOKUP(M1,#REF!,6,FALSE)</f>
        <v>#REF!</v>
      </c>
      <c r="F7" s="99">
        <f>2000000/1.795</f>
        <v>1114206.1281337049</v>
      </c>
      <c r="G7" s="159" t="e">
        <f>E7*F7</f>
        <v>#REF!</v>
      </c>
      <c r="H7" s="156" t="e">
        <f>G7/'1母基金基本情况汇总'!$J$6</f>
        <v>#REF!</v>
      </c>
      <c r="I7" s="166" t="s">
        <v>65</v>
      </c>
      <c r="J7" s="158" t="e">
        <f>SUM(H6:H6)</f>
        <v>#REF!</v>
      </c>
      <c r="L7" s="88"/>
      <c r="M7" s="85"/>
      <c r="N7" s="86"/>
      <c r="O7" s="66"/>
    </row>
    <row r="8" spans="1:15" ht="15">
      <c r="A8" s="165" t="s">
        <v>66</v>
      </c>
      <c r="B8" s="162" t="s">
        <v>114</v>
      </c>
      <c r="C8" s="163" t="s">
        <v>120</v>
      </c>
      <c r="D8" s="164" t="s">
        <v>77</v>
      </c>
      <c r="E8" s="97"/>
      <c r="F8" s="99"/>
      <c r="G8" s="159"/>
      <c r="H8" s="156"/>
      <c r="I8" s="166"/>
      <c r="J8" s="158"/>
      <c r="L8" s="169"/>
      <c r="M8" s="152"/>
      <c r="N8" s="153"/>
      <c r="O8" s="154"/>
    </row>
    <row r="9" spans="1:15" ht="15">
      <c r="A9" s="165" t="s">
        <v>66</v>
      </c>
      <c r="B9" s="167" t="s">
        <v>115</v>
      </c>
      <c r="C9" s="170" t="s">
        <v>116</v>
      </c>
      <c r="D9" s="168" t="s">
        <v>117</v>
      </c>
    </row>
    <row r="10" spans="1:15" ht="15">
      <c r="A10" s="165" t="s">
        <v>66</v>
      </c>
      <c r="B10" s="162" t="s">
        <v>111</v>
      </c>
      <c r="C10" s="163" t="s">
        <v>101</v>
      </c>
      <c r="D10" s="164" t="s">
        <v>112</v>
      </c>
      <c r="E10" s="97"/>
      <c r="F10" s="99">
        <f>1000000/1.339</f>
        <v>746825.98954443622</v>
      </c>
      <c r="G10" s="159"/>
      <c r="H10" s="156"/>
      <c r="I10" s="166"/>
      <c r="J10" s="158"/>
    </row>
    <row r="13" spans="1:15" ht="17">
      <c r="A13" s="198" t="s">
        <v>107</v>
      </c>
      <c r="B13" s="198"/>
      <c r="C13" s="198"/>
      <c r="D13" s="198"/>
      <c r="E13" s="198"/>
      <c r="F13" s="198"/>
      <c r="G13" s="198"/>
      <c r="H13" s="198"/>
      <c r="I13" s="198"/>
      <c r="J13" s="198"/>
      <c r="L13" s="90" t="s">
        <v>74</v>
      </c>
      <c r="M13" s="2">
        <f>'1母基金基本情况汇总'!E15</f>
        <v>44337</v>
      </c>
    </row>
    <row r="14" spans="1:15" ht="32">
      <c r="A14" s="60" t="s">
        <v>24</v>
      </c>
      <c r="B14" s="60" t="s">
        <v>25</v>
      </c>
      <c r="C14" s="60" t="s">
        <v>26</v>
      </c>
      <c r="D14" s="60" t="s">
        <v>27</v>
      </c>
      <c r="E14" s="93" t="s">
        <v>73</v>
      </c>
      <c r="F14" s="93" t="s">
        <v>72</v>
      </c>
      <c r="G14" s="60" t="s">
        <v>28</v>
      </c>
      <c r="H14" s="60" t="s">
        <v>29</v>
      </c>
      <c r="I14" s="60" t="s">
        <v>30</v>
      </c>
      <c r="J14" s="60" t="s">
        <v>31</v>
      </c>
      <c r="L14" s="61" t="s">
        <v>32</v>
      </c>
      <c r="M14" s="62" t="s">
        <v>33</v>
      </c>
      <c r="N14" s="62" t="s">
        <v>28</v>
      </c>
      <c r="O14" s="62" t="s">
        <v>34</v>
      </c>
    </row>
    <row r="15" spans="1:15" ht="15">
      <c r="A15" s="94" t="s">
        <v>35</v>
      </c>
      <c r="B15" s="199" t="s">
        <v>36</v>
      </c>
      <c r="C15" s="199"/>
      <c r="D15" s="199"/>
      <c r="E15" s="94"/>
      <c r="F15" s="94"/>
      <c r="G15" s="155">
        <v>0</v>
      </c>
      <c r="H15" s="156" t="e">
        <f>1-SUM(H16:H17)</f>
        <v>#REF!</v>
      </c>
      <c r="I15" s="157" t="s">
        <v>35</v>
      </c>
      <c r="J15" s="158" t="e">
        <f>1-J16-J18</f>
        <v>#REF!</v>
      </c>
      <c r="L15" s="63" t="s">
        <v>35</v>
      </c>
      <c r="M15" s="64">
        <v>0</v>
      </c>
      <c r="N15" s="65">
        <f>G15</f>
        <v>0</v>
      </c>
      <c r="O15" s="66" t="e">
        <f>1-SUM(O16:O17)</f>
        <v>#REF!</v>
      </c>
    </row>
    <row r="16" spans="1:15" ht="16">
      <c r="A16" s="165" t="s">
        <v>66</v>
      </c>
      <c r="B16" s="94" t="s">
        <v>61</v>
      </c>
      <c r="C16" s="94" t="s">
        <v>68</v>
      </c>
      <c r="D16" s="94" t="s">
        <v>67</v>
      </c>
      <c r="E16" s="96" t="e">
        <f>VLOOKUP($M$1,#REF!,6,FALSE)</f>
        <v>#REF!</v>
      </c>
      <c r="F16" s="98">
        <f>1000000/1.089</f>
        <v>918273.64554637286</v>
      </c>
      <c r="G16" s="159" t="e">
        <f>E16*F16</f>
        <v>#REF!</v>
      </c>
      <c r="H16" s="156" t="e">
        <f>G16/'1母基金基本情况汇总'!$J$6</f>
        <v>#REF!</v>
      </c>
      <c r="I16" s="165" t="s">
        <v>59</v>
      </c>
      <c r="J16" s="158" t="e">
        <f>SUM(H16:H16)-0.15%</f>
        <v>#REF!</v>
      </c>
      <c r="L16" s="88" t="s">
        <v>62</v>
      </c>
      <c r="M16" s="85">
        <v>2</v>
      </c>
      <c r="N16" s="86" t="e">
        <f>G16+#REF!</f>
        <v>#REF!</v>
      </c>
      <c r="O16" s="66" t="e">
        <f>J16</f>
        <v>#REF!</v>
      </c>
    </row>
    <row r="17" spans="1:15" ht="16">
      <c r="A17" s="165" t="s">
        <v>66</v>
      </c>
      <c r="B17" s="162" t="s">
        <v>109</v>
      </c>
      <c r="C17" s="163" t="s">
        <v>110</v>
      </c>
      <c r="D17" s="161" t="s">
        <v>67</v>
      </c>
      <c r="E17" s="97" t="e">
        <f>VLOOKUP(M13,#REF!,6,FALSE)</f>
        <v>#REF!</v>
      </c>
      <c r="F17" s="99">
        <f>3000000/0.9996</f>
        <v>3001200.4801920769</v>
      </c>
      <c r="G17" s="159" t="e">
        <f>E17*F17</f>
        <v>#REF!</v>
      </c>
      <c r="H17" s="156" t="e">
        <f>G17/'1母基金基本情况汇总'!$J$6</f>
        <v>#REF!</v>
      </c>
      <c r="I17" s="165" t="s">
        <v>59</v>
      </c>
      <c r="J17" s="158"/>
      <c r="L17" s="88" t="s">
        <v>118</v>
      </c>
      <c r="M17" s="85">
        <v>3</v>
      </c>
      <c r="N17" s="86"/>
      <c r="O17" s="66"/>
    </row>
    <row r="18" spans="1:15" ht="15">
      <c r="A18" s="165" t="s">
        <v>66</v>
      </c>
      <c r="B18" s="162" t="s">
        <v>69</v>
      </c>
      <c r="C18" s="163" t="s">
        <v>70</v>
      </c>
      <c r="D18" s="164" t="s">
        <v>77</v>
      </c>
      <c r="E18" s="97" t="e">
        <f>VLOOKUP(M13,#REF!,6,FALSE)</f>
        <v>#REF!</v>
      </c>
      <c r="F18" s="99">
        <f>2000000/1.793</f>
        <v>1115448.9682097044</v>
      </c>
      <c r="G18" s="159" t="e">
        <f>E18*F18</f>
        <v>#REF!</v>
      </c>
      <c r="H18" s="156" t="e">
        <f>G18/'1母基金基本情况汇总'!$J$6</f>
        <v>#REF!</v>
      </c>
      <c r="I18" s="166" t="s">
        <v>65</v>
      </c>
      <c r="J18" s="158" t="e">
        <f>SUM(H17:H17)</f>
        <v>#REF!</v>
      </c>
      <c r="L18" s="87" t="s">
        <v>119</v>
      </c>
      <c r="M18" s="85">
        <v>1</v>
      </c>
      <c r="N18" s="86"/>
      <c r="O18" s="66"/>
    </row>
    <row r="19" spans="1:15" ht="15">
      <c r="A19" s="165" t="s">
        <v>66</v>
      </c>
      <c r="B19" s="162" t="s">
        <v>114</v>
      </c>
      <c r="C19" s="163" t="s">
        <v>120</v>
      </c>
      <c r="D19" s="164" t="s">
        <v>77</v>
      </c>
      <c r="E19" s="97"/>
      <c r="F19" s="99"/>
      <c r="G19" s="159"/>
      <c r="H19" s="156"/>
      <c r="I19" s="166"/>
      <c r="J19" s="158"/>
      <c r="L19" s="169"/>
      <c r="M19" s="152"/>
      <c r="N19" s="153"/>
      <c r="O19" s="154"/>
    </row>
    <row r="20" spans="1:15" ht="15">
      <c r="A20" s="165" t="s">
        <v>66</v>
      </c>
      <c r="B20" s="167" t="s">
        <v>115</v>
      </c>
      <c r="C20" s="170" t="s">
        <v>116</v>
      </c>
      <c r="D20" s="168" t="s">
        <v>117</v>
      </c>
    </row>
    <row r="21" spans="1:15" ht="15">
      <c r="A21" s="165" t="s">
        <v>66</v>
      </c>
      <c r="B21" s="162" t="s">
        <v>111</v>
      </c>
      <c r="C21" s="163" t="s">
        <v>101</v>
      </c>
      <c r="D21" s="164" t="s">
        <v>112</v>
      </c>
      <c r="E21" s="97"/>
      <c r="F21" s="99">
        <f>1000000/1.339</f>
        <v>746825.98954443622</v>
      </c>
      <c r="G21" s="159"/>
      <c r="H21" s="156"/>
      <c r="I21" s="166"/>
      <c r="J21" s="158"/>
    </row>
  </sheetData>
  <mergeCells count="4">
    <mergeCell ref="A13:J13"/>
    <mergeCell ref="B15:D15"/>
    <mergeCell ref="A1:J1"/>
    <mergeCell ref="B3:D3"/>
  </mergeCells>
  <phoneticPr fontId="19" type="noConversion"/>
  <pageMargins left="0.69930555555555596" right="0.69930555555555596" top="0.75" bottom="0.75" header="0.3" footer="0.3"/>
  <pageSetup paperSize="9" orientation="landscape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17"/>
  <sheetViews>
    <sheetView tabSelected="1" zoomScale="133" workbookViewId="0">
      <pane xSplit="1" ySplit="1" topLeftCell="N2" activePane="bottomRight" state="frozen"/>
      <selection pane="topRight"/>
      <selection pane="bottomLeft"/>
      <selection pane="bottomRight" activeCell="W17" sqref="W17"/>
    </sheetView>
  </sheetViews>
  <sheetFormatPr baseColWidth="10" defaultColWidth="9" defaultRowHeight="14"/>
  <cols>
    <col min="1" max="1" width="11.6640625" bestFit="1" customWidth="1"/>
    <col min="2" max="2" width="11.33203125" style="3" customWidth="1"/>
    <col min="3" max="3" width="9.5" style="3" customWidth="1"/>
    <col min="4" max="4" width="17.1640625" style="3" customWidth="1"/>
    <col min="5" max="5" width="6.6640625" customWidth="1"/>
    <col min="6" max="6" width="11.6640625" bestFit="1" customWidth="1"/>
    <col min="7" max="7" width="11.6640625" customWidth="1"/>
    <col min="8" max="8" width="11.5" customWidth="1"/>
    <col min="9" max="9" width="20.5" customWidth="1"/>
    <col min="10" max="10" width="7.1640625" customWidth="1"/>
    <col min="11" max="11" width="11.6640625" bestFit="1" customWidth="1"/>
    <col min="12" max="12" width="10.1640625" customWidth="1"/>
    <col min="13" max="13" width="9.5" bestFit="1" customWidth="1"/>
    <col min="14" max="14" width="15" bestFit="1" customWidth="1"/>
    <col min="16" max="16" width="11.6640625" bestFit="1" customWidth="1"/>
    <col min="19" max="19" width="15" bestFit="1" customWidth="1"/>
    <col min="21" max="21" width="11.6640625" bestFit="1" customWidth="1"/>
    <col min="24" max="24" width="15" bestFit="1" customWidth="1"/>
    <col min="26" max="26" width="11.6640625" bestFit="1" customWidth="1"/>
    <col min="29" max="29" width="15" bestFit="1" customWidth="1"/>
  </cols>
  <sheetData>
    <row r="1" spans="1:29" s="128" customFormat="1" ht="45">
      <c r="A1" s="75" t="s">
        <v>2</v>
      </c>
      <c r="B1" s="55" t="str">
        <f>'2FOF净值画线'!B1</f>
        <v>英大长三角碳一号7期FOF</v>
      </c>
      <c r="C1" s="55" t="s">
        <v>37</v>
      </c>
      <c r="D1" s="55" t="s">
        <v>58</v>
      </c>
      <c r="F1" s="75" t="s">
        <v>2</v>
      </c>
      <c r="G1" s="55" t="str">
        <f>'2FOF净值画线'!I1</f>
        <v>英大长三角碳一号8期FOF</v>
      </c>
      <c r="H1" s="55" t="s">
        <v>37</v>
      </c>
      <c r="I1" s="55" t="s">
        <v>58</v>
      </c>
      <c r="K1" s="75" t="s">
        <v>2</v>
      </c>
      <c r="L1" s="55" t="str">
        <f>'2FOF净值画线'!P1</f>
        <v>英大长三角碳一号11期FOF</v>
      </c>
      <c r="M1" s="55" t="s">
        <v>37</v>
      </c>
      <c r="N1" s="55" t="s">
        <v>58</v>
      </c>
      <c r="P1" s="117" t="s">
        <v>2</v>
      </c>
      <c r="Q1" s="129" t="str">
        <f>'2FOF净值画线'!W1</f>
        <v>英大长三角碳一号9期FOF</v>
      </c>
      <c r="R1" s="129" t="s">
        <v>37</v>
      </c>
      <c r="S1" s="129" t="s">
        <v>58</v>
      </c>
      <c r="U1" s="117" t="s">
        <v>2</v>
      </c>
      <c r="V1" s="129" t="str">
        <f>'2FOF净值画线'!AD1</f>
        <v>英大长三角碳一号12期FOF</v>
      </c>
      <c r="W1" s="129" t="s">
        <v>37</v>
      </c>
      <c r="X1" s="129" t="s">
        <v>58</v>
      </c>
      <c r="Z1" s="125" t="s">
        <v>2</v>
      </c>
      <c r="AA1" s="130" t="str">
        <f>'2FOF净值画线'!AK1</f>
        <v>英大长三角碳一号13期FOF</v>
      </c>
      <c r="AB1" s="130" t="s">
        <v>37</v>
      </c>
      <c r="AC1" s="130" t="s">
        <v>58</v>
      </c>
    </row>
    <row r="2" spans="1:29">
      <c r="A2" s="50">
        <v>44323</v>
      </c>
      <c r="B2" s="181">
        <v>1</v>
      </c>
      <c r="C2" s="58"/>
      <c r="D2" s="59">
        <v>10000000</v>
      </c>
      <c r="F2" s="50">
        <v>44323</v>
      </c>
      <c r="G2" s="58">
        <f>B2</f>
        <v>1</v>
      </c>
      <c r="H2" s="58"/>
      <c r="I2" s="103">
        <f>D2</f>
        <v>10000000</v>
      </c>
      <c r="K2" s="50">
        <v>44323</v>
      </c>
      <c r="L2" s="58">
        <v>1</v>
      </c>
      <c r="M2" s="58"/>
      <c r="N2" s="103">
        <f>D2</f>
        <v>10000000</v>
      </c>
      <c r="P2" s="50">
        <v>44326</v>
      </c>
      <c r="Q2" s="58">
        <v>1</v>
      </c>
      <c r="R2" s="58"/>
      <c r="S2" s="59">
        <v>10000000</v>
      </c>
      <c r="U2" s="50">
        <v>44326</v>
      </c>
      <c r="V2" s="58">
        <f>Q2</f>
        <v>1</v>
      </c>
      <c r="W2" s="58"/>
      <c r="X2" s="59">
        <f>S2</f>
        <v>10000000</v>
      </c>
      <c r="Z2" s="50">
        <v>44328</v>
      </c>
      <c r="AA2" s="58">
        <v>1</v>
      </c>
      <c r="AB2" s="58"/>
      <c r="AC2" s="59">
        <v>10000000</v>
      </c>
    </row>
    <row r="3" spans="1:29">
      <c r="A3" s="50">
        <v>44326</v>
      </c>
      <c r="B3" s="181">
        <v>0.99990000000000001</v>
      </c>
      <c r="C3" s="58"/>
      <c r="D3" s="122">
        <v>9999486.2200000007</v>
      </c>
      <c r="F3" s="50">
        <v>44326</v>
      </c>
      <c r="G3" s="58">
        <f t="shared" ref="G3:G12" si="0">B3</f>
        <v>0.99990000000000001</v>
      </c>
      <c r="H3" s="58"/>
      <c r="I3" s="103">
        <f t="shared" ref="I3:I11" si="1">D3</f>
        <v>9999486.2200000007</v>
      </c>
      <c r="K3" s="50">
        <v>44326</v>
      </c>
      <c r="L3" s="58">
        <f>G3</f>
        <v>0.99990000000000001</v>
      </c>
      <c r="M3" s="58"/>
      <c r="N3" s="103">
        <f t="shared" ref="N3:N9" si="2">D3</f>
        <v>9999486.2200000007</v>
      </c>
      <c r="P3" s="50">
        <v>44327</v>
      </c>
      <c r="Q3" s="58">
        <v>1</v>
      </c>
      <c r="R3" s="58"/>
      <c r="S3" s="124">
        <v>9999875.3300000001</v>
      </c>
      <c r="U3" s="50">
        <v>44327</v>
      </c>
      <c r="V3" s="58">
        <f t="shared" ref="V3:V16" si="3">Q3</f>
        <v>1</v>
      </c>
      <c r="W3" s="58"/>
      <c r="X3" s="59">
        <f>S3</f>
        <v>9999875.3300000001</v>
      </c>
      <c r="Z3" s="50">
        <v>44329</v>
      </c>
      <c r="AA3" s="58">
        <v>1</v>
      </c>
      <c r="AB3" s="58"/>
      <c r="AC3" s="142">
        <v>9999835.3300000001</v>
      </c>
    </row>
    <row r="4" spans="1:29">
      <c r="A4" s="50">
        <v>44327</v>
      </c>
      <c r="B4" s="181">
        <v>0.99990000000000001</v>
      </c>
      <c r="C4" s="58"/>
      <c r="D4" s="123">
        <v>9999281.3000000007</v>
      </c>
      <c r="F4" s="50">
        <v>44327</v>
      </c>
      <c r="G4" s="58">
        <f t="shared" si="0"/>
        <v>0.99990000000000001</v>
      </c>
      <c r="H4" s="58"/>
      <c r="I4" s="103">
        <f t="shared" si="1"/>
        <v>9999281.3000000007</v>
      </c>
      <c r="K4" s="50">
        <v>44327</v>
      </c>
      <c r="L4" s="58">
        <f>B4</f>
        <v>0.99990000000000001</v>
      </c>
      <c r="M4" s="58"/>
      <c r="N4" s="103">
        <f t="shared" si="2"/>
        <v>9999281.3000000007</v>
      </c>
      <c r="P4" s="50">
        <v>44328</v>
      </c>
      <c r="Q4" s="58">
        <v>1</v>
      </c>
      <c r="R4" s="58"/>
      <c r="S4" s="138">
        <v>9999667.1600000001</v>
      </c>
      <c r="U4" s="50">
        <v>44328</v>
      </c>
      <c r="V4" s="58">
        <f t="shared" si="3"/>
        <v>1</v>
      </c>
      <c r="W4" s="58"/>
      <c r="X4" s="59">
        <f t="shared" ref="X4:X16" si="4">S4</f>
        <v>9999667.1600000001</v>
      </c>
      <c r="Z4" s="50">
        <v>44330</v>
      </c>
      <c r="AA4" s="58">
        <v>1.0001</v>
      </c>
      <c r="AB4" s="58">
        <f>AA4-AA2</f>
        <v>9.9999999999988987E-5</v>
      </c>
      <c r="AC4" s="143">
        <v>10000665.35</v>
      </c>
    </row>
    <row r="5" spans="1:29">
      <c r="A5" s="50">
        <v>44328</v>
      </c>
      <c r="B5" s="181">
        <v>0.99990000000000001</v>
      </c>
      <c r="C5" s="58"/>
      <c r="D5" s="134">
        <v>9999072.7699999996</v>
      </c>
      <c r="F5" s="50">
        <v>44328</v>
      </c>
      <c r="G5" s="58">
        <f t="shared" si="0"/>
        <v>0.99990000000000001</v>
      </c>
      <c r="H5" s="58"/>
      <c r="I5" s="103">
        <f t="shared" si="1"/>
        <v>9999072.7699999996</v>
      </c>
      <c r="K5" s="50">
        <v>44328</v>
      </c>
      <c r="L5" s="58">
        <f t="shared" ref="L5:L12" si="5">B5</f>
        <v>0.99990000000000001</v>
      </c>
      <c r="M5" s="58"/>
      <c r="N5" s="103">
        <f t="shared" si="2"/>
        <v>9999072.7699999996</v>
      </c>
      <c r="P5" s="50">
        <v>44329</v>
      </c>
      <c r="Q5" s="58">
        <v>1</v>
      </c>
      <c r="R5" s="58"/>
      <c r="S5" s="139">
        <v>9999717.4399999995</v>
      </c>
      <c r="U5" s="50">
        <v>44329</v>
      </c>
      <c r="V5" s="58">
        <f t="shared" si="3"/>
        <v>1</v>
      </c>
      <c r="W5" s="58"/>
      <c r="X5" s="59">
        <f t="shared" si="4"/>
        <v>9999717.4399999995</v>
      </c>
      <c r="Z5" s="50">
        <v>44333</v>
      </c>
      <c r="AA5" s="58">
        <v>1</v>
      </c>
      <c r="AB5" s="58"/>
      <c r="AC5" s="144">
        <v>10000327.99</v>
      </c>
    </row>
    <row r="6" spans="1:29">
      <c r="A6" s="50">
        <v>44329</v>
      </c>
      <c r="B6" s="181">
        <v>0.99990000000000001</v>
      </c>
      <c r="C6" s="58"/>
      <c r="D6" s="135">
        <v>9999122.7100000009</v>
      </c>
      <c r="F6" s="50">
        <v>44329</v>
      </c>
      <c r="G6" s="58">
        <f t="shared" si="0"/>
        <v>0.99990000000000001</v>
      </c>
      <c r="H6" s="58"/>
      <c r="I6" s="103">
        <f t="shared" si="1"/>
        <v>9999122.7100000009</v>
      </c>
      <c r="K6" s="50">
        <v>44329</v>
      </c>
      <c r="L6" s="58">
        <f t="shared" si="5"/>
        <v>0.99990000000000001</v>
      </c>
      <c r="M6" s="58"/>
      <c r="N6" s="103">
        <f t="shared" si="2"/>
        <v>9999122.7100000009</v>
      </c>
      <c r="P6" s="50">
        <v>44330</v>
      </c>
      <c r="Q6" s="104">
        <v>0.99990000000000001</v>
      </c>
      <c r="R6" s="58">
        <f>Q6-Q2</f>
        <v>-9.9999999999988987E-5</v>
      </c>
      <c r="S6" s="140">
        <v>9999346.9900000002</v>
      </c>
      <c r="U6" s="50">
        <v>44330</v>
      </c>
      <c r="V6" s="58">
        <f t="shared" si="3"/>
        <v>0.99990000000000001</v>
      </c>
      <c r="W6" s="58">
        <f>V6-V2</f>
        <v>-9.9999999999988987E-5</v>
      </c>
      <c r="X6" s="59">
        <f t="shared" si="4"/>
        <v>9999346.9900000002</v>
      </c>
      <c r="Z6" s="50">
        <v>44334</v>
      </c>
      <c r="AA6" s="58">
        <v>1.0002</v>
      </c>
      <c r="AB6" s="58"/>
      <c r="AC6" s="149">
        <v>10002121.18</v>
      </c>
    </row>
    <row r="7" spans="1:29">
      <c r="A7" s="50">
        <v>44330</v>
      </c>
      <c r="B7" s="181">
        <v>0.99990000000000001</v>
      </c>
      <c r="C7" s="58">
        <f>B7-B2</f>
        <v>-9.9999999999988987E-5</v>
      </c>
      <c r="D7" s="136">
        <v>9998751.9000000004</v>
      </c>
      <c r="F7" s="50">
        <v>44330</v>
      </c>
      <c r="G7" s="58">
        <f t="shared" si="0"/>
        <v>0.99990000000000001</v>
      </c>
      <c r="H7" s="58">
        <f>G7-G2</f>
        <v>-9.9999999999988987E-5</v>
      </c>
      <c r="I7" s="103">
        <f t="shared" si="1"/>
        <v>9998751.9000000004</v>
      </c>
      <c r="K7" s="50">
        <v>44330</v>
      </c>
      <c r="L7" s="58">
        <f t="shared" si="5"/>
        <v>0.99990000000000001</v>
      </c>
      <c r="M7" s="58">
        <f>L7-L2</f>
        <v>-9.9999999999988987E-5</v>
      </c>
      <c r="N7" s="103">
        <f t="shared" si="2"/>
        <v>9998751.9000000004</v>
      </c>
      <c r="P7" s="50">
        <v>44333</v>
      </c>
      <c r="Q7" s="104">
        <v>1</v>
      </c>
      <c r="R7" s="58"/>
      <c r="S7" s="141">
        <v>10000210.26</v>
      </c>
      <c r="U7" s="50">
        <v>44333</v>
      </c>
      <c r="V7" s="58">
        <f t="shared" si="3"/>
        <v>1</v>
      </c>
      <c r="W7" s="58"/>
      <c r="X7" s="59">
        <f t="shared" si="4"/>
        <v>10000210.26</v>
      </c>
      <c r="Z7" s="50">
        <v>44335</v>
      </c>
      <c r="AA7" s="58">
        <v>1.0002</v>
      </c>
      <c r="AB7" s="58"/>
      <c r="AC7" s="151">
        <v>10002345.789999999</v>
      </c>
    </row>
    <row r="8" spans="1:29">
      <c r="A8" s="50">
        <v>44333</v>
      </c>
      <c r="B8" s="182">
        <v>1</v>
      </c>
      <c r="C8" s="58"/>
      <c r="D8" s="137">
        <v>9999614.0600000005</v>
      </c>
      <c r="F8" s="50">
        <v>44333</v>
      </c>
      <c r="G8" s="58">
        <f t="shared" si="0"/>
        <v>1</v>
      </c>
      <c r="H8" s="58"/>
      <c r="I8" s="103">
        <f t="shared" si="1"/>
        <v>9999614.0600000005</v>
      </c>
      <c r="K8" s="50">
        <v>44333</v>
      </c>
      <c r="L8" s="58">
        <f t="shared" si="5"/>
        <v>1</v>
      </c>
      <c r="M8" s="58"/>
      <c r="N8" s="103">
        <f t="shared" si="2"/>
        <v>9999614.0600000005</v>
      </c>
      <c r="P8" s="50">
        <v>44334</v>
      </c>
      <c r="Q8" s="104">
        <v>1.0002</v>
      </c>
      <c r="R8" s="58"/>
      <c r="S8" s="148">
        <v>10002003.76</v>
      </c>
      <c r="U8" s="50">
        <v>44334</v>
      </c>
      <c r="V8" s="58">
        <f t="shared" si="3"/>
        <v>1.0002</v>
      </c>
      <c r="W8" s="58"/>
      <c r="X8" s="59">
        <f t="shared" si="4"/>
        <v>10002003.76</v>
      </c>
      <c r="Z8" s="50">
        <v>44336</v>
      </c>
      <c r="AA8" s="171">
        <v>1.0004</v>
      </c>
      <c r="AB8" s="171"/>
      <c r="AC8" s="172">
        <v>10004156.58</v>
      </c>
    </row>
    <row r="9" spans="1:29">
      <c r="A9" s="50">
        <v>44334</v>
      </c>
      <c r="B9" s="183">
        <v>1.0001</v>
      </c>
      <c r="C9" s="171"/>
      <c r="D9" s="172">
        <v>10001407.220000001</v>
      </c>
      <c r="F9" s="50">
        <v>44334</v>
      </c>
      <c r="G9" s="171">
        <f t="shared" si="0"/>
        <v>1.0001</v>
      </c>
      <c r="H9" s="171"/>
      <c r="I9" s="172">
        <f t="shared" si="1"/>
        <v>10001407.220000001</v>
      </c>
      <c r="K9" s="50">
        <v>44334</v>
      </c>
      <c r="L9" s="171">
        <f t="shared" si="5"/>
        <v>1.0001</v>
      </c>
      <c r="M9" s="171"/>
      <c r="N9" s="172">
        <f t="shared" si="2"/>
        <v>10001407.220000001</v>
      </c>
      <c r="P9" s="50">
        <v>44335</v>
      </c>
      <c r="Q9" s="58">
        <v>1.0002</v>
      </c>
      <c r="R9" s="58"/>
      <c r="S9" s="150">
        <v>10002228.210000001</v>
      </c>
      <c r="U9" s="50">
        <v>44335</v>
      </c>
      <c r="V9" s="58">
        <f t="shared" si="3"/>
        <v>1.0002</v>
      </c>
      <c r="W9" s="58"/>
      <c r="X9" s="59">
        <f t="shared" si="4"/>
        <v>10002228.210000001</v>
      </c>
      <c r="Z9" s="50">
        <v>44337</v>
      </c>
      <c r="AA9" s="104">
        <v>1.0004</v>
      </c>
      <c r="AB9" s="104">
        <f>AA9-AA4</f>
        <v>2.9999999999996696E-4</v>
      </c>
      <c r="AC9" s="173">
        <v>10003609.539999999</v>
      </c>
    </row>
    <row r="10" spans="1:29">
      <c r="A10" s="50">
        <v>44335</v>
      </c>
      <c r="B10" s="182">
        <v>1.0002</v>
      </c>
      <c r="C10" s="104"/>
      <c r="D10" s="173">
        <v>10001631.289999999</v>
      </c>
      <c r="F10" s="50">
        <v>44335</v>
      </c>
      <c r="G10" s="104">
        <f t="shared" si="0"/>
        <v>1.0002</v>
      </c>
      <c r="H10" s="104"/>
      <c r="I10" s="173">
        <f t="shared" si="1"/>
        <v>10001631.289999999</v>
      </c>
      <c r="K10" s="50">
        <v>44335</v>
      </c>
      <c r="L10" s="104">
        <f t="shared" si="5"/>
        <v>1.0002</v>
      </c>
      <c r="M10" s="104"/>
      <c r="N10" s="173">
        <f>I10</f>
        <v>10001631.289999999</v>
      </c>
      <c r="P10" s="50">
        <v>44336</v>
      </c>
      <c r="Q10" s="171">
        <v>1.0004</v>
      </c>
      <c r="R10" s="171"/>
      <c r="S10" s="172">
        <v>10004039.23</v>
      </c>
      <c r="U10" s="50">
        <v>44336</v>
      </c>
      <c r="V10" s="104">
        <f t="shared" si="3"/>
        <v>1.0004</v>
      </c>
      <c r="W10" s="104"/>
      <c r="X10" s="176">
        <f t="shared" si="4"/>
        <v>10004039.23</v>
      </c>
      <c r="Z10" s="50">
        <v>44340</v>
      </c>
      <c r="AA10" s="180" t="s">
        <v>125</v>
      </c>
      <c r="AB10" s="104"/>
      <c r="AC10" s="184">
        <v>10002706.699999999</v>
      </c>
    </row>
    <row r="11" spans="1:29">
      <c r="A11" s="50">
        <v>44336</v>
      </c>
      <c r="B11" s="182">
        <v>1.0003</v>
      </c>
      <c r="C11" s="104"/>
      <c r="D11" s="173">
        <v>10003441.970000001</v>
      </c>
      <c r="F11" s="50">
        <v>44336</v>
      </c>
      <c r="G11" s="174">
        <f t="shared" si="0"/>
        <v>1.0003</v>
      </c>
      <c r="H11" s="175"/>
      <c r="I11" s="173">
        <f t="shared" si="1"/>
        <v>10003441.970000001</v>
      </c>
      <c r="K11" s="50">
        <v>44336</v>
      </c>
      <c r="L11" s="174">
        <f t="shared" si="5"/>
        <v>1.0003</v>
      </c>
      <c r="M11" s="175"/>
      <c r="N11" s="173">
        <f>I11</f>
        <v>10003441.970000001</v>
      </c>
      <c r="P11" s="50">
        <v>44337</v>
      </c>
      <c r="Q11" s="174">
        <v>1.0003</v>
      </c>
      <c r="R11" s="104">
        <f>Q11-Q6</f>
        <v>3.9999999999995595E-4</v>
      </c>
      <c r="S11" s="173">
        <v>10003492.119999999</v>
      </c>
      <c r="U11" s="50">
        <v>44337</v>
      </c>
      <c r="V11" s="186">
        <f t="shared" si="3"/>
        <v>1.0003</v>
      </c>
      <c r="W11" s="104">
        <f>V11-V6</f>
        <v>3.9999999999995595E-4</v>
      </c>
      <c r="X11" s="176">
        <f t="shared" si="4"/>
        <v>10003492.119999999</v>
      </c>
      <c r="Z11" s="50">
        <v>44341</v>
      </c>
      <c r="AA11" s="180" t="s">
        <v>123</v>
      </c>
      <c r="AB11" s="175"/>
      <c r="AC11" s="184">
        <v>10005703.59</v>
      </c>
    </row>
    <row r="12" spans="1:29">
      <c r="A12" s="50">
        <v>44337</v>
      </c>
      <c r="B12" s="182">
        <v>1.0003</v>
      </c>
      <c r="C12" s="104">
        <f>B12-B7</f>
        <v>3.9999999999995595E-4</v>
      </c>
      <c r="D12" s="177">
        <v>10002894.51</v>
      </c>
      <c r="F12" s="50">
        <v>44337</v>
      </c>
      <c r="G12" s="174">
        <f t="shared" si="0"/>
        <v>1.0003</v>
      </c>
      <c r="H12" s="104">
        <f>G12-G7</f>
        <v>3.9999999999995595E-4</v>
      </c>
      <c r="I12" s="178">
        <v>10002898.619999999</v>
      </c>
      <c r="K12" s="50">
        <v>44337</v>
      </c>
      <c r="L12" s="175">
        <f t="shared" si="5"/>
        <v>1.0003</v>
      </c>
      <c r="M12" s="104">
        <f>L12-L7</f>
        <v>3.9999999999995595E-4</v>
      </c>
      <c r="N12" s="173">
        <f>I12</f>
        <v>10002898.619999999</v>
      </c>
      <c r="P12" s="50">
        <v>44340</v>
      </c>
      <c r="Q12" s="185" t="s">
        <v>121</v>
      </c>
      <c r="R12" s="175"/>
      <c r="S12" s="184">
        <v>10002289.279999999</v>
      </c>
      <c r="U12" s="50">
        <v>44340</v>
      </c>
      <c r="V12" s="186" t="str">
        <f t="shared" si="3"/>
        <v>1.0002</v>
      </c>
      <c r="W12" s="175"/>
      <c r="X12" s="176">
        <f t="shared" si="4"/>
        <v>10002289.279999999</v>
      </c>
      <c r="Z12" s="50">
        <v>44342</v>
      </c>
      <c r="AA12" s="180" t="s">
        <v>123</v>
      </c>
      <c r="AB12" s="175"/>
      <c r="AC12" s="184">
        <v>10005840.75</v>
      </c>
    </row>
    <row r="13" spans="1:29">
      <c r="A13" s="50">
        <v>44340</v>
      </c>
      <c r="B13" s="182" t="s">
        <v>121</v>
      </c>
      <c r="C13" s="104"/>
      <c r="D13" s="179">
        <v>10001608.84</v>
      </c>
      <c r="F13" s="50">
        <v>44340</v>
      </c>
      <c r="G13" s="175"/>
      <c r="H13" s="175"/>
      <c r="I13" s="175"/>
      <c r="K13" s="50">
        <v>44340</v>
      </c>
      <c r="L13" s="175"/>
      <c r="M13" s="175"/>
      <c r="N13" s="175"/>
      <c r="P13" s="50">
        <v>44341</v>
      </c>
      <c r="Q13" s="185">
        <v>1.0005999999999999</v>
      </c>
      <c r="R13" s="175"/>
      <c r="S13" s="184">
        <v>10005586.41</v>
      </c>
      <c r="U13" s="50">
        <v>44341</v>
      </c>
      <c r="V13" s="186">
        <f t="shared" si="3"/>
        <v>1.0005999999999999</v>
      </c>
      <c r="W13" s="175"/>
      <c r="X13" s="176">
        <f t="shared" si="4"/>
        <v>10005586.41</v>
      </c>
      <c r="Z13" s="50">
        <v>44343</v>
      </c>
      <c r="AA13" s="180" t="s">
        <v>122</v>
      </c>
      <c r="AB13" s="175"/>
      <c r="AC13" s="184">
        <v>10004537.66</v>
      </c>
    </row>
    <row r="14" spans="1:29">
      <c r="A14" s="50">
        <v>44341</v>
      </c>
      <c r="B14" s="182" t="s">
        <v>122</v>
      </c>
      <c r="C14" s="104"/>
      <c r="D14" s="179">
        <v>10004865.449999999</v>
      </c>
      <c r="F14" s="50">
        <v>44341</v>
      </c>
      <c r="G14" s="175"/>
      <c r="H14" s="175"/>
      <c r="I14" s="175"/>
      <c r="K14" s="50">
        <v>44341</v>
      </c>
      <c r="L14" s="175"/>
      <c r="M14" s="175"/>
      <c r="N14" s="175"/>
      <c r="P14" s="50">
        <v>44342</v>
      </c>
      <c r="Q14" s="185">
        <v>1.0005999999999999</v>
      </c>
      <c r="R14" s="175"/>
      <c r="S14" s="184">
        <v>10005723.560000001</v>
      </c>
      <c r="U14" s="50">
        <v>44342</v>
      </c>
      <c r="V14" s="186">
        <f t="shared" si="3"/>
        <v>1.0005999999999999</v>
      </c>
      <c r="W14" s="175"/>
      <c r="X14" s="176">
        <f t="shared" si="4"/>
        <v>10005723.560000001</v>
      </c>
      <c r="Z14" s="50">
        <v>44344</v>
      </c>
      <c r="AA14" s="175"/>
      <c r="AB14" s="175"/>
      <c r="AC14" s="175"/>
    </row>
    <row r="15" spans="1:29">
      <c r="A15" s="50">
        <v>44342</v>
      </c>
      <c r="B15" s="182" t="s">
        <v>123</v>
      </c>
      <c r="C15" s="104"/>
      <c r="D15" s="179">
        <v>10005586.960000001</v>
      </c>
      <c r="F15" s="50">
        <v>44342</v>
      </c>
      <c r="G15" s="175"/>
      <c r="H15" s="175"/>
      <c r="I15" s="175"/>
      <c r="K15" s="50">
        <v>44342</v>
      </c>
      <c r="L15" s="175"/>
      <c r="M15" s="175"/>
      <c r="N15" s="175"/>
      <c r="P15" s="50">
        <v>44343</v>
      </c>
      <c r="Q15" s="185" t="s">
        <v>124</v>
      </c>
      <c r="R15" s="175"/>
      <c r="S15" s="184">
        <v>10004120.1</v>
      </c>
      <c r="U15" s="50">
        <v>44343</v>
      </c>
      <c r="V15" s="186" t="str">
        <f t="shared" si="3"/>
        <v>1.0004</v>
      </c>
      <c r="W15" s="175"/>
      <c r="X15" s="176">
        <f t="shared" si="4"/>
        <v>10004120.1</v>
      </c>
    </row>
    <row r="16" spans="1:29">
      <c r="A16" s="50">
        <v>44343</v>
      </c>
      <c r="B16" s="182">
        <v>1.0004</v>
      </c>
      <c r="C16" s="104"/>
      <c r="D16" s="179">
        <v>10004441.15</v>
      </c>
      <c r="F16" s="50">
        <v>44343</v>
      </c>
      <c r="G16" s="175"/>
      <c r="H16" s="175"/>
      <c r="I16" s="175"/>
      <c r="K16" s="50">
        <v>44343</v>
      </c>
      <c r="L16" s="175"/>
      <c r="M16" s="175"/>
      <c r="N16" s="175"/>
      <c r="P16" s="50">
        <v>44344</v>
      </c>
      <c r="Q16" s="175">
        <v>1.0011000000000001</v>
      </c>
      <c r="R16" s="104">
        <f>Q16-Q11</f>
        <v>8.0000000000013394E-4</v>
      </c>
      <c r="S16" s="184">
        <v>10011013.560000001</v>
      </c>
      <c r="U16" s="50">
        <v>44344</v>
      </c>
      <c r="V16" s="186">
        <f t="shared" si="3"/>
        <v>1.0011000000000001</v>
      </c>
      <c r="W16" s="104">
        <f>R16</f>
        <v>8.0000000000013394E-4</v>
      </c>
      <c r="X16" s="176">
        <f t="shared" si="4"/>
        <v>10011013.560000001</v>
      </c>
    </row>
    <row r="17" spans="1:14">
      <c r="A17" s="50">
        <v>44344</v>
      </c>
      <c r="B17" s="180" t="s">
        <v>126</v>
      </c>
      <c r="C17" s="104">
        <f>B17-B12</f>
        <v>8.0000000000013394E-4</v>
      </c>
      <c r="D17" s="184">
        <v>10011207.66</v>
      </c>
      <c r="F17" s="50">
        <v>44344</v>
      </c>
      <c r="G17" s="186" t="s">
        <v>126</v>
      </c>
      <c r="H17" s="104">
        <f>G17-G12</f>
        <v>8.0000000000013394E-4</v>
      </c>
      <c r="I17" s="184">
        <v>10011214.470000001</v>
      </c>
      <c r="K17" s="50">
        <v>44344</v>
      </c>
      <c r="L17" s="186" t="s">
        <v>126</v>
      </c>
      <c r="M17" s="104">
        <f>H17</f>
        <v>8.0000000000013394E-4</v>
      </c>
      <c r="N17" s="173">
        <f>I17</f>
        <v>10011214.470000001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R19"/>
  <sheetViews>
    <sheetView workbookViewId="0">
      <pane xSplit="1" ySplit="3" topLeftCell="B4" activePane="bottomRight" state="frozen"/>
      <selection pane="topRight"/>
      <selection pane="bottomLeft"/>
      <selection pane="bottomRight" activeCell="I26" sqref="I26"/>
    </sheetView>
  </sheetViews>
  <sheetFormatPr baseColWidth="10" defaultColWidth="9" defaultRowHeight="14"/>
  <cols>
    <col min="1" max="1" width="11.6640625" customWidth="1"/>
    <col min="2" max="6" width="10.33203125" customWidth="1"/>
    <col min="7" max="8" width="11" customWidth="1"/>
    <col min="9" max="9" width="14.33203125" style="3" customWidth="1"/>
    <col min="11" max="11" width="11.6640625" bestFit="1" customWidth="1"/>
    <col min="12" max="12" width="11" bestFit="1" customWidth="1"/>
    <col min="13" max="13" width="9.5" bestFit="1" customWidth="1"/>
  </cols>
  <sheetData>
    <row r="1" spans="1:18" ht="21" customHeight="1">
      <c r="A1" s="200" t="s">
        <v>105</v>
      </c>
      <c r="B1" s="200"/>
      <c r="C1" s="200"/>
      <c r="D1" s="200"/>
      <c r="E1" s="200"/>
      <c r="F1" s="200"/>
      <c r="G1" s="200"/>
      <c r="H1" s="200"/>
      <c r="I1" s="200"/>
      <c r="K1" s="200" t="s">
        <v>107</v>
      </c>
      <c r="L1" s="200"/>
      <c r="M1" s="200"/>
      <c r="N1" s="200"/>
      <c r="O1" s="200"/>
      <c r="P1" s="200"/>
      <c r="Q1" s="200"/>
      <c r="R1" s="200"/>
    </row>
    <row r="2" spans="1:18" ht="21" customHeight="1">
      <c r="A2" s="145" t="s">
        <v>104</v>
      </c>
      <c r="B2" s="146">
        <v>0.1</v>
      </c>
      <c r="C2" s="146">
        <v>0.2</v>
      </c>
      <c r="D2" s="146">
        <v>0.3</v>
      </c>
      <c r="E2" s="146">
        <v>0.1</v>
      </c>
      <c r="F2" s="147">
        <v>0.1</v>
      </c>
      <c r="G2" s="146">
        <v>0.1</v>
      </c>
      <c r="H2" s="146">
        <v>0.1</v>
      </c>
      <c r="I2" s="56"/>
      <c r="K2" s="145" t="s">
        <v>104</v>
      </c>
      <c r="L2" s="146">
        <v>0.15</v>
      </c>
      <c r="M2" s="146">
        <v>0.2</v>
      </c>
      <c r="N2" s="146">
        <v>0.3</v>
      </c>
      <c r="O2" s="146">
        <v>0.15</v>
      </c>
      <c r="P2" s="146">
        <v>0.1</v>
      </c>
      <c r="Q2" s="146">
        <v>0.1</v>
      </c>
      <c r="R2" s="56"/>
    </row>
    <row r="3" spans="1:18" ht="27" customHeight="1">
      <c r="A3" s="54" t="s">
        <v>2</v>
      </c>
      <c r="B3" s="55" t="s">
        <v>71</v>
      </c>
      <c r="C3" s="55" t="s">
        <v>70</v>
      </c>
      <c r="D3" s="55" t="s">
        <v>99</v>
      </c>
      <c r="E3" s="55" t="s">
        <v>101</v>
      </c>
      <c r="F3" s="131" t="s">
        <v>106</v>
      </c>
      <c r="G3" s="131" t="s">
        <v>102</v>
      </c>
      <c r="H3" s="131" t="s">
        <v>103</v>
      </c>
      <c r="I3" s="56" t="s">
        <v>78</v>
      </c>
      <c r="K3" s="54" t="s">
        <v>2</v>
      </c>
      <c r="L3" s="55" t="s">
        <v>68</v>
      </c>
      <c r="M3" s="55" t="s">
        <v>70</v>
      </c>
      <c r="N3" s="55" t="s">
        <v>99</v>
      </c>
      <c r="O3" s="55" t="s">
        <v>101</v>
      </c>
      <c r="P3" s="131" t="s">
        <v>102</v>
      </c>
      <c r="Q3" s="131" t="s">
        <v>103</v>
      </c>
      <c r="R3" s="56" t="s">
        <v>78</v>
      </c>
    </row>
    <row r="4" spans="1:18">
      <c r="A4" s="50">
        <v>44327</v>
      </c>
      <c r="C4" s="91"/>
      <c r="D4" s="91" t="s">
        <v>100</v>
      </c>
      <c r="E4" s="6"/>
      <c r="F4" s="132"/>
      <c r="G4" s="132"/>
      <c r="H4" s="132"/>
      <c r="I4" s="57">
        <f>VLOOKUP(A4,碳一号第二批期净值!A:B,2)</f>
        <v>0.99990000000000001</v>
      </c>
      <c r="K4" s="50">
        <v>44327</v>
      </c>
      <c r="M4" s="91"/>
      <c r="N4" s="91" t="s">
        <v>100</v>
      </c>
      <c r="O4" s="6"/>
      <c r="P4" s="132"/>
      <c r="Q4" s="132"/>
      <c r="R4" s="57">
        <f>VLOOKUP(K4,碳一号第二批期净值!P:Q,2)</f>
        <v>1</v>
      </c>
    </row>
    <row r="5" spans="1:18">
      <c r="A5" s="50">
        <v>44328</v>
      </c>
      <c r="B5" s="91"/>
      <c r="C5" s="6"/>
      <c r="D5" s="6">
        <f>VLOOKUP(A5,[1]琅玡三号!$A:$G,7,FALSE)</f>
        <v>7.0028011204548155E-5</v>
      </c>
      <c r="E5" s="6"/>
      <c r="F5" s="132"/>
      <c r="G5" s="132"/>
      <c r="H5" s="132"/>
      <c r="I5" s="57">
        <f>VLOOKUP(A5,碳一号第二批期净值!A:B,2)</f>
        <v>0.99990000000000001</v>
      </c>
      <c r="K5" s="50">
        <v>44328</v>
      </c>
      <c r="L5" s="91"/>
      <c r="M5" s="6"/>
      <c r="N5" s="6">
        <f>VLOOKUP(K5,[1]琅玡三号!$A:$G,7,FALSE)</f>
        <v>7.0028011204548155E-5</v>
      </c>
      <c r="O5" s="6"/>
      <c r="P5" s="132"/>
      <c r="Q5" s="132"/>
      <c r="R5" s="57">
        <f>VLOOKUP(K5,碳一号第二批期净值!P:Q,2)</f>
        <v>1</v>
      </c>
    </row>
    <row r="6" spans="1:18">
      <c r="A6" s="50">
        <v>44329</v>
      </c>
      <c r="B6" s="91"/>
      <c r="C6" s="91" t="s">
        <v>75</v>
      </c>
      <c r="D6" s="6">
        <f>VLOOKUP(A6,[1]琅玡三号!$A:$G,7,FALSE)</f>
        <v>7.0028011204548155E-5</v>
      </c>
      <c r="E6" s="6"/>
      <c r="F6" s="132"/>
      <c r="G6" s="132"/>
      <c r="H6" s="132"/>
      <c r="I6" s="57">
        <f>VLOOKUP(A6,碳一号第二批期净值!A:B,2)</f>
        <v>0.99990000000000001</v>
      </c>
      <c r="K6" s="50">
        <v>44329</v>
      </c>
      <c r="L6" s="91"/>
      <c r="M6" s="91" t="s">
        <v>75</v>
      </c>
      <c r="N6" s="6">
        <f>VLOOKUP(K6,[1]琅玡三号!$A:$G,7,FALSE)</f>
        <v>7.0028011204548155E-5</v>
      </c>
      <c r="O6" s="6"/>
      <c r="P6" s="132"/>
      <c r="Q6" s="132"/>
      <c r="R6" s="57">
        <f>VLOOKUP(K6,碳一号第二批期净值!P:Q,2)</f>
        <v>1</v>
      </c>
    </row>
    <row r="7" spans="1:18">
      <c r="A7" s="50">
        <v>44330</v>
      </c>
      <c r="B7" s="91" t="s">
        <v>75</v>
      </c>
      <c r="C7" s="6">
        <f>VLOOKUP(A7,[1]垒盈二号!$A:$H,8,FALSE)</f>
        <v>7.8081427774679367E-4</v>
      </c>
      <c r="D7" s="6">
        <f>VLOOKUP(A7,[1]琅玡三号!$A:$G,7,FALSE)</f>
        <v>-3.0012004801927006E-4</v>
      </c>
      <c r="E7" s="91" t="s">
        <v>75</v>
      </c>
      <c r="F7" s="133"/>
      <c r="G7" s="133"/>
      <c r="H7" s="133"/>
      <c r="I7" s="57">
        <f>VLOOKUP(A7,碳一号第二批期净值!A:B,2)</f>
        <v>0.99990000000000001</v>
      </c>
      <c r="K7" s="50">
        <v>44330</v>
      </c>
      <c r="L7" s="91" t="s">
        <v>75</v>
      </c>
      <c r="M7" s="6">
        <f>VLOOKUP(K7,[1]垒盈二号!$A:$H,8,FALSE)</f>
        <v>7.8081427774679367E-4</v>
      </c>
      <c r="N7" s="6">
        <f>VLOOKUP(K7,[1]琅玡三号!$A:$G,7,FALSE)</f>
        <v>-3.0012004801927006E-4</v>
      </c>
      <c r="O7" s="91" t="s">
        <v>75</v>
      </c>
      <c r="P7" s="133"/>
      <c r="Q7" s="133"/>
      <c r="R7" s="57">
        <f>VLOOKUP(K7,碳一号第二批期净值!P:Q,2)</f>
        <v>0.99990000000000001</v>
      </c>
    </row>
    <row r="8" spans="1:18">
      <c r="A8" s="50">
        <v>44333</v>
      </c>
      <c r="B8" s="91">
        <f>VLOOKUP(A8,[1]爱凡哲六号!$A:$H,8,FALSE)</f>
        <v>6.4279155188239024E-4</v>
      </c>
      <c r="C8" s="6">
        <f>VLOOKUP(A8,[1]垒盈二号!$A:$H,8,FALSE)</f>
        <v>1.1712214166202338E-3</v>
      </c>
      <c r="D8" s="6">
        <f>VLOOKUP(A8,[1]琅玡三号!$A:$G,7,FALSE)</f>
        <v>-1.0004001600638635E-4</v>
      </c>
      <c r="E8" s="6">
        <f>VLOOKUP(A8,[1]黑玺湖畔1号!$A:$G,7,FALSE)</f>
        <v>0</v>
      </c>
      <c r="F8" s="132"/>
      <c r="G8" s="132"/>
      <c r="H8" s="132"/>
      <c r="I8" s="57">
        <f>VLOOKUP(A8,碳一号第二批期净值!A:B,2)</f>
        <v>1</v>
      </c>
      <c r="K8" s="50">
        <v>44333</v>
      </c>
      <c r="L8" s="91">
        <f>VLOOKUP(K8,[1]爱凡哲六号!$A:$H,8,FALSE)</f>
        <v>6.4279155188239024E-4</v>
      </c>
      <c r="M8" s="6">
        <f>VLOOKUP(K8,[1]垒盈二号!$A:$H,8,FALSE)</f>
        <v>1.1712214166202338E-3</v>
      </c>
      <c r="N8" s="6">
        <f>VLOOKUP(K8,[1]琅玡三号!$A:$G,7,FALSE)</f>
        <v>-1.0004001600638635E-4</v>
      </c>
      <c r="O8" s="6">
        <f>VLOOKUP(K8,[1]黑玺湖畔1号!$A:$G,7,FALSE)</f>
        <v>0</v>
      </c>
      <c r="P8" s="132"/>
      <c r="Q8" s="132"/>
      <c r="R8" s="57">
        <f>VLOOKUP(K8,碳一号第二批期净值!P:Q,2)</f>
        <v>1</v>
      </c>
    </row>
    <row r="9" spans="1:18">
      <c r="A9" s="50">
        <v>44334</v>
      </c>
      <c r="B9" s="91">
        <f>VLOOKUP(A9,[1]爱凡哲六号!$A:$H,8,FALSE)</f>
        <v>-9.1827364554647559E-4</v>
      </c>
      <c r="C9" s="6">
        <f>VLOOKUP(A9,[1]垒盈二号!$A:$H,8,FALSE)</f>
        <v>1.1712214166202338E-3</v>
      </c>
      <c r="D9" s="6">
        <f>VLOOKUP(A9,[1]琅玡三号!$A:$G,7,FALSE)</f>
        <v>9.1036414565819339E-4</v>
      </c>
      <c r="E9" s="6">
        <f>VLOOKUP(A9,[1]黑玺湖畔1号!$A:$G,7,FALSE)</f>
        <v>0</v>
      </c>
      <c r="F9" s="132"/>
      <c r="G9" s="132"/>
      <c r="H9" s="132"/>
      <c r="I9" s="57">
        <f>VLOOKUP(A9,碳一号第二批期净值!A:B,2)</f>
        <v>1.0001</v>
      </c>
      <c r="K9" s="50">
        <v>44334</v>
      </c>
      <c r="L9" s="91">
        <f>VLOOKUP(K9,[1]爱凡哲六号!$A:$H,8,FALSE)</f>
        <v>-9.1827364554647559E-4</v>
      </c>
      <c r="M9" s="6">
        <f>VLOOKUP(K9,[1]垒盈二号!$A:$H,8,FALSE)</f>
        <v>1.1712214166202338E-3</v>
      </c>
      <c r="N9" s="6">
        <f>VLOOKUP(K9,[1]琅玡三号!$A:$G,7,FALSE)</f>
        <v>9.1036414565819339E-4</v>
      </c>
      <c r="O9" s="6">
        <f>VLOOKUP(K9,[1]黑玺湖畔1号!$A:$G,7,FALSE)</f>
        <v>0</v>
      </c>
      <c r="P9" s="132"/>
      <c r="Q9" s="132"/>
      <c r="R9" s="57">
        <f>VLOOKUP(K9,碳一号第二批期净值!P:Q,2)</f>
        <v>1.0002</v>
      </c>
    </row>
    <row r="10" spans="1:18">
      <c r="A10" s="50">
        <v>44335</v>
      </c>
      <c r="B10" s="91">
        <f>VLOOKUP(A10,[1]爱凡哲六号!$A:$H,8,FALSE)</f>
        <v>6.4279155188239024E-4</v>
      </c>
      <c r="C10" s="6">
        <f>VLOOKUP(A10,[1]垒盈二号!$A:$H,8,FALSE)</f>
        <v>1.1712214166202338E-3</v>
      </c>
      <c r="D10" s="6">
        <f>VLOOKUP(A10,[1]琅玡三号!$A:$G,7,FALSE)</f>
        <v>2.8011204481788172E-4</v>
      </c>
      <c r="E10" s="6">
        <f>VLOOKUP(A10,[1]黑玺湖畔1号!$A:$G,7,FALSE)</f>
        <v>7.468259895444529E-4</v>
      </c>
      <c r="F10" s="132"/>
      <c r="G10" s="132"/>
      <c r="H10" s="132"/>
      <c r="I10" s="57">
        <f>VLOOKUP(A10,碳一号第二批期净值!A:B,2)</f>
        <v>1.0002</v>
      </c>
      <c r="K10" s="50">
        <v>44335</v>
      </c>
      <c r="L10" s="91">
        <f>VLOOKUP(K10,[1]爱凡哲六号!$A:$H,8,FALSE)</f>
        <v>6.4279155188239024E-4</v>
      </c>
      <c r="M10" s="6">
        <f>VLOOKUP(K10,[1]垒盈二号!$A:$H,8,FALSE)</f>
        <v>1.1712214166202338E-3</v>
      </c>
      <c r="N10" s="6">
        <f>VLOOKUP(K10,[1]琅玡三号!$A:$G,7,FALSE)</f>
        <v>2.8011204481788172E-4</v>
      </c>
      <c r="O10" s="6">
        <f>VLOOKUP(K10,[1]黑玺湖畔1号!$A:$G,7,FALSE)</f>
        <v>7.468259895444529E-4</v>
      </c>
      <c r="P10" s="132"/>
      <c r="Q10" s="132"/>
      <c r="R10" s="57">
        <f>VLOOKUP(K10,碳一号第二批期净值!P:Q,2)</f>
        <v>1.0002</v>
      </c>
    </row>
    <row r="11" spans="1:18">
      <c r="A11" s="50">
        <v>44336</v>
      </c>
      <c r="B11" s="91">
        <f>VLOOKUP(A11,[1]爱凡哲六号!$A:$H,8,FALSE)</f>
        <v>6.4279155188239024E-4</v>
      </c>
      <c r="C11" s="6">
        <f>VLOOKUP(A11,[1]垒盈二号!$A:$H,8,FALSE)</f>
        <v>1.1712214166202338E-3</v>
      </c>
      <c r="D11" s="6">
        <f>VLOOKUP(A11,[1]琅玡三号!$A:$G,7,FALSE)</f>
        <v>9.8039215686258614E-4</v>
      </c>
      <c r="E11" s="6">
        <f>VLOOKUP(A11,[1]黑玺湖畔1号!$A:$G,7,FALSE)</f>
        <v>7.468259895444529E-4</v>
      </c>
      <c r="F11" s="132"/>
      <c r="G11" s="132"/>
      <c r="H11" s="132"/>
      <c r="I11" s="57">
        <f>VLOOKUP(A11,碳一号第二批期净值!A:B,2)</f>
        <v>1.0003</v>
      </c>
      <c r="K11" s="50">
        <v>44336</v>
      </c>
      <c r="L11" s="91">
        <f>VLOOKUP(K11,[1]爱凡哲六号!$A:$H,8,FALSE)</f>
        <v>6.4279155188239024E-4</v>
      </c>
      <c r="M11" s="6">
        <f>VLOOKUP(K11,[1]垒盈二号!$A:$H,8,FALSE)</f>
        <v>1.1712214166202338E-3</v>
      </c>
      <c r="N11" s="6">
        <f>VLOOKUP(K11,[1]琅玡三号!$A:$G,7,FALSE)</f>
        <v>9.8039215686258614E-4</v>
      </c>
      <c r="O11" s="6">
        <f>VLOOKUP(K11,[1]黑玺湖畔1号!$A:$G,7,FALSE)</f>
        <v>7.468259895444529E-4</v>
      </c>
      <c r="P11" s="132"/>
      <c r="Q11" s="132"/>
      <c r="R11" s="57">
        <f>VLOOKUP(K11,碳一号第二批期净值!P:Q,2)</f>
        <v>1.0004</v>
      </c>
    </row>
    <row r="12" spans="1:18">
      <c r="A12" s="50">
        <v>44337</v>
      </c>
      <c r="B12" s="91">
        <f>VLOOKUP(A12,[1]爱凡哲六号!$A:$H,8,FALSE)</f>
        <v>1.285583103764923E-3</v>
      </c>
      <c r="C12" s="6">
        <f>VLOOKUP(A12,[1]垒盈二号!$A:$H,8,FALSE)</f>
        <v>1.1712214166202338E-3</v>
      </c>
      <c r="D12" s="6">
        <f>VLOOKUP(A12,[1]琅玡三号!$A:$G,7,FALSE)</f>
        <v>7.0028011204470442E-4</v>
      </c>
      <c r="E12" s="6">
        <f>VLOOKUP(A12,[1]黑玺湖畔1号!$A:$G,7,FALSE)</f>
        <v>7.468259895444529E-4</v>
      </c>
      <c r="F12" s="132"/>
      <c r="G12" s="133"/>
      <c r="H12" s="133"/>
      <c r="I12" s="57">
        <f>VLOOKUP(A12,碳一号第二批期净值!A:B,2)</f>
        <v>1.0003</v>
      </c>
      <c r="K12" s="50">
        <v>44337</v>
      </c>
      <c r="L12" s="91">
        <f>VLOOKUP(K12,[1]爱凡哲六号!$A:$H,8,FALSE)</f>
        <v>1.285583103764923E-3</v>
      </c>
      <c r="M12" s="6">
        <f>VLOOKUP(K12,[1]垒盈二号!$A:$H,8,FALSE)</f>
        <v>1.1712214166202338E-3</v>
      </c>
      <c r="N12" s="6">
        <f>VLOOKUP(K12,[1]琅玡三号!$A:$G,7,FALSE)</f>
        <v>7.0028011204470442E-4</v>
      </c>
      <c r="O12" s="6">
        <f>VLOOKUP(K12,[1]黑玺湖畔1号!$A:$G,7,FALSE)</f>
        <v>7.468259895444529E-4</v>
      </c>
      <c r="P12" s="133"/>
      <c r="Q12" s="133"/>
      <c r="R12" s="57">
        <f>VLOOKUP(K12,碳一号第二批期净值!P:Q,2)</f>
        <v>1.0003</v>
      </c>
    </row>
    <row r="13" spans="1:18">
      <c r="A13" s="50">
        <v>44340</v>
      </c>
      <c r="B13" s="91">
        <f>VLOOKUP(A13,[1]爱凡哲六号!$A:$H,8,FALSE)</f>
        <v>6.4279155188239024E-4</v>
      </c>
      <c r="C13" s="6">
        <f>VLOOKUP(A13,[1]垒盈二号!$A:$H,8,FALSE)</f>
        <v>1.1712214166202338E-3</v>
      </c>
      <c r="D13" s="6">
        <f>VLOOKUP(A13,[1]琅玡三号!$A:$G,7,FALSE)</f>
        <v>8.4033613445364528E-4</v>
      </c>
      <c r="E13" s="6">
        <f>VLOOKUP(A13,[1]黑玺湖畔1号!$A:$G,7,FALSE)</f>
        <v>7.468259895444529E-4</v>
      </c>
      <c r="F13" s="132" t="s">
        <v>108</v>
      </c>
      <c r="G13" s="133"/>
      <c r="H13" s="133"/>
      <c r="I13" s="57" t="str">
        <f>VLOOKUP(A13,碳一号第二批期净值!A:B,2)</f>
        <v>1.0002</v>
      </c>
      <c r="K13" s="50">
        <v>44340</v>
      </c>
      <c r="L13" s="91">
        <f>VLOOKUP(K13,[1]爱凡哲六号!$A:$H,8,FALSE)</f>
        <v>6.4279155188239024E-4</v>
      </c>
      <c r="M13" s="6">
        <f>VLOOKUP(K13,[1]垒盈二号!$A:$H,8,FALSE)</f>
        <v>1.1712214166202338E-3</v>
      </c>
      <c r="N13" s="6">
        <f>VLOOKUP(K13,[1]琅玡三号!$A:$G,7,FALSE)</f>
        <v>8.4033613445364528E-4</v>
      </c>
      <c r="O13" s="6">
        <f>VLOOKUP(K13,[1]黑玺湖畔1号!$A:$G,7,FALSE)</f>
        <v>7.468259895444529E-4</v>
      </c>
      <c r="P13" s="133"/>
      <c r="Q13" s="133"/>
      <c r="R13" s="57" t="str">
        <f>VLOOKUP(K13,碳一号第二批期净值!P:Q,2)</f>
        <v>1.0002</v>
      </c>
    </row>
    <row r="14" spans="1:18">
      <c r="A14" s="50">
        <v>44341</v>
      </c>
      <c r="B14" s="91"/>
      <c r="C14" s="6"/>
      <c r="D14" s="6"/>
      <c r="E14" s="6"/>
      <c r="F14" s="132"/>
      <c r="G14" s="133"/>
      <c r="H14" s="133"/>
      <c r="I14" s="57"/>
      <c r="K14" s="50">
        <v>44341</v>
      </c>
      <c r="L14" s="91" t="e">
        <f>VLOOKUP(K14,[1]爱凡哲六号!$A:$H,8,FALSE)</f>
        <v>#N/A</v>
      </c>
      <c r="M14" s="6" t="e">
        <f>VLOOKUP(K14,[1]垒盈二号!$A:$H,8,FALSE)</f>
        <v>#N/A</v>
      </c>
      <c r="N14" s="6">
        <f>VLOOKUP(K14,[1]琅玡三号!$A:$G,7,FALSE)</f>
        <v>-1</v>
      </c>
      <c r="O14" s="6">
        <f>VLOOKUP(K14,[1]黑玺湖畔1号!$A:$G,7,FALSE)</f>
        <v>1.1202389843166793E-3</v>
      </c>
      <c r="P14" s="133"/>
      <c r="Q14" s="133"/>
      <c r="R14" s="57">
        <f>VLOOKUP(K14,碳一号第二批期净值!P:Q,2)</f>
        <v>1.0005999999999999</v>
      </c>
    </row>
    <row r="15" spans="1:18">
      <c r="A15" s="50">
        <v>44342</v>
      </c>
      <c r="B15" s="91"/>
      <c r="C15" s="6"/>
      <c r="D15" s="6"/>
      <c r="E15" s="6"/>
      <c r="F15" s="132"/>
      <c r="G15" s="133"/>
      <c r="H15" s="133"/>
      <c r="I15" s="57"/>
      <c r="K15" s="50">
        <v>44342</v>
      </c>
      <c r="R15" s="3"/>
    </row>
    <row r="16" spans="1:18">
      <c r="A16" s="50">
        <v>44343</v>
      </c>
      <c r="B16" s="91"/>
      <c r="C16" s="6"/>
      <c r="D16" s="6"/>
      <c r="E16" s="6"/>
      <c r="F16" s="132"/>
      <c r="G16" s="133"/>
      <c r="H16" s="133"/>
      <c r="I16" s="57"/>
      <c r="K16" s="50">
        <v>44343</v>
      </c>
      <c r="R16" s="3"/>
    </row>
    <row r="17" spans="1:18">
      <c r="A17" s="50">
        <v>44344</v>
      </c>
      <c r="B17" s="91"/>
      <c r="C17" s="6"/>
      <c r="D17" s="6"/>
      <c r="E17" s="6"/>
      <c r="F17" s="132"/>
      <c r="G17" s="133"/>
      <c r="H17" s="133"/>
      <c r="I17" s="57"/>
      <c r="K17" s="50">
        <v>44344</v>
      </c>
      <c r="R17" s="3"/>
    </row>
    <row r="18" spans="1:18">
      <c r="A18" s="50">
        <v>44345</v>
      </c>
      <c r="B18" s="91"/>
      <c r="C18" s="6"/>
      <c r="D18" s="6"/>
      <c r="E18" s="6"/>
      <c r="F18" s="132"/>
      <c r="G18" s="133"/>
      <c r="H18" s="133"/>
      <c r="I18" s="57"/>
      <c r="K18" s="50">
        <v>44345</v>
      </c>
      <c r="R18" s="3"/>
    </row>
    <row r="19" spans="1:18">
      <c r="A19" s="50">
        <v>44346</v>
      </c>
      <c r="B19" s="91"/>
      <c r="C19" s="6"/>
      <c r="D19" s="6"/>
      <c r="E19" s="6"/>
      <c r="F19" s="132"/>
      <c r="G19" s="133"/>
      <c r="H19" s="133"/>
      <c r="I19" s="57"/>
      <c r="K19" s="50">
        <v>44346</v>
      </c>
      <c r="R19" s="3"/>
    </row>
  </sheetData>
  <mergeCells count="2">
    <mergeCell ref="A1:I1"/>
    <mergeCell ref="K1:R1"/>
  </mergeCells>
  <phoneticPr fontId="19" type="noConversion"/>
  <conditionalFormatting sqref="C4:H4 B5:H12 B13:E13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:Q4 L5:Q14"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H19 F13:H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I24" sqref="I24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1.33203125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5">
      <c r="A1" s="8" t="s">
        <v>17</v>
      </c>
      <c r="B1" s="9">
        <f>COUNT(表1_4[每周盈亏])-1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COUNTIF(表1_4[每周盈亏],"&gt;0")</f>
        <v>1</v>
      </c>
      <c r="C2" s="15"/>
      <c r="D2" s="16" t="s">
        <v>21</v>
      </c>
      <c r="E2" s="17">
        <f>(50^0.5)*(B9-0.025/52)/E9</f>
        <v>-10.176485749743728</v>
      </c>
      <c r="G2" s="18">
        <f>LOOKUP(999^10,表1_4[累计净值])</f>
        <v>1.0003</v>
      </c>
    </row>
    <row r="3" spans="1:7">
      <c r="A3" s="13" t="s">
        <v>42</v>
      </c>
      <c r="B3" s="14">
        <f>COUNTIF(表1_4[每周盈亏],"&lt;0")</f>
        <v>1</v>
      </c>
      <c r="C3" s="15"/>
      <c r="D3" s="19" t="s">
        <v>22</v>
      </c>
      <c r="E3" s="17">
        <f ca="1">-B8/E7</f>
        <v>75</v>
      </c>
    </row>
    <row r="4" spans="1:7" ht="15">
      <c r="A4" s="13" t="s">
        <v>43</v>
      </c>
      <c r="B4" s="14">
        <f>B1-B2-B3</f>
        <v>0</v>
      </c>
      <c r="C4" s="15"/>
      <c r="D4" s="7" t="s">
        <v>44</v>
      </c>
      <c r="E4" s="20" t="e">
        <f>50^0.5*(B9-0.025/52)/E8</f>
        <v>#DIV/0!</v>
      </c>
    </row>
    <row r="5" spans="1:7">
      <c r="A5" s="21"/>
      <c r="B5" s="22"/>
      <c r="C5" s="22"/>
      <c r="D5" s="22"/>
      <c r="E5" s="23"/>
    </row>
    <row r="6" spans="1:7" ht="15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LOOKUP(999^10,表1_4[累计净值])-1</f>
        <v>2.9999999999996696E-4</v>
      </c>
      <c r="C7" s="29"/>
      <c r="D7" s="16" t="s">
        <v>16</v>
      </c>
      <c r="E7" s="30">
        <f ca="1">MIN(表1_4[最大回撤])</f>
        <v>-9.9999999999988987E-5</v>
      </c>
    </row>
    <row r="8" spans="1:7">
      <c r="A8" s="13" t="s">
        <v>15</v>
      </c>
      <c r="B8" s="19">
        <f>B7*50/B1</f>
        <v>7.499999999999174E-3</v>
      </c>
      <c r="C8" s="29"/>
      <c r="D8" s="7" t="s">
        <v>47</v>
      </c>
      <c r="E8" s="31" t="e">
        <f>STDEV(表1_4[下跌幅度])</f>
        <v>#DIV/0!</v>
      </c>
    </row>
    <row r="9" spans="1:7">
      <c r="A9" s="32" t="s">
        <v>48</v>
      </c>
      <c r="B9" s="33">
        <f>AVERAGE(表1_4[每周盈亏])</f>
        <v>9.9999999999988987E-5</v>
      </c>
      <c r="C9" s="34"/>
      <c r="D9" s="7" t="s">
        <v>49</v>
      </c>
      <c r="E9" s="31">
        <f>STDEV(表1_4[每周盈亏])</f>
        <v>2.6457513110642993E-4</v>
      </c>
    </row>
    <row r="10" spans="1:7" ht="15">
      <c r="A10" s="35" t="s">
        <v>50</v>
      </c>
      <c r="B10" s="19">
        <f>B2/B1</f>
        <v>0.5</v>
      </c>
      <c r="C10" s="29"/>
      <c r="D10" s="19" t="s">
        <v>20</v>
      </c>
      <c r="E10" s="30">
        <f>50^0.5*E9</f>
        <v>1.8708286933867648E-3</v>
      </c>
    </row>
    <row r="11" spans="1:7">
      <c r="A11" s="36" t="s">
        <v>51</v>
      </c>
      <c r="B11" s="37">
        <f>-(SUMIF(表1_4[每周盈亏],"&gt;=0")/B2)/(SUMIF(表1_4[每周盈亏],"&lt;0")/B3)</f>
        <v>4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2.9999999999996696E-4</v>
      </c>
      <c r="C14" s="46">
        <f>B8</f>
        <v>7.499999999999174E-3</v>
      </c>
      <c r="D14" s="46">
        <f>E10</f>
        <v>1.8708286933867648E-3</v>
      </c>
      <c r="E14" s="46">
        <f ca="1">E7</f>
        <v>-9.9999999999988987E-5</v>
      </c>
      <c r="F14" s="47">
        <f>E2</f>
        <v>-10.176485749743728</v>
      </c>
      <c r="G14" s="47">
        <f ca="1">E3</f>
        <v>75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44323</v>
      </c>
      <c r="B20" s="4">
        <f>VLOOKUP(表1_4[[#This Row],[日期]],碳一号第二批期净值!A:B,2,FALSE)</f>
        <v>1</v>
      </c>
      <c r="C20" s="51">
        <v>0</v>
      </c>
      <c r="D20" s="52" t="str">
        <f>IF(C20&lt;0,C20,"/")</f>
        <v>/</v>
      </c>
      <c r="E20" s="52">
        <f ca="1">IF(表1_4[[#This Row],[累计净值]]-MAX(INDIRECT("B20:B"&amp;ROW()))&lt;E19,表1_4[[#This Row],[累计净值]]-MAX(INDIRECT("B20:B"&amp;ROW())),E19)</f>
        <v>0</v>
      </c>
    </row>
    <row r="21" spans="1:5">
      <c r="A21" s="50">
        <v>44330</v>
      </c>
      <c r="B21" s="4">
        <f>VLOOKUP(表1_4[[#This Row],[日期]],碳一号第二批期净值!A:B,2,FALSE)</f>
        <v>0.99990000000000001</v>
      </c>
      <c r="C21" s="51">
        <f>B21-B20</f>
        <v>-9.9999999999988987E-5</v>
      </c>
      <c r="D21" s="52">
        <f>IF(C21&lt;0,C21,"/")</f>
        <v>-9.9999999999988987E-5</v>
      </c>
      <c r="E21" s="52">
        <f ca="1">IF(表1_4[[#This Row],[累计净值]]-MAX(INDIRECT("B20:B"&amp;ROW()))&lt;E20,表1_4[[#This Row],[累计净值]]-MAX(INDIRECT("B20:B"&amp;ROW())),E20)</f>
        <v>-9.9999999999988987E-5</v>
      </c>
    </row>
    <row r="22" spans="1:5">
      <c r="A22" s="50">
        <v>44337</v>
      </c>
      <c r="B22" s="4">
        <f>VLOOKUP(表1_4[[#This Row],[日期]],碳一号第二批期净值!A:B,2,FALSE)</f>
        <v>1.0003</v>
      </c>
      <c r="C22" s="51">
        <f>B22-B21</f>
        <v>3.9999999999995595E-4</v>
      </c>
      <c r="D22" s="52" t="str">
        <f>IF(C22&lt;0,C22,"/")</f>
        <v>/</v>
      </c>
      <c r="E22" s="52">
        <f ca="1">IF(表1_4[[#This Row],[累计净值]]-MAX(INDIRECT("B20:B"&amp;ROW()))&lt;E21,表1_4[[#This Row],[累计净值]]-MAX(INDIRECT("B20:B"&amp;ROW())),E21)</f>
        <v>-9.9999999999988987E-5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H44"/>
  <sheetViews>
    <sheetView workbookViewId="0">
      <pane xSplit="1" ySplit="19" topLeftCell="B20" activePane="bottomRight" state="frozen"/>
      <selection pane="topRight"/>
      <selection pane="bottomLeft"/>
      <selection pane="bottomRight" activeCell="H15" sqref="H15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2.6640625" customWidth="1"/>
    <col min="8" max="8" width="11" customWidth="1"/>
    <col min="9" max="9" width="35.1640625" customWidth="1"/>
    <col min="10" max="10" width="15.83203125" customWidth="1"/>
    <col min="11" max="11" width="16.6640625" customWidth="1"/>
    <col min="12" max="12" width="11.6640625" customWidth="1"/>
  </cols>
  <sheetData>
    <row r="1" spans="1:8" ht="15">
      <c r="A1" s="8" t="s">
        <v>17</v>
      </c>
      <c r="B1" s="9">
        <f>COUNT(表1_42[每周盈亏])-1</f>
        <v>0</v>
      </c>
      <c r="C1" s="10"/>
      <c r="D1" s="11" t="s">
        <v>38</v>
      </c>
      <c r="E1" s="12"/>
      <c r="F1" t="s">
        <v>39</v>
      </c>
      <c r="G1" t="s">
        <v>40</v>
      </c>
    </row>
    <row r="2" spans="1:8">
      <c r="A2" s="13" t="s">
        <v>41</v>
      </c>
      <c r="B2" s="14">
        <f>COUNTIF(表1_42[每周盈亏],"&gt;0")</f>
        <v>0</v>
      </c>
      <c r="C2" s="15"/>
      <c r="D2" s="16" t="s">
        <v>21</v>
      </c>
      <c r="E2" s="17" t="e">
        <f>(50^0.5)*(B9-0.025/52)/E9</f>
        <v>#N/A</v>
      </c>
      <c r="G2" s="18" t="e">
        <f>LOOKUP(999^10,表1_42[累计净值])</f>
        <v>#N/A</v>
      </c>
    </row>
    <row r="3" spans="1:8">
      <c r="A3" s="13" t="s">
        <v>42</v>
      </c>
      <c r="B3" s="14">
        <f>COUNTIF(表1_42[每周盈亏],"&lt;0")</f>
        <v>0</v>
      </c>
      <c r="C3" s="15"/>
      <c r="D3" s="19" t="s">
        <v>22</v>
      </c>
      <c r="E3" s="17" t="e">
        <f ca="1">-B8/E7</f>
        <v>#N/A</v>
      </c>
    </row>
    <row r="4" spans="1:8" ht="15">
      <c r="A4" s="13" t="s">
        <v>43</v>
      </c>
      <c r="B4" s="14">
        <f>B1-B2-B3</f>
        <v>0</v>
      </c>
      <c r="C4" s="15"/>
      <c r="D4" s="7" t="s">
        <v>44</v>
      </c>
      <c r="E4" s="20" t="e">
        <f>50^0.5*(B9-0.025/52)/E8</f>
        <v>#N/A</v>
      </c>
    </row>
    <row r="5" spans="1:8">
      <c r="A5" s="21"/>
      <c r="B5" s="22"/>
      <c r="C5" s="22"/>
      <c r="D5" s="22"/>
      <c r="E5" s="23"/>
    </row>
    <row r="6" spans="1:8" ht="15">
      <c r="A6" s="24" t="s">
        <v>45</v>
      </c>
      <c r="B6" s="25"/>
      <c r="C6" s="25"/>
      <c r="D6" s="11" t="s">
        <v>46</v>
      </c>
      <c r="E6" s="26"/>
    </row>
    <row r="7" spans="1:8">
      <c r="A7" s="27" t="s">
        <v>19</v>
      </c>
      <c r="B7" s="28" t="e">
        <f>LOOKUP(999^10,表1_42[累计净值])-1</f>
        <v>#N/A</v>
      </c>
      <c r="C7" s="29"/>
      <c r="D7" s="16" t="s">
        <v>16</v>
      </c>
      <c r="E7" s="30" t="e">
        <f ca="1">MIN(表1_42[最大回撤])</f>
        <v>#N/A</v>
      </c>
    </row>
    <row r="8" spans="1:8">
      <c r="A8" s="13" t="s">
        <v>15</v>
      </c>
      <c r="B8" s="19" t="e">
        <f>B7*50/B1</f>
        <v>#N/A</v>
      </c>
      <c r="C8" s="29"/>
      <c r="D8" s="7" t="s">
        <v>47</v>
      </c>
      <c r="E8" s="31" t="e">
        <f>STDEV(表1_42[下跌幅度])</f>
        <v>#N/A</v>
      </c>
    </row>
    <row r="9" spans="1:8">
      <c r="A9" s="32" t="s">
        <v>48</v>
      </c>
      <c r="B9" s="33" t="e">
        <f>AVERAGE(表1_42[每周盈亏])</f>
        <v>#N/A</v>
      </c>
      <c r="C9" s="34"/>
      <c r="D9" s="7" t="s">
        <v>49</v>
      </c>
      <c r="E9" s="31" t="e">
        <f>STDEV(表1_42[每周盈亏])</f>
        <v>#N/A</v>
      </c>
    </row>
    <row r="10" spans="1:8" ht="15">
      <c r="A10" s="35" t="s">
        <v>50</v>
      </c>
      <c r="B10" s="19" t="e">
        <f>B2/B1</f>
        <v>#DIV/0!</v>
      </c>
      <c r="C10" s="29"/>
      <c r="D10" s="19" t="s">
        <v>20</v>
      </c>
      <c r="E10" s="30" t="e">
        <f>50^0.5*E9</f>
        <v>#N/A</v>
      </c>
    </row>
    <row r="11" spans="1:8">
      <c r="A11" s="36" t="s">
        <v>51</v>
      </c>
      <c r="B11" s="37" t="e">
        <f>-(SUMIF(表1_42[每周盈亏],"&gt;=0")/B2)/(SUMIF(表1_42[每周盈亏],"&lt;0")/B3)</f>
        <v>#DIV/0!</v>
      </c>
      <c r="C11" s="38"/>
      <c r="D11" s="39"/>
      <c r="E11" s="40"/>
    </row>
    <row r="13" spans="1:8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  <c r="H13" s="44" t="s">
        <v>18</v>
      </c>
    </row>
    <row r="14" spans="1:8" ht="15">
      <c r="A14" s="45">
        <f>B1</f>
        <v>0</v>
      </c>
      <c r="B14" s="46" t="e">
        <f>B7</f>
        <v>#N/A</v>
      </c>
      <c r="C14" s="46" t="e">
        <f>B8</f>
        <v>#N/A</v>
      </c>
      <c r="D14" s="46" t="e">
        <f>E10</f>
        <v>#N/A</v>
      </c>
      <c r="E14" s="46" t="e">
        <f ca="1">E7</f>
        <v>#N/A</v>
      </c>
      <c r="F14" s="47" t="e">
        <f>E2</f>
        <v>#N/A</v>
      </c>
      <c r="G14" s="47" t="e">
        <f ca="1">E3</f>
        <v>#N/A</v>
      </c>
      <c r="H14" s="18" t="e">
        <f>B24/B23-1</f>
        <v>#N/A</v>
      </c>
    </row>
    <row r="17" spans="1:6">
      <c r="A17" s="48"/>
      <c r="B17" t="s">
        <v>53</v>
      </c>
    </row>
    <row r="19" spans="1:6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  <c r="F19" t="s">
        <v>57</v>
      </c>
    </row>
    <row r="20" spans="1:6">
      <c r="A20" s="50">
        <v>44025</v>
      </c>
      <c r="B20" s="18" t="e">
        <f>F20/F$20</f>
        <v>#N/A</v>
      </c>
      <c r="C20" s="51">
        <v>0</v>
      </c>
      <c r="D20" s="52" t="str">
        <f>IF(C20&lt;0,C20,"/")</f>
        <v>/</v>
      </c>
      <c r="E20" s="52" t="e">
        <f ca="1">IF(表1_42[[#This Row],[累计净值]]-MAX(INDIRECT("B20:B"&amp;ROW()))&lt;E19,表1_42[[#This Row],[累计净值]]-MAX(INDIRECT("B20:B"&amp;ROW())),E19)</f>
        <v>#N/A</v>
      </c>
      <c r="F20" s="18" t="e">
        <f>VLOOKUP(A20,'2FOF净值画线'!$A:$C,3)</f>
        <v>#N/A</v>
      </c>
    </row>
    <row r="21" spans="1:6">
      <c r="A21" s="50">
        <v>44029</v>
      </c>
      <c r="B21" s="18" t="e">
        <f>F21/F$20</f>
        <v>#N/A</v>
      </c>
      <c r="C21" s="51" t="e">
        <f>B21-B20</f>
        <v>#N/A</v>
      </c>
      <c r="D21" s="52" t="e">
        <f>IF(C21&lt;0,C21,"/")</f>
        <v>#N/A</v>
      </c>
      <c r="E21" s="52" t="e">
        <f ca="1">IF(表1_42[[#This Row],[累计净值]]-MAX(INDIRECT("B20:B"&amp;ROW()))&lt;E20,表1_42[[#This Row],[累计净值]]-MAX(INDIRECT("B20:B"&amp;ROW())),E20)</f>
        <v>#N/A</v>
      </c>
      <c r="F21" s="18" t="e">
        <f>VLOOKUP(A21,'2FOF净值画线'!$A:$C,3)</f>
        <v>#N/A</v>
      </c>
    </row>
    <row r="22" spans="1:6">
      <c r="A22" s="50">
        <v>44036</v>
      </c>
      <c r="B22" s="18" t="e">
        <f>F22/F$20</f>
        <v>#N/A</v>
      </c>
      <c r="C22" s="51" t="e">
        <f>B22-B21</f>
        <v>#N/A</v>
      </c>
      <c r="D22" s="52" t="e">
        <f>IF(C22&lt;0,C22,"/")</f>
        <v>#N/A</v>
      </c>
      <c r="E22" s="52" t="e">
        <f ca="1">IF(表1_42[[#This Row],[累计净值]]-MAX(INDIRECT("B20:B"&amp;ROW()))&lt;E21,表1_42[[#This Row],[累计净值]]-MAX(INDIRECT("B20:B"&amp;ROW())),E21)</f>
        <v>#N/A</v>
      </c>
      <c r="F22" s="18" t="e">
        <f>VLOOKUP(A22,'2FOF净值画线'!$A:$C,3)</f>
        <v>#N/A</v>
      </c>
    </row>
    <row r="23" spans="1:6">
      <c r="A23" s="50">
        <v>44043</v>
      </c>
      <c r="B23" s="18" t="e">
        <f>F23/F$20</f>
        <v>#N/A</v>
      </c>
      <c r="C23" s="51" t="e">
        <f>B23-B22</f>
        <v>#N/A</v>
      </c>
      <c r="D23" s="52" t="e">
        <f>IF(C23&lt;0,C23,"/")</f>
        <v>#N/A</v>
      </c>
      <c r="E23" s="52" t="e">
        <f ca="1">IF(表1_42[[#This Row],[累计净值]]-MAX(INDIRECT("B20:B"&amp;ROW()))&lt;E22,表1_42[[#This Row],[累计净值]]-MAX(INDIRECT("B20:B"&amp;ROW())),E22)</f>
        <v>#N/A</v>
      </c>
      <c r="F23" s="18" t="e">
        <f>VLOOKUP(A23,'2FOF净值画线'!$A:$C,3)</f>
        <v>#N/A</v>
      </c>
    </row>
    <row r="24" spans="1:6">
      <c r="A24" s="50">
        <v>44050</v>
      </c>
      <c r="B24" s="18" t="e">
        <f>F24/F$20</f>
        <v>#N/A</v>
      </c>
      <c r="C24" s="51" t="e">
        <f>B24-B23</f>
        <v>#N/A</v>
      </c>
      <c r="D24" s="52" t="e">
        <f>IF(C24&lt;0,C24,"/")</f>
        <v>#N/A</v>
      </c>
      <c r="E24" s="52" t="e">
        <f ca="1">IF(表1_42[[#This Row],[累计净值]]-MAX(INDIRECT("B20:B"&amp;ROW()))&lt;E23,表1_42[[#This Row],[累计净值]]-MAX(INDIRECT("B20:B"&amp;ROW())),E23)</f>
        <v>#N/A</v>
      </c>
      <c r="F24" s="18" t="e">
        <f>VLOOKUP(A24,'2FOF净值画线'!$A:$C,3)</f>
        <v>#N/A</v>
      </c>
    </row>
    <row r="25" spans="1:6">
      <c r="A25" s="53"/>
      <c r="B25" s="18"/>
      <c r="C25" s="51"/>
      <c r="D25" s="52"/>
      <c r="E25" s="52"/>
      <c r="F25" s="18"/>
    </row>
    <row r="26" spans="1:6">
      <c r="A26" s="50"/>
      <c r="B26" s="18"/>
      <c r="C26" s="51"/>
      <c r="D26" s="52"/>
      <c r="E26" s="52"/>
      <c r="F26" s="18"/>
    </row>
    <row r="27" spans="1:6">
      <c r="A27" s="50"/>
      <c r="B27" s="18"/>
      <c r="C27" s="51"/>
      <c r="D27" s="52"/>
      <c r="E27" s="52"/>
      <c r="F27" s="5"/>
    </row>
    <row r="28" spans="1:6">
      <c r="A28" s="50"/>
      <c r="B28" s="18"/>
      <c r="C28" s="51"/>
      <c r="D28" s="52"/>
      <c r="E28" s="52"/>
      <c r="F28" s="5"/>
    </row>
    <row r="29" spans="1:6">
      <c r="A29" s="50"/>
      <c r="B29" s="18"/>
      <c r="C29" s="51"/>
      <c r="D29" s="52"/>
      <c r="E29" s="52"/>
      <c r="F29" s="5"/>
    </row>
    <row r="30" spans="1:6">
      <c r="A30" s="50"/>
      <c r="B30" s="18"/>
      <c r="C30" s="51"/>
      <c r="D30" s="52"/>
      <c r="E30" s="52"/>
      <c r="F30" s="5"/>
    </row>
    <row r="31" spans="1:6">
      <c r="A31" s="50"/>
      <c r="B31" s="18"/>
      <c r="C31" s="51"/>
      <c r="D31" s="52"/>
      <c r="E31" s="52"/>
      <c r="F31" s="5"/>
    </row>
    <row r="32" spans="1:6">
      <c r="A32" s="50"/>
      <c r="B32" s="18"/>
      <c r="C32" s="51"/>
      <c r="D32" s="52"/>
      <c r="E32" s="52"/>
      <c r="F32" s="5"/>
    </row>
    <row r="33" spans="1:6">
      <c r="A33" s="50"/>
      <c r="B33" s="18"/>
      <c r="C33" s="51"/>
      <c r="D33" s="52"/>
      <c r="E33" s="52"/>
      <c r="F33" s="5"/>
    </row>
    <row r="34" spans="1:6">
      <c r="A34" s="50"/>
      <c r="B34" s="18"/>
      <c r="C34" s="51"/>
      <c r="D34" s="52"/>
      <c r="E34" s="52"/>
      <c r="F34" s="5"/>
    </row>
    <row r="35" spans="1:6">
      <c r="A35" s="50"/>
      <c r="B35" s="18"/>
      <c r="C35" s="51"/>
      <c r="D35" s="52"/>
      <c r="E35" s="52"/>
      <c r="F35" s="5"/>
    </row>
    <row r="36" spans="1:6">
      <c r="A36" s="50"/>
      <c r="B36" s="18"/>
      <c r="C36" s="51"/>
      <c r="D36" s="52"/>
      <c r="E36" s="52"/>
      <c r="F36" s="5"/>
    </row>
    <row r="37" spans="1:6">
      <c r="A37" s="50"/>
      <c r="B37" s="18"/>
      <c r="C37" s="51"/>
      <c r="D37" s="52"/>
      <c r="E37" s="52"/>
      <c r="F37" s="5"/>
    </row>
    <row r="38" spans="1:6">
      <c r="A38" s="50"/>
      <c r="B38" s="18"/>
      <c r="C38" s="51"/>
      <c r="D38" s="52"/>
      <c r="E38" s="52"/>
      <c r="F38" s="5"/>
    </row>
    <row r="39" spans="1:6">
      <c r="A39" s="50"/>
      <c r="B39" s="18"/>
      <c r="C39" s="51"/>
      <c r="D39" s="52"/>
      <c r="E39" s="52"/>
      <c r="F39" s="5"/>
    </row>
    <row r="40" spans="1:6">
      <c r="A40" s="50"/>
      <c r="B40" s="18"/>
      <c r="C40" s="51"/>
      <c r="D40" s="52"/>
      <c r="E40" s="52"/>
      <c r="F40" s="5"/>
    </row>
    <row r="41" spans="1:6">
      <c r="A41" s="50"/>
      <c r="B41" s="18"/>
      <c r="C41" s="51"/>
      <c r="D41" s="52"/>
      <c r="E41" s="52"/>
      <c r="F41" s="5"/>
    </row>
    <row r="42" spans="1:6">
      <c r="A42" s="50"/>
      <c r="B42" s="18"/>
      <c r="C42" s="51"/>
      <c r="D42" s="52"/>
      <c r="E42" s="52"/>
      <c r="F42" s="5"/>
    </row>
    <row r="43" spans="1:6">
      <c r="A43" s="50"/>
      <c r="B43" s="18"/>
      <c r="C43" s="51"/>
      <c r="D43" s="52"/>
      <c r="E43" s="52"/>
      <c r="F43" s="5"/>
    </row>
    <row r="44" spans="1:6">
      <c r="A44" s="50"/>
      <c r="B44" s="18"/>
      <c r="C44" s="51"/>
      <c r="D44" s="52"/>
      <c r="E44" s="52"/>
      <c r="F44" s="5"/>
    </row>
  </sheetData>
  <phoneticPr fontId="19" type="noConversion"/>
  <pageMargins left="0.69930555555555596" right="0.69930555555555596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22"/>
  <sheetViews>
    <sheetView workbookViewId="0">
      <pane xSplit="1" ySplit="19" topLeftCell="B20" activePane="bottomRight" state="frozen"/>
      <selection pane="topRight"/>
      <selection pane="bottomLeft"/>
      <selection pane="bottomRight" activeCell="F26" sqref="F26"/>
    </sheetView>
  </sheetViews>
  <sheetFormatPr baseColWidth="10" defaultColWidth="9" defaultRowHeight="14"/>
  <cols>
    <col min="1" max="1" width="11.1640625" customWidth="1"/>
    <col min="2" max="2" width="13.1640625" customWidth="1"/>
    <col min="3" max="3" width="12.5" customWidth="1"/>
    <col min="4" max="4" width="15" customWidth="1"/>
    <col min="5" max="5" width="11.1640625" customWidth="1"/>
    <col min="6" max="6" width="10.1640625" customWidth="1"/>
    <col min="8" max="8" width="11" customWidth="1"/>
    <col min="9" max="9" width="11.33203125" customWidth="1"/>
    <col min="10" max="10" width="15.83203125" customWidth="1"/>
    <col min="11" max="11" width="16.6640625" customWidth="1"/>
    <col min="12" max="12" width="11.6640625" customWidth="1"/>
  </cols>
  <sheetData>
    <row r="1" spans="1:7" ht="16" thickBot="1">
      <c r="A1" s="8" t="s">
        <v>17</v>
      </c>
      <c r="B1" s="9">
        <f>COUNT(表1_43[每周盈亏])-1</f>
        <v>2</v>
      </c>
      <c r="C1" s="10"/>
      <c r="D1" s="11" t="s">
        <v>38</v>
      </c>
      <c r="E1" s="12"/>
      <c r="F1" t="s">
        <v>39</v>
      </c>
      <c r="G1" t="s">
        <v>40</v>
      </c>
    </row>
    <row r="2" spans="1:7">
      <c r="A2" s="13" t="s">
        <v>41</v>
      </c>
      <c r="B2" s="14">
        <f>COUNTIF(表1_43[每周盈亏],"&gt;0")</f>
        <v>1</v>
      </c>
      <c r="C2" s="15"/>
      <c r="D2" s="16" t="s">
        <v>21</v>
      </c>
      <c r="E2" s="17">
        <f>(50^0.5)*(B9-0.025/52)/E9</f>
        <v>-10.176485749743728</v>
      </c>
      <c r="G2" s="18">
        <f>LOOKUP(999^10,表1_43[累计净值])</f>
        <v>1.0003</v>
      </c>
    </row>
    <row r="3" spans="1:7">
      <c r="A3" s="13" t="s">
        <v>42</v>
      </c>
      <c r="B3" s="14">
        <f>COUNTIF(表1_43[每周盈亏],"&lt;0")</f>
        <v>1</v>
      </c>
      <c r="C3" s="15"/>
      <c r="D3" s="19" t="s">
        <v>22</v>
      </c>
      <c r="E3" s="17">
        <f ca="1">-B8/E7</f>
        <v>75</v>
      </c>
    </row>
    <row r="4" spans="1:7" ht="15">
      <c r="A4" s="13" t="s">
        <v>43</v>
      </c>
      <c r="B4" s="14">
        <f>B1-B2-B3</f>
        <v>0</v>
      </c>
      <c r="C4" s="15"/>
      <c r="D4" s="7" t="s">
        <v>44</v>
      </c>
      <c r="E4" s="20" t="e">
        <f>50^0.5*(B9-0.025/52)/E8</f>
        <v>#DIV/0!</v>
      </c>
    </row>
    <row r="5" spans="1:7" ht="15" thickBot="1">
      <c r="A5" s="21"/>
      <c r="B5" s="22"/>
      <c r="C5" s="22"/>
      <c r="D5" s="22"/>
      <c r="E5" s="23"/>
    </row>
    <row r="6" spans="1:7" ht="16" thickBot="1">
      <c r="A6" s="24" t="s">
        <v>45</v>
      </c>
      <c r="B6" s="25"/>
      <c r="C6" s="25"/>
      <c r="D6" s="11" t="s">
        <v>46</v>
      </c>
      <c r="E6" s="26"/>
    </row>
    <row r="7" spans="1:7">
      <c r="A7" s="27" t="s">
        <v>19</v>
      </c>
      <c r="B7" s="28">
        <f>LOOKUP(999^10,表1_43[累计净值])-1</f>
        <v>2.9999999999996696E-4</v>
      </c>
      <c r="C7" s="29"/>
      <c r="D7" s="16" t="s">
        <v>16</v>
      </c>
      <c r="E7" s="30">
        <f ca="1">MIN(表1_43[最大回撤])</f>
        <v>-9.9999999999988987E-5</v>
      </c>
    </row>
    <row r="8" spans="1:7">
      <c r="A8" s="13" t="s">
        <v>15</v>
      </c>
      <c r="B8" s="19">
        <f>B7*50/B1</f>
        <v>7.499999999999174E-3</v>
      </c>
      <c r="C8" s="29"/>
      <c r="D8" s="7" t="s">
        <v>47</v>
      </c>
      <c r="E8" s="31" t="e">
        <f>STDEV(表1_43[下跌幅度])</f>
        <v>#DIV/0!</v>
      </c>
    </row>
    <row r="9" spans="1:7">
      <c r="A9" s="32" t="s">
        <v>48</v>
      </c>
      <c r="B9" s="33">
        <f>AVERAGE(表1_43[每周盈亏])</f>
        <v>9.9999999999988987E-5</v>
      </c>
      <c r="C9" s="34"/>
      <c r="D9" s="7" t="s">
        <v>49</v>
      </c>
      <c r="E9" s="31">
        <f>STDEV(表1_43[每周盈亏])</f>
        <v>2.6457513110642993E-4</v>
      </c>
    </row>
    <row r="10" spans="1:7" ht="15">
      <c r="A10" s="35" t="s">
        <v>50</v>
      </c>
      <c r="B10" s="19">
        <f>B2/B1</f>
        <v>0.5</v>
      </c>
      <c r="C10" s="29"/>
      <c r="D10" s="19" t="s">
        <v>20</v>
      </c>
      <c r="E10" s="30">
        <f>50^0.5*E9</f>
        <v>1.8708286933867648E-3</v>
      </c>
    </row>
    <row r="11" spans="1:7" ht="15" thickBot="1">
      <c r="A11" s="36" t="s">
        <v>51</v>
      </c>
      <c r="B11" s="37">
        <f>-(SUMIF(表1_43[每周盈亏],"&gt;=0")/B2)/(SUMIF(表1_43[每周盈亏],"&lt;0")/B3)</f>
        <v>4</v>
      </c>
      <c r="C11" s="38"/>
      <c r="D11" s="39"/>
      <c r="E11" s="40"/>
    </row>
    <row r="13" spans="1:7" ht="32">
      <c r="A13" s="41" t="s">
        <v>17</v>
      </c>
      <c r="B13" s="42" t="s">
        <v>52</v>
      </c>
      <c r="C13" s="42" t="s">
        <v>15</v>
      </c>
      <c r="D13" s="43" t="s">
        <v>20</v>
      </c>
      <c r="E13" s="43" t="s">
        <v>16</v>
      </c>
      <c r="F13" s="43" t="s">
        <v>21</v>
      </c>
      <c r="G13" s="43" t="s">
        <v>22</v>
      </c>
    </row>
    <row r="14" spans="1:7" ht="15">
      <c r="A14" s="45">
        <f>B1</f>
        <v>2</v>
      </c>
      <c r="B14" s="46">
        <f>B7</f>
        <v>2.9999999999996696E-4</v>
      </c>
      <c r="C14" s="46">
        <f>B8</f>
        <v>7.499999999999174E-3</v>
      </c>
      <c r="D14" s="46">
        <f>E10</f>
        <v>1.8708286933867648E-3</v>
      </c>
      <c r="E14" s="46">
        <f ca="1">E7</f>
        <v>-9.9999999999988987E-5</v>
      </c>
      <c r="F14" s="47">
        <f>E2</f>
        <v>-10.176485749743728</v>
      </c>
      <c r="G14" s="47">
        <f ca="1">E3</f>
        <v>75</v>
      </c>
    </row>
    <row r="17" spans="1:5">
      <c r="A17" s="48"/>
      <c r="B17" t="s">
        <v>53</v>
      </c>
    </row>
    <row r="19" spans="1:5" ht="15">
      <c r="A19" t="s">
        <v>2</v>
      </c>
      <c r="B19" t="s">
        <v>9</v>
      </c>
      <c r="C19" s="49" t="s">
        <v>54</v>
      </c>
      <c r="D19" s="49" t="s">
        <v>55</v>
      </c>
      <c r="E19" s="49" t="s">
        <v>16</v>
      </c>
    </row>
    <row r="20" spans="1:5">
      <c r="A20" s="50">
        <v>44323</v>
      </c>
      <c r="B20" s="4">
        <f>VLOOKUP(表1_43[[#This Row],[日期]],碳一号第二批期净值!F:G,2,FALSE)</f>
        <v>1</v>
      </c>
      <c r="C20" s="51">
        <v>0</v>
      </c>
      <c r="D20" s="52" t="str">
        <f>IF(C20&lt;0,C20,"/")</f>
        <v>/</v>
      </c>
      <c r="E20" s="52">
        <f ca="1">IF(表1_43[[#This Row],[累计净值]]-MAX(INDIRECT("B20:B"&amp;ROW()))&lt;E19,表1_43[[#This Row],[累计净值]]-MAX(INDIRECT("B20:B"&amp;ROW())),E19)</f>
        <v>0</v>
      </c>
    </row>
    <row r="21" spans="1:5">
      <c r="A21" s="50">
        <v>44330</v>
      </c>
      <c r="B21" s="4">
        <f>VLOOKUP(表1_43[[#This Row],[日期]],碳一号第二批期净值!F:G,2,FALSE)</f>
        <v>0.99990000000000001</v>
      </c>
      <c r="C21" s="51">
        <f>B21-B20</f>
        <v>-9.9999999999988987E-5</v>
      </c>
      <c r="D21" s="52">
        <f>IF(C21&lt;0,C21,"/")</f>
        <v>-9.9999999999988987E-5</v>
      </c>
      <c r="E21" s="52">
        <f ca="1">IF(表1_43[[#This Row],[累计净值]]-MAX(INDIRECT("B20:B"&amp;ROW()))&lt;E20,表1_43[[#This Row],[累计净值]]-MAX(INDIRECT("B20:B"&amp;ROW())),E20)</f>
        <v>-9.9999999999988987E-5</v>
      </c>
    </row>
    <row r="22" spans="1:5">
      <c r="A22" s="50">
        <v>44337</v>
      </c>
      <c r="B22" s="4">
        <f>VLOOKUP(表1_43[[#This Row],[日期]],碳一号第二批期净值!F:G,2,FALSE)</f>
        <v>1.0003</v>
      </c>
      <c r="C22" s="51">
        <f>B22-B21</f>
        <v>3.9999999999995595E-4</v>
      </c>
      <c r="D22" s="52" t="str">
        <f>IF(C22&lt;0,C22,"/")</f>
        <v>/</v>
      </c>
      <c r="E22" s="52">
        <f ca="1">IF(表1_43[[#This Row],[累计净值]]-MAX(INDIRECT("B20:B"&amp;ROW()))&lt;E21,表1_43[[#This Row],[累计净值]]-MAX(INDIRECT("B20:B"&amp;ROW())),E21)</f>
        <v>-9.9999999999988987E-5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1母基金基本情况汇总</vt:lpstr>
      <vt:lpstr>2FOF净值画线</vt:lpstr>
      <vt:lpstr>3风险收益指标</vt:lpstr>
      <vt:lpstr>4资产配置</vt:lpstr>
      <vt:lpstr>碳一号第二批期净值</vt:lpstr>
      <vt:lpstr>子基金申购以来涨跌幅</vt:lpstr>
      <vt:lpstr>周更新-碳一号7期</vt:lpstr>
      <vt:lpstr>周更新-中证500指数</vt:lpstr>
      <vt:lpstr>周更新-碳一号8期 </vt:lpstr>
      <vt:lpstr>周更新-碳一号11期  </vt:lpstr>
      <vt:lpstr>周更新-碳一号9期 </vt:lpstr>
      <vt:lpstr>周更新-碳一号12期 </vt:lpstr>
      <vt:lpstr>周更新-碳一号13期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2020-07-20T02:27:32Z</cp:lastPrinted>
  <dcterms:created xsi:type="dcterms:W3CDTF">2006-09-13T11:21:00Z</dcterms:created>
  <dcterms:modified xsi:type="dcterms:W3CDTF">2021-06-01T10:57:06Z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