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ecsurpe.sharepoint.com/sites/GestinFlotaEV-Enzo/Documentos compartidos/"/>
    </mc:Choice>
  </mc:AlternateContent>
  <xr:revisionPtr revIDLastSave="36" documentId="13_ncr:1_{A7CB5246-64A3-481D-8152-58FCB42C18B8}" xr6:coauthVersionLast="47" xr6:coauthVersionMax="47" xr10:uidLastSave="{CDC3AD7B-D215-4AF6-A822-15DD7F1DF393}"/>
  <bookViews>
    <workbookView xWindow="4800" yWindow="2810" windowWidth="14400" windowHeight="7270" activeTab="1" xr2:uid="{955AAEE2-784D-4ED8-B535-DC3F34D831CD}"/>
  </bookViews>
  <sheets>
    <sheet name="GPS" sheetId="1" r:id="rId1"/>
    <sheet name="Soat" sheetId="3" r:id="rId2"/>
    <sheet name="Impuestos" sheetId="4" r:id="rId3"/>
    <sheet name="Pólizas" sheetId="6" r:id="rId4"/>
    <sheet name="Depreciación" sheetId="7" r:id="rId5"/>
    <sheet name="ITV" sheetId="8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4" hidden="1">Depreciación!$AR$6:$CA$159</definedName>
    <definedName name="_xlnm._FilterDatabase" localSheetId="2" hidden="1">Impuestos!#REF!</definedName>
    <definedName name="_xlnm._FilterDatabase" localSheetId="5" hidden="1">ITV!#REF!</definedName>
    <definedName name="_xlnm._FilterDatabase" localSheetId="1" hidden="1">Soat!#REF!</definedName>
    <definedName name="CERTISAT_RRV_5">'[1]CERTISAT(RRV)'!$A:$C</definedName>
    <definedName name="CO">[2]DATA!$E$4:$E$36</definedName>
    <definedName name="COMSATEL_5">[1]COMSATEL!$A:$C</definedName>
    <definedName name="GOLDCAR_5">[1]GOLDCAR!$A:$C</definedName>
    <definedName name="HUNTER_5">[1]HUNTER!$A:$C</definedName>
    <definedName name="Lista_Combustible">'[3]Otras listas'!$L$6:$L$11</definedName>
    <definedName name="Lista_Conductores" localSheetId="2">[3]!Conductores[Conductor]</definedName>
    <definedName name="Lista_Conductores" localSheetId="5">[3]!Conductores[Conductor]</definedName>
    <definedName name="Lista_Conductores" localSheetId="1">[3]!Conductores[Conductor]</definedName>
    <definedName name="Lista_Conductores">[3]!Conductores[Conductor]</definedName>
    <definedName name="Lista_infraccion">'[3]Otras listas'!$U$6:$U$12</definedName>
    <definedName name="Lista_Marcas" localSheetId="2">[3]!Marcas[Marcas]</definedName>
    <definedName name="Lista_Marcas" localSheetId="5">[3]!Marcas[Marcas]</definedName>
    <definedName name="Lista_Marcas" localSheetId="1">[3]!Marcas[Marcas]</definedName>
    <definedName name="Lista_Marcas">[3]!Marcas[Marcas]</definedName>
    <definedName name="Lista_Modelos" localSheetId="2">OFFSET([3]!Modelos[[#Headers],[Modelo]],MATCH([3]Flota!$H1,[3]!Modelos[Marcas],0),0,COUNTIF([3]!Modelos[Marcas],[3]Flota!$H1))</definedName>
    <definedName name="Lista_Modelos" localSheetId="5">OFFSET([3]!Modelos[[#Headers],[Modelo]],MATCH([3]Flota!$H1,[3]!Modelos[Marcas],0),0,COUNTIF([3]!Modelos[Marcas],[3]Flota!$H1))</definedName>
    <definedName name="Lista_Modelos" localSheetId="1">OFFSET([3]!Modelos[[#Headers],[Modelo]],MATCH([3]Flota!$H1,[3]!Modelos[Marcas],0),0,COUNTIF([3]!Modelos[Marcas],[3]Flota!$H1))</definedName>
    <definedName name="Lista_Modelos">OFFSET([3]!Modelos[[#Headers],[Modelo]],MATCH([3]Flota!$H1,[3]!Modelos[Marcas],0),0,COUNTIF([3]!Modelos[Marcas],[3]Flota!$H1))</definedName>
    <definedName name="Lista_PaqMnnto">'[3]Otras listas'!$P$6:$P$13</definedName>
    <definedName name="Lista_Placas">[3]Flota!$F$9:$F$164</definedName>
    <definedName name="Lista_Poliza" localSheetId="1">Soat!$F$8:$F$115</definedName>
    <definedName name="Lista_Poliza">#REF!</definedName>
    <definedName name="Lista_Tipo_Vehiculo" localSheetId="2">[3]!Tipo_Vehiculo[Tipo Vehiculo]</definedName>
    <definedName name="Lista_Tipo_Vehiculo" localSheetId="5">[3]!Tipo_Vehiculo[Tipo Vehiculo]</definedName>
    <definedName name="Lista_Tipo_Vehiculo" localSheetId="1">[3]!Tipo_Vehiculo[Tipo Vehiculo]</definedName>
    <definedName name="Lista_Tipo_Vehiculo">[3]!Tipo_Vehiculo[Tipo Vehiculo]</definedName>
    <definedName name="navisaf_7">[1]NAVISAF!$A:$C</definedName>
    <definedName name="TRACKLO_6">[1]TRACKLOG!$A:$C</definedName>
    <definedName name="TSO_5">[1]TSO!$A:$C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3" l="1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C436" i="4"/>
  <c r="O436" i="4" s="1"/>
  <c r="C435" i="4"/>
  <c r="O435" i="4" s="1"/>
  <c r="C434" i="4"/>
  <c r="O434" i="4" s="1"/>
  <c r="C433" i="4"/>
  <c r="O433" i="4" s="1"/>
  <c r="C432" i="4"/>
  <c r="O432" i="4" s="1"/>
  <c r="C431" i="4"/>
  <c r="O431" i="4" s="1"/>
  <c r="C430" i="4"/>
  <c r="O430" i="4" s="1"/>
  <c r="C429" i="4"/>
  <c r="O429" i="4" s="1"/>
  <c r="C428" i="4"/>
  <c r="O428" i="4" s="1"/>
  <c r="C427" i="4"/>
  <c r="O427" i="4" s="1"/>
  <c r="C426" i="4"/>
  <c r="O426" i="4" s="1"/>
  <c r="C425" i="4"/>
  <c r="O425" i="4" s="1"/>
  <c r="C424" i="4"/>
  <c r="O424" i="4" s="1"/>
  <c r="C423" i="4"/>
  <c r="O423" i="4" s="1"/>
  <c r="C422" i="4"/>
  <c r="O422" i="4" s="1"/>
  <c r="C421" i="4"/>
  <c r="O421" i="4" s="1"/>
  <c r="C420" i="4"/>
  <c r="O420" i="4" s="1"/>
  <c r="C419" i="4"/>
  <c r="O419" i="4" s="1"/>
  <c r="C418" i="4"/>
  <c r="O418" i="4" s="1"/>
  <c r="C417" i="4"/>
  <c r="O417" i="4" s="1"/>
  <c r="C416" i="4"/>
  <c r="O416" i="4" s="1"/>
  <c r="C415" i="4"/>
  <c r="O415" i="4" s="1"/>
  <c r="C414" i="4"/>
  <c r="O414" i="4" s="1"/>
  <c r="C413" i="4"/>
  <c r="O413" i="4" s="1"/>
  <c r="C412" i="4"/>
  <c r="O412" i="4" s="1"/>
  <c r="C411" i="4"/>
  <c r="O411" i="4" s="1"/>
  <c r="C410" i="4"/>
  <c r="O410" i="4" s="1"/>
  <c r="C409" i="4"/>
  <c r="O409" i="4" s="1"/>
  <c r="C408" i="4"/>
  <c r="O408" i="4" s="1"/>
  <c r="C407" i="4"/>
  <c r="O407" i="4" s="1"/>
  <c r="C406" i="4"/>
  <c r="O406" i="4" s="1"/>
  <c r="C405" i="4"/>
  <c r="O405" i="4" s="1"/>
  <c r="C404" i="4"/>
  <c r="O404" i="4" s="1"/>
  <c r="C403" i="4"/>
  <c r="O403" i="4" s="1"/>
  <c r="C402" i="4"/>
  <c r="O402" i="4" s="1"/>
  <c r="C401" i="4"/>
  <c r="O401" i="4" s="1"/>
  <c r="C400" i="4"/>
  <c r="O400" i="4" s="1"/>
  <c r="C399" i="4"/>
  <c r="O399" i="4" s="1"/>
  <c r="C398" i="4"/>
  <c r="O398" i="4" s="1"/>
  <c r="C397" i="4"/>
  <c r="O397" i="4" s="1"/>
  <c r="C396" i="4"/>
  <c r="O396" i="4" s="1"/>
  <c r="C395" i="4"/>
  <c r="O395" i="4" s="1"/>
  <c r="C394" i="4"/>
  <c r="O394" i="4" s="1"/>
  <c r="C393" i="4"/>
  <c r="O393" i="4" s="1"/>
  <c r="C392" i="4"/>
  <c r="O392" i="4" s="1"/>
  <c r="C391" i="4"/>
  <c r="O391" i="4" s="1"/>
  <c r="C390" i="4"/>
  <c r="O390" i="4" s="1"/>
  <c r="C389" i="4"/>
  <c r="O389" i="4" s="1"/>
  <c r="C388" i="4"/>
  <c r="O388" i="4" s="1"/>
  <c r="C387" i="4"/>
  <c r="O387" i="4" s="1"/>
  <c r="C386" i="4"/>
  <c r="O386" i="4" s="1"/>
  <c r="C385" i="4"/>
  <c r="O385" i="4" s="1"/>
  <c r="C384" i="4"/>
  <c r="O384" i="4" s="1"/>
  <c r="C383" i="4"/>
  <c r="O383" i="4" s="1"/>
  <c r="C382" i="4"/>
  <c r="O382" i="4" s="1"/>
  <c r="C381" i="4"/>
  <c r="O381" i="4" s="1"/>
  <c r="C380" i="4"/>
  <c r="O380" i="4" s="1"/>
  <c r="C379" i="4"/>
  <c r="O379" i="4" s="1"/>
  <c r="C378" i="4"/>
  <c r="O378" i="4" s="1"/>
  <c r="C377" i="4"/>
  <c r="O377" i="4" s="1"/>
  <c r="C376" i="4"/>
  <c r="O376" i="4" s="1"/>
  <c r="C375" i="4"/>
  <c r="O375" i="4" s="1"/>
  <c r="C374" i="4"/>
  <c r="O374" i="4" s="1"/>
  <c r="C373" i="4"/>
  <c r="O373" i="4" s="1"/>
  <c r="C372" i="4"/>
  <c r="O372" i="4" s="1"/>
  <c r="C371" i="4"/>
  <c r="O371" i="4" s="1"/>
  <c r="C370" i="4"/>
  <c r="O370" i="4" s="1"/>
  <c r="C369" i="4"/>
  <c r="O369" i="4" s="1"/>
  <c r="C368" i="4"/>
  <c r="O368" i="4" s="1"/>
  <c r="C367" i="4"/>
  <c r="O367" i="4" s="1"/>
  <c r="C366" i="4"/>
  <c r="O366" i="4" s="1"/>
  <c r="C365" i="4"/>
  <c r="O365" i="4" s="1"/>
  <c r="C364" i="4"/>
  <c r="O364" i="4" s="1"/>
  <c r="C363" i="4"/>
  <c r="O363" i="4" s="1"/>
  <c r="C362" i="4"/>
  <c r="O362" i="4" s="1"/>
  <c r="C361" i="4"/>
  <c r="O361" i="4" s="1"/>
  <c r="C360" i="4"/>
  <c r="O360" i="4" s="1"/>
  <c r="C359" i="4"/>
  <c r="O359" i="4" s="1"/>
  <c r="C358" i="4"/>
  <c r="O358" i="4" s="1"/>
  <c r="C357" i="4"/>
  <c r="O357" i="4" s="1"/>
  <c r="C356" i="4"/>
  <c r="O356" i="4" s="1"/>
  <c r="C355" i="4"/>
  <c r="O355" i="4" s="1"/>
  <c r="C354" i="4"/>
  <c r="O354" i="4" s="1"/>
  <c r="C353" i="4"/>
  <c r="O353" i="4" s="1"/>
  <c r="C352" i="4"/>
  <c r="O352" i="4" s="1"/>
  <c r="C351" i="4"/>
  <c r="O351" i="4" s="1"/>
  <c r="C350" i="4"/>
  <c r="O350" i="4" s="1"/>
  <c r="C349" i="4"/>
  <c r="O349" i="4" s="1"/>
  <c r="C348" i="4"/>
  <c r="O348" i="4" s="1"/>
  <c r="C347" i="4"/>
  <c r="O347" i="4" s="1"/>
  <c r="C346" i="4"/>
  <c r="O346" i="4" s="1"/>
  <c r="C345" i="4"/>
  <c r="O345" i="4" s="1"/>
  <c r="C344" i="4"/>
  <c r="O344" i="4" s="1"/>
  <c r="C343" i="4"/>
  <c r="O343" i="4" s="1"/>
  <c r="C342" i="4"/>
  <c r="O342" i="4" s="1"/>
  <c r="C341" i="4"/>
  <c r="O341" i="4" s="1"/>
  <c r="C340" i="4"/>
  <c r="O340" i="4" s="1"/>
  <c r="C339" i="4"/>
  <c r="O339" i="4" s="1"/>
  <c r="C338" i="4"/>
  <c r="O338" i="4" s="1"/>
  <c r="C337" i="4"/>
  <c r="O337" i="4" s="1"/>
  <c r="C336" i="4"/>
  <c r="O336" i="4" s="1"/>
  <c r="C335" i="4"/>
  <c r="O335" i="4" s="1"/>
  <c r="C334" i="4"/>
  <c r="O334" i="4" s="1"/>
  <c r="C333" i="4"/>
  <c r="O333" i="4" s="1"/>
  <c r="C332" i="4"/>
  <c r="O332" i="4" s="1"/>
  <c r="C331" i="4"/>
  <c r="O331" i="4" s="1"/>
  <c r="C330" i="4"/>
  <c r="O330" i="4" s="1"/>
  <c r="C329" i="4"/>
  <c r="O329" i="4" s="1"/>
  <c r="C328" i="4"/>
  <c r="O328" i="4" s="1"/>
  <c r="C327" i="4"/>
  <c r="O327" i="4" s="1"/>
  <c r="C326" i="4"/>
  <c r="O326" i="4" s="1"/>
  <c r="C325" i="4"/>
  <c r="O325" i="4" s="1"/>
  <c r="C324" i="4"/>
  <c r="O324" i="4" s="1"/>
  <c r="C323" i="4"/>
  <c r="O323" i="4" s="1"/>
  <c r="C322" i="4"/>
  <c r="O322" i="4" s="1"/>
  <c r="C321" i="4"/>
  <c r="O321" i="4" s="1"/>
  <c r="C320" i="4"/>
  <c r="O320" i="4" s="1"/>
  <c r="C319" i="4"/>
  <c r="O319" i="4" s="1"/>
  <c r="C318" i="4"/>
  <c r="O318" i="4" s="1"/>
  <c r="C317" i="4"/>
  <c r="O317" i="4" s="1"/>
  <c r="C316" i="4"/>
  <c r="O316" i="4" s="1"/>
  <c r="C315" i="4"/>
  <c r="O315" i="4" s="1"/>
  <c r="C314" i="4"/>
  <c r="O314" i="4" s="1"/>
  <c r="C313" i="4"/>
  <c r="O313" i="4" s="1"/>
  <c r="C312" i="4"/>
  <c r="O312" i="4" s="1"/>
  <c r="C311" i="4"/>
  <c r="O311" i="4" s="1"/>
  <c r="C310" i="4"/>
  <c r="O310" i="4" s="1"/>
  <c r="C309" i="4"/>
  <c r="O309" i="4" s="1"/>
  <c r="C308" i="4"/>
  <c r="O308" i="4" s="1"/>
  <c r="C307" i="4"/>
  <c r="O307" i="4" s="1"/>
  <c r="C306" i="4"/>
  <c r="O306" i="4" s="1"/>
  <c r="C305" i="4"/>
  <c r="O305" i="4" s="1"/>
  <c r="C304" i="4"/>
  <c r="O304" i="4" s="1"/>
  <c r="C303" i="4"/>
  <c r="O303" i="4" s="1"/>
  <c r="C302" i="4"/>
  <c r="O302" i="4" s="1"/>
  <c r="C301" i="4"/>
  <c r="O301" i="4" s="1"/>
  <c r="C300" i="4"/>
  <c r="O300" i="4" s="1"/>
  <c r="C299" i="4"/>
  <c r="O299" i="4" s="1"/>
  <c r="C298" i="4"/>
  <c r="O298" i="4" s="1"/>
  <c r="C297" i="4"/>
  <c r="O297" i="4" s="1"/>
  <c r="C296" i="4"/>
  <c r="O296" i="4" s="1"/>
  <c r="C295" i="4"/>
  <c r="O295" i="4" s="1"/>
  <c r="C294" i="4"/>
  <c r="O294" i="4" s="1"/>
  <c r="C293" i="4"/>
  <c r="O293" i="4" s="1"/>
  <c r="C292" i="4"/>
  <c r="O292" i="4" s="1"/>
  <c r="C291" i="4"/>
  <c r="O291" i="4" s="1"/>
  <c r="C290" i="4"/>
  <c r="O290" i="4" s="1"/>
  <c r="C289" i="4"/>
  <c r="O289" i="4" s="1"/>
  <c r="C288" i="4"/>
  <c r="O288" i="4" s="1"/>
  <c r="C287" i="4"/>
  <c r="O287" i="4" s="1"/>
  <c r="C286" i="4"/>
  <c r="O286" i="4" s="1"/>
  <c r="C285" i="4"/>
  <c r="O285" i="4" s="1"/>
  <c r="C284" i="4"/>
  <c r="O284" i="4" s="1"/>
  <c r="C283" i="4"/>
  <c r="O283" i="4" s="1"/>
  <c r="C282" i="4"/>
  <c r="O282" i="4" s="1"/>
  <c r="C281" i="4"/>
  <c r="O281" i="4" s="1"/>
  <c r="C280" i="4"/>
  <c r="O280" i="4" s="1"/>
  <c r="C279" i="4"/>
  <c r="O279" i="4" s="1"/>
  <c r="C278" i="4"/>
  <c r="O278" i="4" s="1"/>
  <c r="C277" i="4"/>
  <c r="O277" i="4" s="1"/>
  <c r="C276" i="4"/>
  <c r="O276" i="4" s="1"/>
  <c r="C275" i="4"/>
  <c r="O275" i="4" s="1"/>
  <c r="C274" i="4"/>
  <c r="O274" i="4" s="1"/>
  <c r="C273" i="4"/>
  <c r="O273" i="4" s="1"/>
  <c r="C272" i="4"/>
  <c r="O272" i="4" s="1"/>
  <c r="C271" i="4"/>
  <c r="O271" i="4" s="1"/>
  <c r="C270" i="4"/>
  <c r="O270" i="4" s="1"/>
  <c r="C269" i="4"/>
  <c r="O269" i="4" s="1"/>
  <c r="C268" i="4"/>
  <c r="O268" i="4" s="1"/>
  <c r="C267" i="4"/>
  <c r="O267" i="4" s="1"/>
  <c r="C266" i="4"/>
  <c r="O266" i="4" s="1"/>
  <c r="C265" i="4"/>
  <c r="O265" i="4" s="1"/>
  <c r="C264" i="4"/>
  <c r="O264" i="4" s="1"/>
  <c r="C263" i="4"/>
  <c r="O263" i="4" s="1"/>
  <c r="C262" i="4"/>
  <c r="O262" i="4" s="1"/>
  <c r="C261" i="4"/>
  <c r="O261" i="4" s="1"/>
  <c r="C260" i="4"/>
  <c r="O260" i="4" s="1"/>
  <c r="C259" i="4"/>
  <c r="O259" i="4" s="1"/>
  <c r="C258" i="4"/>
  <c r="O258" i="4" s="1"/>
  <c r="C257" i="4"/>
  <c r="O257" i="4" s="1"/>
  <c r="C256" i="4"/>
  <c r="O256" i="4" s="1"/>
  <c r="C255" i="4"/>
  <c r="O255" i="4" s="1"/>
  <c r="C254" i="4"/>
  <c r="O254" i="4" s="1"/>
  <c r="C253" i="4"/>
  <c r="O253" i="4" s="1"/>
  <c r="C252" i="4"/>
  <c r="O252" i="4" s="1"/>
  <c r="C251" i="4"/>
  <c r="O251" i="4" s="1"/>
  <c r="C250" i="4"/>
  <c r="O250" i="4" s="1"/>
  <c r="C249" i="4"/>
  <c r="O249" i="4" s="1"/>
  <c r="C248" i="4"/>
  <c r="O248" i="4" s="1"/>
  <c r="C247" i="4"/>
  <c r="O247" i="4" s="1"/>
  <c r="C246" i="4"/>
  <c r="O246" i="4" s="1"/>
  <c r="C245" i="4"/>
  <c r="O245" i="4" s="1"/>
  <c r="C244" i="4"/>
  <c r="O244" i="4" s="1"/>
  <c r="C243" i="4"/>
  <c r="O243" i="4" s="1"/>
  <c r="C242" i="4"/>
  <c r="O242" i="4" s="1"/>
  <c r="C241" i="4"/>
  <c r="O241" i="4" s="1"/>
  <c r="C240" i="4"/>
  <c r="O240" i="4" s="1"/>
  <c r="C239" i="4"/>
  <c r="O239" i="4" s="1"/>
  <c r="C238" i="4"/>
  <c r="O238" i="4" s="1"/>
  <c r="C237" i="4"/>
  <c r="O237" i="4" s="1"/>
  <c r="C236" i="4"/>
  <c r="O236" i="4" s="1"/>
  <c r="C235" i="4"/>
  <c r="O235" i="4" s="1"/>
  <c r="C234" i="4"/>
  <c r="O234" i="4" s="1"/>
  <c r="C233" i="4"/>
  <c r="O233" i="4" s="1"/>
  <c r="C232" i="4"/>
  <c r="O232" i="4" s="1"/>
  <c r="C231" i="4"/>
  <c r="O231" i="4" s="1"/>
  <c r="C230" i="4"/>
  <c r="O230" i="4" s="1"/>
  <c r="C229" i="4"/>
  <c r="O229" i="4" s="1"/>
  <c r="C228" i="4"/>
  <c r="O228" i="4" s="1"/>
  <c r="C227" i="4"/>
  <c r="O227" i="4" s="1"/>
  <c r="C226" i="4"/>
  <c r="O226" i="4" s="1"/>
  <c r="C225" i="4"/>
  <c r="O225" i="4" s="1"/>
  <c r="C224" i="4"/>
  <c r="O224" i="4" s="1"/>
  <c r="C223" i="4"/>
  <c r="O223" i="4" s="1"/>
  <c r="C222" i="4"/>
  <c r="O222" i="4" s="1"/>
  <c r="C221" i="4"/>
  <c r="O221" i="4" s="1"/>
  <c r="C220" i="4"/>
  <c r="O220" i="4" s="1"/>
  <c r="C219" i="4"/>
  <c r="O219" i="4" s="1"/>
  <c r="C218" i="4"/>
  <c r="O218" i="4" s="1"/>
  <c r="C217" i="4"/>
  <c r="O217" i="4" s="1"/>
  <c r="C216" i="4"/>
  <c r="O216" i="4" s="1"/>
  <c r="C215" i="4"/>
  <c r="O215" i="4" s="1"/>
  <c r="C214" i="4"/>
  <c r="O214" i="4" s="1"/>
  <c r="C213" i="4"/>
  <c r="O213" i="4" s="1"/>
  <c r="C212" i="4"/>
  <c r="O212" i="4" s="1"/>
  <c r="C211" i="4"/>
  <c r="O211" i="4" s="1"/>
  <c r="C210" i="4"/>
  <c r="O210" i="4" s="1"/>
  <c r="C209" i="4"/>
  <c r="O209" i="4" s="1"/>
  <c r="C208" i="4"/>
  <c r="O208" i="4" s="1"/>
  <c r="C207" i="4"/>
  <c r="O207" i="4" s="1"/>
  <c r="C206" i="4"/>
  <c r="O206" i="4" s="1"/>
  <c r="C205" i="4"/>
  <c r="O205" i="4" s="1"/>
  <c r="C204" i="4"/>
  <c r="O204" i="4" s="1"/>
  <c r="C203" i="4"/>
  <c r="O203" i="4" s="1"/>
  <c r="C202" i="4"/>
  <c r="O202" i="4" s="1"/>
  <c r="C201" i="4"/>
  <c r="O201" i="4" s="1"/>
  <c r="C200" i="4"/>
  <c r="O200" i="4" s="1"/>
  <c r="C199" i="4"/>
  <c r="O199" i="4" s="1"/>
  <c r="C198" i="4"/>
  <c r="O198" i="4" s="1"/>
  <c r="C197" i="4"/>
  <c r="O197" i="4" s="1"/>
  <c r="C196" i="4"/>
  <c r="O196" i="4" s="1"/>
  <c r="C195" i="4"/>
  <c r="O195" i="4" s="1"/>
  <c r="C194" i="4"/>
  <c r="O194" i="4" s="1"/>
  <c r="C193" i="4"/>
  <c r="O193" i="4" s="1"/>
  <c r="C192" i="4"/>
  <c r="O192" i="4" s="1"/>
  <c r="C191" i="4"/>
  <c r="O191" i="4" s="1"/>
  <c r="C190" i="4"/>
  <c r="O190" i="4" s="1"/>
  <c r="C189" i="4"/>
  <c r="O189" i="4" s="1"/>
  <c r="C188" i="4"/>
  <c r="O188" i="4" s="1"/>
  <c r="C187" i="4"/>
  <c r="O187" i="4" s="1"/>
  <c r="C186" i="4"/>
  <c r="O186" i="4" s="1"/>
  <c r="C185" i="4"/>
  <c r="O185" i="4" s="1"/>
  <c r="C184" i="4"/>
  <c r="O184" i="4" s="1"/>
  <c r="C183" i="4"/>
  <c r="O183" i="4" s="1"/>
  <c r="C182" i="4"/>
  <c r="O182" i="4" s="1"/>
  <c r="C181" i="4"/>
  <c r="O181" i="4" s="1"/>
  <c r="C180" i="4"/>
  <c r="O180" i="4" s="1"/>
  <c r="C179" i="4"/>
  <c r="O179" i="4" s="1"/>
  <c r="C178" i="4"/>
  <c r="O178" i="4" s="1"/>
  <c r="C177" i="4"/>
  <c r="O177" i="4" s="1"/>
  <c r="C176" i="4"/>
  <c r="O176" i="4" s="1"/>
  <c r="C175" i="4"/>
  <c r="O175" i="4" s="1"/>
  <c r="C174" i="4"/>
  <c r="O174" i="4" s="1"/>
  <c r="C173" i="4"/>
  <c r="O173" i="4" s="1"/>
  <c r="C172" i="4"/>
  <c r="O172" i="4" s="1"/>
  <c r="C171" i="4"/>
  <c r="O171" i="4" s="1"/>
  <c r="C170" i="4"/>
  <c r="O170" i="4" s="1"/>
  <c r="C169" i="4"/>
  <c r="O169" i="4" s="1"/>
  <c r="C168" i="4"/>
  <c r="O168" i="4" s="1"/>
  <c r="C167" i="4"/>
  <c r="O167" i="4" s="1"/>
  <c r="C166" i="4"/>
  <c r="O166" i="4" s="1"/>
  <c r="C165" i="4"/>
  <c r="O165" i="4" s="1"/>
  <c r="C164" i="4"/>
  <c r="O164" i="4" s="1"/>
  <c r="C163" i="4"/>
  <c r="O163" i="4" s="1"/>
  <c r="C162" i="4"/>
  <c r="O162" i="4" s="1"/>
  <c r="C161" i="4"/>
  <c r="O161" i="4" s="1"/>
  <c r="C160" i="4"/>
  <c r="O160" i="4" s="1"/>
  <c r="C159" i="4"/>
  <c r="O159" i="4" s="1"/>
  <c r="C158" i="4"/>
  <c r="O158" i="4" s="1"/>
  <c r="C157" i="4"/>
  <c r="O157" i="4" s="1"/>
  <c r="C156" i="4"/>
  <c r="O156" i="4" s="1"/>
  <c r="C155" i="4"/>
  <c r="O155" i="4" s="1"/>
  <c r="C154" i="4"/>
  <c r="O154" i="4" s="1"/>
  <c r="C153" i="4"/>
  <c r="O153" i="4" s="1"/>
  <c r="C152" i="4"/>
  <c r="O152" i="4" s="1"/>
  <c r="C151" i="4"/>
  <c r="O151" i="4" s="1"/>
  <c r="C150" i="4"/>
  <c r="O150" i="4" s="1"/>
  <c r="C149" i="4"/>
  <c r="O149" i="4" s="1"/>
  <c r="C148" i="4"/>
  <c r="O148" i="4" s="1"/>
  <c r="C147" i="4"/>
  <c r="O147" i="4" s="1"/>
  <c r="C146" i="4"/>
  <c r="O146" i="4" s="1"/>
  <c r="C145" i="4"/>
  <c r="O145" i="4" s="1"/>
  <c r="C144" i="4"/>
  <c r="O144" i="4" s="1"/>
  <c r="C143" i="4"/>
  <c r="O143" i="4" s="1"/>
  <c r="C142" i="4"/>
  <c r="O142" i="4" s="1"/>
  <c r="C141" i="4"/>
  <c r="O141" i="4" s="1"/>
  <c r="C140" i="4"/>
  <c r="O140" i="4" s="1"/>
  <c r="C139" i="4"/>
  <c r="O139" i="4" s="1"/>
  <c r="C138" i="4"/>
  <c r="O138" i="4" s="1"/>
  <c r="C137" i="4"/>
  <c r="O137" i="4" s="1"/>
  <c r="C136" i="4"/>
  <c r="O136" i="4" s="1"/>
  <c r="C135" i="4"/>
  <c r="O135" i="4" s="1"/>
  <c r="C134" i="4"/>
  <c r="O134" i="4" s="1"/>
  <c r="C133" i="4"/>
  <c r="O133" i="4" s="1"/>
  <c r="C132" i="4"/>
  <c r="O132" i="4" s="1"/>
  <c r="C131" i="4"/>
  <c r="O131" i="4" s="1"/>
  <c r="C130" i="4"/>
  <c r="O130" i="4" s="1"/>
  <c r="C129" i="4"/>
  <c r="O129" i="4" s="1"/>
  <c r="C128" i="4"/>
  <c r="O128" i="4" s="1"/>
  <c r="C127" i="4"/>
  <c r="O127" i="4" s="1"/>
  <c r="C126" i="4"/>
  <c r="O126" i="4" s="1"/>
  <c r="C125" i="4"/>
  <c r="O125" i="4" s="1"/>
  <c r="C124" i="4"/>
  <c r="O124" i="4" s="1"/>
  <c r="C123" i="4"/>
  <c r="O123" i="4" s="1"/>
  <c r="C122" i="4"/>
  <c r="O122" i="4" s="1"/>
  <c r="C121" i="4"/>
  <c r="O121" i="4" s="1"/>
  <c r="C120" i="4"/>
  <c r="O120" i="4" s="1"/>
  <c r="C119" i="4"/>
  <c r="O119" i="4" s="1"/>
  <c r="C118" i="4"/>
  <c r="O118" i="4" s="1"/>
  <c r="C117" i="4"/>
  <c r="O117" i="4" s="1"/>
  <c r="C116" i="4"/>
  <c r="O116" i="4" s="1"/>
  <c r="C115" i="4"/>
  <c r="O115" i="4" s="1"/>
  <c r="C114" i="4"/>
  <c r="O114" i="4" s="1"/>
  <c r="C113" i="4"/>
  <c r="O113" i="4" s="1"/>
  <c r="C112" i="4"/>
  <c r="O112" i="4" s="1"/>
  <c r="C111" i="4"/>
  <c r="O111" i="4" s="1"/>
  <c r="C110" i="4"/>
  <c r="O110" i="4" s="1"/>
  <c r="C109" i="4"/>
  <c r="O109" i="4" s="1"/>
  <c r="C108" i="4"/>
  <c r="O108" i="4" s="1"/>
  <c r="C107" i="4"/>
  <c r="O107" i="4" s="1"/>
  <c r="C106" i="4"/>
  <c r="O106" i="4" s="1"/>
  <c r="C105" i="4"/>
  <c r="O105" i="4" s="1"/>
  <c r="C104" i="4"/>
  <c r="O104" i="4" s="1"/>
  <c r="C103" i="4"/>
  <c r="O103" i="4" s="1"/>
  <c r="C102" i="4"/>
  <c r="O102" i="4" s="1"/>
  <c r="C101" i="4"/>
  <c r="O101" i="4" s="1"/>
  <c r="C100" i="4"/>
  <c r="O100" i="4" s="1"/>
  <c r="C99" i="4"/>
  <c r="O99" i="4" s="1"/>
  <c r="C98" i="4"/>
  <c r="O98" i="4" s="1"/>
  <c r="C97" i="4"/>
  <c r="O97" i="4" s="1"/>
  <c r="C96" i="4"/>
  <c r="O96" i="4" s="1"/>
  <c r="C95" i="4"/>
  <c r="O95" i="4" s="1"/>
  <c r="C94" i="4"/>
  <c r="O94" i="4" s="1"/>
  <c r="C93" i="4"/>
  <c r="O93" i="4" s="1"/>
  <c r="C92" i="4"/>
  <c r="O92" i="4" s="1"/>
  <c r="C91" i="4"/>
  <c r="O91" i="4" s="1"/>
  <c r="C90" i="4"/>
  <c r="O90" i="4" s="1"/>
  <c r="C89" i="4"/>
  <c r="O89" i="4" s="1"/>
  <c r="C88" i="4"/>
  <c r="O88" i="4" s="1"/>
  <c r="C87" i="4"/>
  <c r="O87" i="4" s="1"/>
  <c r="C86" i="4"/>
  <c r="O86" i="4" s="1"/>
  <c r="C85" i="4"/>
  <c r="O85" i="4" s="1"/>
  <c r="C84" i="4"/>
  <c r="O84" i="4" s="1"/>
  <c r="C83" i="4"/>
  <c r="O83" i="4" s="1"/>
  <c r="C82" i="4"/>
  <c r="O82" i="4" s="1"/>
  <c r="C81" i="4"/>
  <c r="O81" i="4" s="1"/>
  <c r="C80" i="4"/>
  <c r="O80" i="4" s="1"/>
  <c r="C79" i="4"/>
  <c r="O79" i="4" s="1"/>
  <c r="C78" i="4"/>
  <c r="O78" i="4" s="1"/>
  <c r="C77" i="4"/>
  <c r="O77" i="4" s="1"/>
  <c r="C76" i="4"/>
  <c r="O76" i="4" s="1"/>
  <c r="C75" i="4"/>
  <c r="O75" i="4" s="1"/>
  <c r="C74" i="4"/>
  <c r="O74" i="4" s="1"/>
  <c r="C73" i="4"/>
  <c r="O73" i="4" s="1"/>
  <c r="C72" i="4"/>
  <c r="O72" i="4" s="1"/>
  <c r="C71" i="4"/>
  <c r="O71" i="4" s="1"/>
  <c r="C70" i="4"/>
  <c r="O70" i="4" s="1"/>
  <c r="C69" i="4"/>
  <c r="O69" i="4" s="1"/>
  <c r="C68" i="4"/>
  <c r="O68" i="4" s="1"/>
  <c r="C67" i="4"/>
  <c r="O67" i="4" s="1"/>
  <c r="C66" i="4"/>
  <c r="O66" i="4" s="1"/>
  <c r="C65" i="4"/>
  <c r="O65" i="4" s="1"/>
  <c r="C64" i="4"/>
  <c r="O64" i="4" s="1"/>
  <c r="C63" i="4"/>
  <c r="O63" i="4" s="1"/>
  <c r="C62" i="4"/>
  <c r="O62" i="4" s="1"/>
  <c r="C61" i="4"/>
  <c r="O61" i="4" s="1"/>
  <c r="C60" i="4"/>
  <c r="O60" i="4" s="1"/>
  <c r="C59" i="4"/>
  <c r="O59" i="4" s="1"/>
  <c r="C58" i="4"/>
  <c r="O58" i="4" s="1"/>
  <c r="C57" i="4"/>
  <c r="O57" i="4" s="1"/>
  <c r="C56" i="4"/>
  <c r="O56" i="4" s="1"/>
  <c r="C55" i="4"/>
  <c r="O55" i="4" s="1"/>
  <c r="C54" i="4"/>
  <c r="O54" i="4" s="1"/>
  <c r="C53" i="4"/>
  <c r="O53" i="4" s="1"/>
  <c r="C52" i="4"/>
  <c r="O52" i="4" s="1"/>
  <c r="C51" i="4"/>
  <c r="O51" i="4" s="1"/>
  <c r="C50" i="4"/>
  <c r="O50" i="4" s="1"/>
  <c r="C49" i="4"/>
  <c r="O49" i="4" s="1"/>
  <c r="C48" i="4"/>
  <c r="O48" i="4" s="1"/>
  <c r="C47" i="4"/>
  <c r="O47" i="4" s="1"/>
  <c r="C46" i="4"/>
  <c r="O46" i="4" s="1"/>
  <c r="C45" i="4"/>
  <c r="O45" i="4" s="1"/>
  <c r="C44" i="4"/>
  <c r="O44" i="4" s="1"/>
  <c r="C43" i="4"/>
  <c r="O43" i="4" s="1"/>
  <c r="C42" i="4"/>
  <c r="O42" i="4" s="1"/>
  <c r="C41" i="4"/>
  <c r="O41" i="4" s="1"/>
  <c r="C40" i="4"/>
  <c r="O40" i="4" s="1"/>
  <c r="C39" i="4"/>
  <c r="O39" i="4" s="1"/>
  <c r="C38" i="4"/>
  <c r="O38" i="4" s="1"/>
  <c r="C37" i="4"/>
  <c r="O37" i="4" s="1"/>
  <c r="C36" i="4"/>
  <c r="O36" i="4" s="1"/>
  <c r="C35" i="4"/>
  <c r="O35" i="4" s="1"/>
  <c r="C34" i="4"/>
  <c r="O34" i="4" s="1"/>
  <c r="C33" i="4"/>
  <c r="O33" i="4" s="1"/>
  <c r="C32" i="4"/>
  <c r="O32" i="4" s="1"/>
  <c r="C31" i="4"/>
  <c r="O31" i="4" s="1"/>
  <c r="C30" i="4"/>
  <c r="O30" i="4" s="1"/>
  <c r="C29" i="4"/>
  <c r="O29" i="4" s="1"/>
  <c r="C28" i="4"/>
  <c r="O28" i="4" s="1"/>
  <c r="C27" i="4"/>
  <c r="O27" i="4" s="1"/>
  <c r="C26" i="4"/>
  <c r="O26" i="4" s="1"/>
  <c r="C25" i="4"/>
  <c r="O25" i="4" s="1"/>
  <c r="C24" i="4"/>
  <c r="O24" i="4" s="1"/>
  <c r="C23" i="4"/>
  <c r="O23" i="4" s="1"/>
  <c r="C22" i="4"/>
  <c r="O22" i="4" s="1"/>
  <c r="C21" i="4"/>
  <c r="O21" i="4" s="1"/>
  <c r="C20" i="4"/>
  <c r="O20" i="4" s="1"/>
  <c r="C19" i="4"/>
  <c r="O19" i="4" s="1"/>
  <c r="C18" i="4"/>
  <c r="O18" i="4" s="1"/>
  <c r="C17" i="4"/>
  <c r="O17" i="4" s="1"/>
  <c r="C16" i="4"/>
  <c r="O16" i="4" s="1"/>
  <c r="C15" i="4"/>
  <c r="O15" i="4" s="1"/>
  <c r="C14" i="4"/>
  <c r="O14" i="4" s="1"/>
  <c r="C13" i="4"/>
  <c r="O13" i="4" s="1"/>
  <c r="C12" i="4"/>
  <c r="O12" i="4" s="1"/>
  <c r="C11" i="4"/>
  <c r="O11" i="4" s="1"/>
  <c r="C10" i="4"/>
  <c r="O10" i="4" s="1"/>
  <c r="C9" i="4"/>
  <c r="O9" i="4" s="1"/>
  <c r="C8" i="4"/>
  <c r="O8" i="4" s="1"/>
  <c r="C7" i="4"/>
  <c r="O7" i="4" s="1"/>
  <c r="C6" i="4"/>
  <c r="O6" i="4" s="1"/>
  <c r="C5" i="4"/>
  <c r="O5" i="4" s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BF10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G5" i="8"/>
  <c r="L5" i="8" s="1"/>
  <c r="P5" i="8" s="1"/>
  <c r="R5" i="8" s="1"/>
  <c r="G6" i="8"/>
  <c r="L6" i="8" s="1"/>
  <c r="P6" i="8" s="1"/>
  <c r="R6" i="8" s="1"/>
  <c r="G7" i="8"/>
  <c r="L7" i="8" s="1"/>
  <c r="P7" i="8" s="1"/>
  <c r="R7" i="8" s="1"/>
  <c r="G8" i="8"/>
  <c r="K8" i="8" s="1"/>
  <c r="G9" i="8"/>
  <c r="K9" i="8" s="1"/>
  <c r="G10" i="8"/>
  <c r="K10" i="8" s="1"/>
  <c r="G11" i="8"/>
  <c r="K11" i="8" s="1"/>
  <c r="G12" i="8"/>
  <c r="K12" i="8" s="1"/>
  <c r="G13" i="8"/>
  <c r="L13" i="8" s="1"/>
  <c r="P13" i="8" s="1"/>
  <c r="R13" i="8" s="1"/>
  <c r="G14" i="8"/>
  <c r="L14" i="8" s="1"/>
  <c r="P14" i="8" s="1"/>
  <c r="R14" i="8" s="1"/>
  <c r="G15" i="8"/>
  <c r="L15" i="8" s="1"/>
  <c r="P15" i="8" s="1"/>
  <c r="R15" i="8" s="1"/>
  <c r="G16" i="8"/>
  <c r="K16" i="8" s="1"/>
  <c r="G17" i="8"/>
  <c r="K17" i="8" s="1"/>
  <c r="G18" i="8"/>
  <c r="K18" i="8" s="1"/>
  <c r="G19" i="8"/>
  <c r="K19" i="8" s="1"/>
  <c r="G20" i="8"/>
  <c r="K20" i="8" s="1"/>
  <c r="G21" i="8"/>
  <c r="L21" i="8" s="1"/>
  <c r="P21" i="8" s="1"/>
  <c r="R21" i="8" s="1"/>
  <c r="G22" i="8"/>
  <c r="L22" i="8" s="1"/>
  <c r="P22" i="8" s="1"/>
  <c r="R22" i="8" s="1"/>
  <c r="G23" i="8"/>
  <c r="L23" i="8" s="1"/>
  <c r="P23" i="8" s="1"/>
  <c r="R23" i="8" s="1"/>
  <c r="G24" i="8"/>
  <c r="K24" i="8" s="1"/>
  <c r="G25" i="8"/>
  <c r="K25" i="8" s="1"/>
  <c r="G26" i="8"/>
  <c r="K26" i="8" s="1"/>
  <c r="G27" i="8"/>
  <c r="K27" i="8" s="1"/>
  <c r="G28" i="8"/>
  <c r="K28" i="8" s="1"/>
  <c r="G29" i="8"/>
  <c r="L29" i="8" s="1"/>
  <c r="P29" i="8" s="1"/>
  <c r="R29" i="8" s="1"/>
  <c r="G30" i="8"/>
  <c r="L30" i="8" s="1"/>
  <c r="P30" i="8" s="1"/>
  <c r="R30" i="8" s="1"/>
  <c r="G31" i="8"/>
  <c r="L31" i="8" s="1"/>
  <c r="P31" i="8" s="1"/>
  <c r="R31" i="8" s="1"/>
  <c r="G32" i="8"/>
  <c r="K32" i="8" s="1"/>
  <c r="G33" i="8"/>
  <c r="K33" i="8" s="1"/>
  <c r="G34" i="8"/>
  <c r="K34" i="8" s="1"/>
  <c r="G35" i="8"/>
  <c r="K35" i="8" s="1"/>
  <c r="G36" i="8"/>
  <c r="K36" i="8" s="1"/>
  <c r="G37" i="8"/>
  <c r="L37" i="8" s="1"/>
  <c r="P37" i="8" s="1"/>
  <c r="R37" i="8" s="1"/>
  <c r="G38" i="8"/>
  <c r="L38" i="8" s="1"/>
  <c r="P38" i="8" s="1"/>
  <c r="R38" i="8" s="1"/>
  <c r="G39" i="8"/>
  <c r="L39" i="8" s="1"/>
  <c r="P39" i="8" s="1"/>
  <c r="R39" i="8" s="1"/>
  <c r="G40" i="8"/>
  <c r="K40" i="8" s="1"/>
  <c r="G41" i="8"/>
  <c r="K41" i="8" s="1"/>
  <c r="G42" i="8"/>
  <c r="K42" i="8" s="1"/>
  <c r="G43" i="8"/>
  <c r="K43" i="8" s="1"/>
  <c r="G44" i="8"/>
  <c r="K44" i="8" s="1"/>
  <c r="G45" i="8"/>
  <c r="L45" i="8" s="1"/>
  <c r="P45" i="8" s="1"/>
  <c r="R45" i="8" s="1"/>
  <c r="G46" i="8"/>
  <c r="L46" i="8" s="1"/>
  <c r="P46" i="8" s="1"/>
  <c r="R46" i="8" s="1"/>
  <c r="G47" i="8"/>
  <c r="L47" i="8" s="1"/>
  <c r="P47" i="8" s="1"/>
  <c r="R47" i="8" s="1"/>
  <c r="G48" i="8"/>
  <c r="K48" i="8" s="1"/>
  <c r="G49" i="8"/>
  <c r="K49" i="8" s="1"/>
  <c r="G50" i="8"/>
  <c r="K50" i="8" s="1"/>
  <c r="G51" i="8"/>
  <c r="K51" i="8" s="1"/>
  <c r="G52" i="8"/>
  <c r="K52" i="8" s="1"/>
  <c r="G53" i="8"/>
  <c r="L53" i="8" s="1"/>
  <c r="P53" i="8" s="1"/>
  <c r="R53" i="8" s="1"/>
  <c r="G54" i="8"/>
  <c r="L54" i="8" s="1"/>
  <c r="P54" i="8" s="1"/>
  <c r="R54" i="8" s="1"/>
  <c r="G55" i="8"/>
  <c r="L55" i="8" s="1"/>
  <c r="P55" i="8" s="1"/>
  <c r="R55" i="8" s="1"/>
  <c r="G56" i="8"/>
  <c r="K56" i="8" s="1"/>
  <c r="G57" i="8"/>
  <c r="K57" i="8" s="1"/>
  <c r="G58" i="8"/>
  <c r="K58" i="8" s="1"/>
  <c r="G59" i="8"/>
  <c r="K59" i="8" s="1"/>
  <c r="G60" i="8"/>
  <c r="K60" i="8" s="1"/>
  <c r="G61" i="8"/>
  <c r="L61" i="8" s="1"/>
  <c r="P61" i="8" s="1"/>
  <c r="R61" i="8" s="1"/>
  <c r="G62" i="8"/>
  <c r="L62" i="8" s="1"/>
  <c r="P62" i="8" s="1"/>
  <c r="R62" i="8" s="1"/>
  <c r="G63" i="8"/>
  <c r="L63" i="8" s="1"/>
  <c r="P63" i="8" s="1"/>
  <c r="R63" i="8" s="1"/>
  <c r="G64" i="8"/>
  <c r="K64" i="8" s="1"/>
  <c r="G65" i="8"/>
  <c r="K65" i="8" s="1"/>
  <c r="G66" i="8"/>
  <c r="K66" i="8" s="1"/>
  <c r="G67" i="8"/>
  <c r="K67" i="8" s="1"/>
  <c r="G68" i="8"/>
  <c r="K68" i="8" s="1"/>
  <c r="G69" i="8"/>
  <c r="L69" i="8" s="1"/>
  <c r="P69" i="8" s="1"/>
  <c r="R69" i="8" s="1"/>
  <c r="G70" i="8"/>
  <c r="L70" i="8" s="1"/>
  <c r="P70" i="8" s="1"/>
  <c r="R70" i="8" s="1"/>
  <c r="G71" i="8"/>
  <c r="L71" i="8" s="1"/>
  <c r="P71" i="8" s="1"/>
  <c r="R71" i="8" s="1"/>
  <c r="G72" i="8"/>
  <c r="K72" i="8" s="1"/>
  <c r="G73" i="8"/>
  <c r="K73" i="8" s="1"/>
  <c r="G74" i="8"/>
  <c r="K74" i="8" s="1"/>
  <c r="G75" i="8"/>
  <c r="K75" i="8" s="1"/>
  <c r="G76" i="8"/>
  <c r="K76" i="8" s="1"/>
  <c r="G77" i="8"/>
  <c r="L77" i="8" s="1"/>
  <c r="P77" i="8" s="1"/>
  <c r="R77" i="8" s="1"/>
  <c r="G78" i="8"/>
  <c r="L78" i="8" s="1"/>
  <c r="P78" i="8" s="1"/>
  <c r="R78" i="8" s="1"/>
  <c r="G79" i="8"/>
  <c r="L79" i="8" s="1"/>
  <c r="P79" i="8" s="1"/>
  <c r="R79" i="8" s="1"/>
  <c r="G80" i="8"/>
  <c r="K80" i="8" s="1"/>
  <c r="G81" i="8"/>
  <c r="K81" i="8" s="1"/>
  <c r="G82" i="8"/>
  <c r="K82" i="8" s="1"/>
  <c r="G83" i="8"/>
  <c r="K83" i="8" s="1"/>
  <c r="G84" i="8"/>
  <c r="K84" i="8" s="1"/>
  <c r="G85" i="8"/>
  <c r="L85" i="8" s="1"/>
  <c r="P85" i="8" s="1"/>
  <c r="R85" i="8" s="1"/>
  <c r="G86" i="8"/>
  <c r="L86" i="8" s="1"/>
  <c r="P86" i="8" s="1"/>
  <c r="R86" i="8" s="1"/>
  <c r="G87" i="8"/>
  <c r="L87" i="8" s="1"/>
  <c r="P87" i="8" s="1"/>
  <c r="R87" i="8" s="1"/>
  <c r="G88" i="8"/>
  <c r="L88" i="8" s="1"/>
  <c r="P88" i="8" s="1"/>
  <c r="R88" i="8" s="1"/>
  <c r="G89" i="8"/>
  <c r="K89" i="8" s="1"/>
  <c r="G90" i="8"/>
  <c r="K90" i="8" s="1"/>
  <c r="G91" i="8"/>
  <c r="K91" i="8" s="1"/>
  <c r="G92" i="8"/>
  <c r="K92" i="8" s="1"/>
  <c r="G93" i="8"/>
  <c r="L93" i="8" s="1"/>
  <c r="P93" i="8" s="1"/>
  <c r="R93" i="8" s="1"/>
  <c r="G94" i="8"/>
  <c r="L94" i="8" s="1"/>
  <c r="P94" i="8" s="1"/>
  <c r="R94" i="8" s="1"/>
  <c r="G95" i="8"/>
  <c r="L95" i="8" s="1"/>
  <c r="P95" i="8" s="1"/>
  <c r="R95" i="8" s="1"/>
  <c r="G96" i="8"/>
  <c r="L96" i="8" s="1"/>
  <c r="P96" i="8" s="1"/>
  <c r="R96" i="8" s="1"/>
  <c r="G97" i="8"/>
  <c r="K97" i="8" s="1"/>
  <c r="G98" i="8"/>
  <c r="K98" i="8" s="1"/>
  <c r="G99" i="8"/>
  <c r="K99" i="8" s="1"/>
  <c r="G100" i="8"/>
  <c r="K100" i="8" s="1"/>
  <c r="G101" i="8"/>
  <c r="L101" i="8" s="1"/>
  <c r="P101" i="8" s="1"/>
  <c r="R101" i="8" s="1"/>
  <c r="G102" i="8"/>
  <c r="L102" i="8" s="1"/>
  <c r="P102" i="8" s="1"/>
  <c r="R102" i="8" s="1"/>
  <c r="G103" i="8"/>
  <c r="L103" i="8" s="1"/>
  <c r="P103" i="8" s="1"/>
  <c r="R103" i="8" s="1"/>
  <c r="G104" i="8"/>
  <c r="L104" i="8" s="1"/>
  <c r="P104" i="8" s="1"/>
  <c r="R104" i="8" s="1"/>
  <c r="G105" i="8"/>
  <c r="K105" i="8" s="1"/>
  <c r="G106" i="8"/>
  <c r="K106" i="8" s="1"/>
  <c r="G107" i="8"/>
  <c r="K107" i="8" s="1"/>
  <c r="G108" i="8"/>
  <c r="K108" i="8" s="1"/>
  <c r="G109" i="8"/>
  <c r="L109" i="8" s="1"/>
  <c r="P109" i="8" s="1"/>
  <c r="R109" i="8" s="1"/>
  <c r="G110" i="8"/>
  <c r="L110" i="8" s="1"/>
  <c r="P110" i="8" s="1"/>
  <c r="R110" i="8" s="1"/>
  <c r="G111" i="8"/>
  <c r="L111" i="8" s="1"/>
  <c r="P111" i="8" s="1"/>
  <c r="R111" i="8" s="1"/>
  <c r="G112" i="8"/>
  <c r="L112" i="8" s="1"/>
  <c r="P112" i="8" s="1"/>
  <c r="R112" i="8" s="1"/>
  <c r="Y15" i="4" l="1"/>
  <c r="Z11" i="4"/>
  <c r="R9" i="4"/>
  <c r="AC12" i="4"/>
  <c r="U9" i="4"/>
  <c r="V14" i="4"/>
  <c r="V18" i="4"/>
  <c r="R13" i="4"/>
  <c r="V10" i="4"/>
  <c r="V16" i="4"/>
  <c r="V12" i="4"/>
  <c r="AC10" i="4"/>
  <c r="R11" i="4"/>
  <c r="AC16" i="4"/>
  <c r="Y17" i="4"/>
  <c r="R15" i="4"/>
  <c r="Y9" i="4"/>
  <c r="AC14" i="4"/>
  <c r="Y13" i="4"/>
  <c r="Z15" i="4"/>
  <c r="Y11" i="4"/>
  <c r="AC18" i="4"/>
  <c r="R17" i="4"/>
  <c r="Z17" i="4"/>
  <c r="S9" i="4"/>
  <c r="AA9" i="4"/>
  <c r="W10" i="4"/>
  <c r="S11" i="4"/>
  <c r="AA11" i="4"/>
  <c r="W12" i="4"/>
  <c r="S13" i="4"/>
  <c r="AA13" i="4"/>
  <c r="W14" i="4"/>
  <c r="S15" i="4"/>
  <c r="AA15" i="4"/>
  <c r="W16" i="4"/>
  <c r="S17" i="4"/>
  <c r="AA17" i="4"/>
  <c r="W18" i="4"/>
  <c r="T9" i="4"/>
  <c r="AB9" i="4"/>
  <c r="X10" i="4"/>
  <c r="T11" i="4"/>
  <c r="AB11" i="4"/>
  <c r="X12" i="4"/>
  <c r="T13" i="4"/>
  <c r="AB13" i="4"/>
  <c r="X14" i="4"/>
  <c r="T15" i="4"/>
  <c r="AB15" i="4"/>
  <c r="X16" i="4"/>
  <c r="T17" i="4"/>
  <c r="AB17" i="4"/>
  <c r="X18" i="4"/>
  <c r="Z9" i="4"/>
  <c r="Z13" i="4"/>
  <c r="AC9" i="4"/>
  <c r="Y10" i="4"/>
  <c r="U11" i="4"/>
  <c r="AC11" i="4"/>
  <c r="Y12" i="4"/>
  <c r="U13" i="4"/>
  <c r="AC13" i="4"/>
  <c r="Y14" i="4"/>
  <c r="U15" i="4"/>
  <c r="AC15" i="4"/>
  <c r="Y16" i="4"/>
  <c r="U17" i="4"/>
  <c r="AC17" i="4"/>
  <c r="Y18" i="4"/>
  <c r="V9" i="4"/>
  <c r="R10" i="4"/>
  <c r="Z10" i="4"/>
  <c r="V11" i="4"/>
  <c r="R12" i="4"/>
  <c r="Z12" i="4"/>
  <c r="V13" i="4"/>
  <c r="R14" i="4"/>
  <c r="Z14" i="4"/>
  <c r="V15" i="4"/>
  <c r="R16" i="4"/>
  <c r="Z16" i="4"/>
  <c r="V17" i="4"/>
  <c r="R18" i="4"/>
  <c r="Z18" i="4"/>
  <c r="W9" i="4"/>
  <c r="S10" i="4"/>
  <c r="AA10" i="4"/>
  <c r="W11" i="4"/>
  <c r="S12" i="4"/>
  <c r="AA12" i="4"/>
  <c r="W13" i="4"/>
  <c r="S14" i="4"/>
  <c r="AA14" i="4"/>
  <c r="W15" i="4"/>
  <c r="S16" i="4"/>
  <c r="AA16" i="4"/>
  <c r="W17" i="4"/>
  <c r="S18" i="4"/>
  <c r="AA18" i="4"/>
  <c r="X9" i="4"/>
  <c r="T10" i="4"/>
  <c r="AB10" i="4"/>
  <c r="X11" i="4"/>
  <c r="T12" i="4"/>
  <c r="AB12" i="4"/>
  <c r="X13" i="4"/>
  <c r="T14" i="4"/>
  <c r="AB14" i="4"/>
  <c r="X15" i="4"/>
  <c r="T16" i="4"/>
  <c r="AB16" i="4"/>
  <c r="X17" i="4"/>
  <c r="T18" i="4"/>
  <c r="AB18" i="4"/>
  <c r="U10" i="4"/>
  <c r="U12" i="4"/>
  <c r="U14" i="4"/>
  <c r="U16" i="4"/>
  <c r="U18" i="4"/>
  <c r="AB11" i="8"/>
  <c r="AB26" i="8" s="1"/>
  <c r="AB40" i="8" s="1"/>
  <c r="U11" i="8"/>
  <c r="U26" i="8" s="1"/>
  <c r="U40" i="8" s="1"/>
  <c r="AC11" i="8"/>
  <c r="AC26" i="8" s="1"/>
  <c r="AC40" i="8" s="1"/>
  <c r="V11" i="8"/>
  <c r="V26" i="8" s="1"/>
  <c r="V40" i="8" s="1"/>
  <c r="AD11" i="8"/>
  <c r="AD26" i="8" s="1"/>
  <c r="AD40" i="8" s="1"/>
  <c r="W11" i="8"/>
  <c r="W26" i="8" s="1"/>
  <c r="W40" i="8" s="1"/>
  <c r="AE11" i="8"/>
  <c r="AE26" i="8" s="1"/>
  <c r="AE40" i="8" s="1"/>
  <c r="AA11" i="8"/>
  <c r="AA26" i="8" s="1"/>
  <c r="AA40" i="8" s="1"/>
  <c r="X11" i="8"/>
  <c r="X26" i="8" s="1"/>
  <c r="X40" i="8" s="1"/>
  <c r="AF11" i="8"/>
  <c r="AF26" i="8" s="1"/>
  <c r="AF40" i="8" s="1"/>
  <c r="Y11" i="8"/>
  <c r="Y26" i="8" s="1"/>
  <c r="Y40" i="8" s="1"/>
  <c r="Z11" i="8"/>
  <c r="Z26" i="8" s="1"/>
  <c r="Z40" i="8" s="1"/>
  <c r="L56" i="8"/>
  <c r="P56" i="8" s="1"/>
  <c r="R56" i="8" s="1"/>
  <c r="L64" i="8"/>
  <c r="P64" i="8" s="1"/>
  <c r="R64" i="8" s="1"/>
  <c r="L48" i="8"/>
  <c r="P48" i="8" s="1"/>
  <c r="R48" i="8" s="1"/>
  <c r="L40" i="8"/>
  <c r="P40" i="8" s="1"/>
  <c r="R40" i="8" s="1"/>
  <c r="L32" i="8"/>
  <c r="P32" i="8" s="1"/>
  <c r="R32" i="8" s="1"/>
  <c r="L24" i="8"/>
  <c r="P24" i="8" s="1"/>
  <c r="R24" i="8" s="1"/>
  <c r="L80" i="8"/>
  <c r="P80" i="8" s="1"/>
  <c r="R80" i="8" s="1"/>
  <c r="L16" i="8"/>
  <c r="P16" i="8" s="1"/>
  <c r="R16" i="8" s="1"/>
  <c r="L72" i="8"/>
  <c r="P72" i="8" s="1"/>
  <c r="R72" i="8" s="1"/>
  <c r="L8" i="8"/>
  <c r="P8" i="8" s="1"/>
  <c r="R8" i="8" s="1"/>
  <c r="K112" i="8"/>
  <c r="AF7" i="8" s="1"/>
  <c r="AF22" i="8" s="1"/>
  <c r="AF36" i="8" s="1"/>
  <c r="K104" i="8"/>
  <c r="K96" i="8"/>
  <c r="K88" i="8"/>
  <c r="L108" i="8"/>
  <c r="P108" i="8" s="1"/>
  <c r="R108" i="8" s="1"/>
  <c r="L100" i="8"/>
  <c r="P100" i="8" s="1"/>
  <c r="R100" i="8" s="1"/>
  <c r="L92" i="8"/>
  <c r="P92" i="8" s="1"/>
  <c r="R92" i="8" s="1"/>
  <c r="L84" i="8"/>
  <c r="P84" i="8" s="1"/>
  <c r="R84" i="8" s="1"/>
  <c r="L76" i="8"/>
  <c r="P76" i="8" s="1"/>
  <c r="R76" i="8" s="1"/>
  <c r="L68" i="8"/>
  <c r="P68" i="8" s="1"/>
  <c r="R68" i="8" s="1"/>
  <c r="L60" i="8"/>
  <c r="P60" i="8" s="1"/>
  <c r="R60" i="8" s="1"/>
  <c r="L52" i="8"/>
  <c r="P52" i="8" s="1"/>
  <c r="R52" i="8" s="1"/>
  <c r="L44" i="8"/>
  <c r="P44" i="8" s="1"/>
  <c r="R44" i="8" s="1"/>
  <c r="L36" i="8"/>
  <c r="P36" i="8" s="1"/>
  <c r="R36" i="8" s="1"/>
  <c r="L28" i="8"/>
  <c r="P28" i="8" s="1"/>
  <c r="R28" i="8" s="1"/>
  <c r="L20" i="8"/>
  <c r="P20" i="8" s="1"/>
  <c r="R20" i="8" s="1"/>
  <c r="L12" i="8"/>
  <c r="P12" i="8" s="1"/>
  <c r="R12" i="8" s="1"/>
  <c r="K111" i="8"/>
  <c r="K103" i="8"/>
  <c r="K95" i="8"/>
  <c r="K87" i="8"/>
  <c r="K79" i="8"/>
  <c r="K71" i="8"/>
  <c r="K63" i="8"/>
  <c r="K55" i="8"/>
  <c r="K47" i="8"/>
  <c r="K39" i="8"/>
  <c r="K31" i="8"/>
  <c r="K23" i="8"/>
  <c r="K15" i="8"/>
  <c r="K7" i="8"/>
  <c r="L107" i="8"/>
  <c r="P107" i="8" s="1"/>
  <c r="R107" i="8" s="1"/>
  <c r="L99" i="8"/>
  <c r="P99" i="8" s="1"/>
  <c r="R99" i="8" s="1"/>
  <c r="L91" i="8"/>
  <c r="P91" i="8" s="1"/>
  <c r="R91" i="8" s="1"/>
  <c r="L83" i="8"/>
  <c r="P83" i="8" s="1"/>
  <c r="R83" i="8" s="1"/>
  <c r="L75" i="8"/>
  <c r="P75" i="8" s="1"/>
  <c r="R75" i="8" s="1"/>
  <c r="L67" i="8"/>
  <c r="P67" i="8" s="1"/>
  <c r="R67" i="8" s="1"/>
  <c r="L59" i="8"/>
  <c r="P59" i="8" s="1"/>
  <c r="R59" i="8" s="1"/>
  <c r="L51" i="8"/>
  <c r="P51" i="8" s="1"/>
  <c r="R51" i="8" s="1"/>
  <c r="L43" i="8"/>
  <c r="P43" i="8" s="1"/>
  <c r="R43" i="8" s="1"/>
  <c r="L35" i="8"/>
  <c r="P35" i="8" s="1"/>
  <c r="R35" i="8" s="1"/>
  <c r="L27" i="8"/>
  <c r="P27" i="8" s="1"/>
  <c r="R27" i="8" s="1"/>
  <c r="L19" i="8"/>
  <c r="P19" i="8" s="1"/>
  <c r="R19" i="8" s="1"/>
  <c r="L11" i="8"/>
  <c r="P11" i="8" s="1"/>
  <c r="R11" i="8" s="1"/>
  <c r="K110" i="8"/>
  <c r="K102" i="8"/>
  <c r="K94" i="8"/>
  <c r="K86" i="8"/>
  <c r="K78" i="8"/>
  <c r="K70" i="8"/>
  <c r="K62" i="8"/>
  <c r="K54" i="8"/>
  <c r="K46" i="8"/>
  <c r="K38" i="8"/>
  <c r="K30" i="8"/>
  <c r="K22" i="8"/>
  <c r="K14" i="8"/>
  <c r="K6" i="8"/>
  <c r="L106" i="8"/>
  <c r="P106" i="8" s="1"/>
  <c r="R106" i="8" s="1"/>
  <c r="L98" i="8"/>
  <c r="P98" i="8" s="1"/>
  <c r="R98" i="8" s="1"/>
  <c r="L90" i="8"/>
  <c r="P90" i="8" s="1"/>
  <c r="R90" i="8" s="1"/>
  <c r="L82" i="8"/>
  <c r="P82" i="8" s="1"/>
  <c r="R82" i="8" s="1"/>
  <c r="L74" i="8"/>
  <c r="P74" i="8" s="1"/>
  <c r="R74" i="8" s="1"/>
  <c r="L66" i="8"/>
  <c r="P66" i="8" s="1"/>
  <c r="R66" i="8" s="1"/>
  <c r="L58" i="8"/>
  <c r="P58" i="8" s="1"/>
  <c r="R58" i="8" s="1"/>
  <c r="L50" i="8"/>
  <c r="P50" i="8" s="1"/>
  <c r="R50" i="8" s="1"/>
  <c r="L42" i="8"/>
  <c r="P42" i="8" s="1"/>
  <c r="R42" i="8" s="1"/>
  <c r="L34" i="8"/>
  <c r="P34" i="8" s="1"/>
  <c r="R34" i="8" s="1"/>
  <c r="L26" i="8"/>
  <c r="P26" i="8" s="1"/>
  <c r="R26" i="8" s="1"/>
  <c r="L18" i="8"/>
  <c r="P18" i="8" s="1"/>
  <c r="R18" i="8" s="1"/>
  <c r="L10" i="8"/>
  <c r="P10" i="8" s="1"/>
  <c r="R10" i="8" s="1"/>
  <c r="K109" i="8"/>
  <c r="K101" i="8"/>
  <c r="K93" i="8"/>
  <c r="K85" i="8"/>
  <c r="K77" i="8"/>
  <c r="K69" i="8"/>
  <c r="K61" i="8"/>
  <c r="K53" i="8"/>
  <c r="K45" i="8"/>
  <c r="K37" i="8"/>
  <c r="K29" i="8"/>
  <c r="K21" i="8"/>
  <c r="K13" i="8"/>
  <c r="K5" i="8"/>
  <c r="L105" i="8"/>
  <c r="P105" i="8" s="1"/>
  <c r="R105" i="8" s="1"/>
  <c r="L97" i="8"/>
  <c r="P97" i="8" s="1"/>
  <c r="R97" i="8" s="1"/>
  <c r="L89" i="8"/>
  <c r="P89" i="8" s="1"/>
  <c r="R89" i="8" s="1"/>
  <c r="L81" i="8"/>
  <c r="P81" i="8" s="1"/>
  <c r="R81" i="8" s="1"/>
  <c r="L73" i="8"/>
  <c r="P73" i="8" s="1"/>
  <c r="R73" i="8" s="1"/>
  <c r="L65" i="8"/>
  <c r="P65" i="8" s="1"/>
  <c r="R65" i="8" s="1"/>
  <c r="L57" i="8"/>
  <c r="P57" i="8" s="1"/>
  <c r="R57" i="8" s="1"/>
  <c r="L49" i="8"/>
  <c r="P49" i="8" s="1"/>
  <c r="R49" i="8" s="1"/>
  <c r="L41" i="8"/>
  <c r="P41" i="8" s="1"/>
  <c r="R41" i="8" s="1"/>
  <c r="L33" i="8"/>
  <c r="P33" i="8" s="1"/>
  <c r="R33" i="8" s="1"/>
  <c r="L25" i="8"/>
  <c r="P25" i="8" s="1"/>
  <c r="R25" i="8" s="1"/>
  <c r="L17" i="8"/>
  <c r="P17" i="8" s="1"/>
  <c r="R17" i="8" s="1"/>
  <c r="L9" i="8"/>
  <c r="P9" i="8" s="1"/>
  <c r="R9" i="8" s="1"/>
  <c r="U6" i="8" l="1"/>
  <c r="U7" i="8"/>
  <c r="U22" i="8" s="1"/>
  <c r="U36" i="8" s="1"/>
  <c r="AD8" i="8"/>
  <c r="AC7" i="8"/>
  <c r="AC22" i="8" s="1"/>
  <c r="AC36" i="8" s="1"/>
  <c r="V8" i="8"/>
  <c r="V23" i="8" s="1"/>
  <c r="V37" i="8" s="1"/>
  <c r="AC6" i="8"/>
  <c r="AC21" i="8" s="1"/>
  <c r="AC35" i="8" s="1"/>
  <c r="Z9" i="8"/>
  <c r="Z24" i="8" s="1"/>
  <c r="Z38" i="8" s="1"/>
  <c r="AA9" i="8"/>
  <c r="AA24" i="8" s="1"/>
  <c r="AA38" i="8" s="1"/>
  <c r="Y9" i="8"/>
  <c r="Y24" i="8" s="1"/>
  <c r="Y38" i="8" s="1"/>
  <c r="AF9" i="8"/>
  <c r="AF24" i="8" s="1"/>
  <c r="AF38" i="8" s="1"/>
  <c r="X9" i="8"/>
  <c r="X24" i="8" s="1"/>
  <c r="X38" i="8" s="1"/>
  <c r="AE9" i="8"/>
  <c r="AE24" i="8" s="1"/>
  <c r="AE38" i="8" s="1"/>
  <c r="W9" i="8"/>
  <c r="W24" i="8" s="1"/>
  <c r="W38" i="8" s="1"/>
  <c r="AD9" i="8"/>
  <c r="AD24" i="8" s="1"/>
  <c r="AD38" i="8" s="1"/>
  <c r="V9" i="8"/>
  <c r="V24" i="8" s="1"/>
  <c r="V38" i="8" s="1"/>
  <c r="AC9" i="8"/>
  <c r="AC24" i="8" s="1"/>
  <c r="AC38" i="8" s="1"/>
  <c r="U9" i="8"/>
  <c r="AB9" i="8"/>
  <c r="AB24" i="8" s="1"/>
  <c r="AB38" i="8" s="1"/>
  <c r="Z13" i="8"/>
  <c r="Z28" i="8" s="1"/>
  <c r="Z42" i="8" s="1"/>
  <c r="Y13" i="8"/>
  <c r="Y28" i="8" s="1"/>
  <c r="Y42" i="8" s="1"/>
  <c r="AF13" i="8"/>
  <c r="AF28" i="8" s="1"/>
  <c r="AF42" i="8" s="1"/>
  <c r="X13" i="8"/>
  <c r="X28" i="8" s="1"/>
  <c r="X42" i="8" s="1"/>
  <c r="AE13" i="8"/>
  <c r="AE28" i="8" s="1"/>
  <c r="AE42" i="8" s="1"/>
  <c r="W13" i="8"/>
  <c r="W28" i="8" s="1"/>
  <c r="W42" i="8" s="1"/>
  <c r="AD13" i="8"/>
  <c r="AD28" i="8" s="1"/>
  <c r="AD42" i="8" s="1"/>
  <c r="V13" i="8"/>
  <c r="V28" i="8" s="1"/>
  <c r="V42" i="8" s="1"/>
  <c r="AA13" i="8"/>
  <c r="AA28" i="8" s="1"/>
  <c r="AA42" i="8" s="1"/>
  <c r="AC13" i="8"/>
  <c r="AC28" i="8" s="1"/>
  <c r="AC42" i="8" s="1"/>
  <c r="U13" i="8"/>
  <c r="AB13" i="8"/>
  <c r="AB28" i="8" s="1"/>
  <c r="AB42" i="8" s="1"/>
  <c r="AG40" i="8"/>
  <c r="W8" i="8"/>
  <c r="W23" i="8" s="1"/>
  <c r="W37" i="8" s="1"/>
  <c r="AA8" i="8"/>
  <c r="AA23" i="8" s="1"/>
  <c r="AA37" i="8" s="1"/>
  <c r="U8" i="8"/>
  <c r="U23" i="8" s="1"/>
  <c r="U37" i="8" s="1"/>
  <c r="W7" i="8"/>
  <c r="W22" i="8" s="1"/>
  <c r="W36" i="8" s="1"/>
  <c r="Z7" i="8"/>
  <c r="Z22" i="8" s="1"/>
  <c r="Z36" i="8" s="1"/>
  <c r="W6" i="8"/>
  <c r="W21" i="8" s="1"/>
  <c r="W35" i="8" s="1"/>
  <c r="Y6" i="8"/>
  <c r="Y21" i="8" s="1"/>
  <c r="Y35" i="8" s="1"/>
  <c r="V6" i="8"/>
  <c r="AE8" i="8"/>
  <c r="AE23" i="8" s="1"/>
  <c r="AE37" i="8" s="1"/>
  <c r="AC8" i="8"/>
  <c r="AC23" i="8" s="1"/>
  <c r="AC37" i="8" s="1"/>
  <c r="AE7" i="8"/>
  <c r="AE22" i="8" s="1"/>
  <c r="AE36" i="8" s="1"/>
  <c r="AF8" i="8"/>
  <c r="AF23" i="8" s="1"/>
  <c r="AF37" i="8" s="1"/>
  <c r="AG26" i="8"/>
  <c r="AB6" i="8"/>
  <c r="AB21" i="8" s="1"/>
  <c r="AB35" i="8" s="1"/>
  <c r="AD6" i="8"/>
  <c r="AD21" i="8" s="1"/>
  <c r="AD35" i="8" s="1"/>
  <c r="AB7" i="8"/>
  <c r="AB22" i="8" s="1"/>
  <c r="AB36" i="8" s="1"/>
  <c r="AG11" i="8"/>
  <c r="X6" i="8"/>
  <c r="X21" i="8" s="1"/>
  <c r="X35" i="8" s="1"/>
  <c r="Y8" i="8"/>
  <c r="Y23" i="8" s="1"/>
  <c r="Z8" i="8"/>
  <c r="Z23" i="8" s="1"/>
  <c r="Z37" i="8" s="1"/>
  <c r="Y7" i="8"/>
  <c r="Y22" i="8" s="1"/>
  <c r="Y36" i="8" s="1"/>
  <c r="AE6" i="8"/>
  <c r="AE21" i="8" s="1"/>
  <c r="AE35" i="8" s="1"/>
  <c r="AD10" i="8"/>
  <c r="AD25" i="8" s="1"/>
  <c r="AD39" i="8" s="1"/>
  <c r="V10" i="8"/>
  <c r="V25" i="8" s="1"/>
  <c r="V39" i="8" s="1"/>
  <c r="AC10" i="8"/>
  <c r="AC25" i="8" s="1"/>
  <c r="AC39" i="8" s="1"/>
  <c r="U10" i="8"/>
  <c r="U25" i="8" s="1"/>
  <c r="U39" i="8" s="1"/>
  <c r="W10" i="8"/>
  <c r="W25" i="8" s="1"/>
  <c r="W39" i="8" s="1"/>
  <c r="AB10" i="8"/>
  <c r="AB25" i="8" s="1"/>
  <c r="AB39" i="8" s="1"/>
  <c r="AA10" i="8"/>
  <c r="AA25" i="8" s="1"/>
  <c r="AA39" i="8" s="1"/>
  <c r="Z10" i="8"/>
  <c r="Z25" i="8" s="1"/>
  <c r="Z39" i="8" s="1"/>
  <c r="Y10" i="8"/>
  <c r="Y25" i="8" s="1"/>
  <c r="Y39" i="8" s="1"/>
  <c r="AF10" i="8"/>
  <c r="AF25" i="8" s="1"/>
  <c r="AF39" i="8" s="1"/>
  <c r="X10" i="8"/>
  <c r="X25" i="8" s="1"/>
  <c r="X39" i="8" s="1"/>
  <c r="AE10" i="8"/>
  <c r="AE25" i="8" s="1"/>
  <c r="AE39" i="8" s="1"/>
  <c r="Z5" i="8"/>
  <c r="Z20" i="8" s="1"/>
  <c r="Z34" i="8" s="1"/>
  <c r="Y5" i="8"/>
  <c r="Y20" i="8" s="1"/>
  <c r="Y34" i="8" s="1"/>
  <c r="AF5" i="8"/>
  <c r="AF20" i="8" s="1"/>
  <c r="AF34" i="8" s="1"/>
  <c r="X5" i="8"/>
  <c r="X20" i="8" s="1"/>
  <c r="X34" i="8" s="1"/>
  <c r="AE5" i="8"/>
  <c r="AE20" i="8" s="1"/>
  <c r="AE34" i="8" s="1"/>
  <c r="W5" i="8"/>
  <c r="W20" i="8" s="1"/>
  <c r="W34" i="8" s="1"/>
  <c r="AD5" i="8"/>
  <c r="AD20" i="8" s="1"/>
  <c r="AD34" i="8" s="1"/>
  <c r="V5" i="8"/>
  <c r="V20" i="8" s="1"/>
  <c r="V34" i="8" s="1"/>
  <c r="AA5" i="8"/>
  <c r="AA20" i="8" s="1"/>
  <c r="AA34" i="8" s="1"/>
  <c r="AC5" i="8"/>
  <c r="AC20" i="8" s="1"/>
  <c r="AC34" i="8" s="1"/>
  <c r="U5" i="8"/>
  <c r="U20" i="8" s="1"/>
  <c r="U34" i="8" s="1"/>
  <c r="AB5" i="8"/>
  <c r="AB20" i="8" s="1"/>
  <c r="AB34" i="8" s="1"/>
  <c r="AF6" i="8"/>
  <c r="AF21" i="8" s="1"/>
  <c r="AF35" i="8" s="1"/>
  <c r="AA6" i="8"/>
  <c r="AA21" i="8" s="1"/>
  <c r="AA35" i="8" s="1"/>
  <c r="V7" i="8"/>
  <c r="V22" i="8" s="1"/>
  <c r="V36" i="8" s="1"/>
  <c r="X7" i="8"/>
  <c r="X22" i="8" s="1"/>
  <c r="X36" i="8" s="1"/>
  <c r="Z6" i="8"/>
  <c r="Z21" i="8" s="1"/>
  <c r="Z35" i="8" s="1"/>
  <c r="AD12" i="8"/>
  <c r="AD27" i="8" s="1"/>
  <c r="AD41" i="8" s="1"/>
  <c r="V12" i="8"/>
  <c r="V27" i="8" s="1"/>
  <c r="V41" i="8" s="1"/>
  <c r="AE12" i="8"/>
  <c r="AE27" i="8" s="1"/>
  <c r="AE41" i="8" s="1"/>
  <c r="AC12" i="8"/>
  <c r="AC27" i="8" s="1"/>
  <c r="AC41" i="8" s="1"/>
  <c r="U12" i="8"/>
  <c r="U27" i="8" s="1"/>
  <c r="U41" i="8" s="1"/>
  <c r="W12" i="8"/>
  <c r="W27" i="8" s="1"/>
  <c r="W41" i="8" s="1"/>
  <c r="AB12" i="8"/>
  <c r="AB27" i="8" s="1"/>
  <c r="AB41" i="8" s="1"/>
  <c r="AA12" i="8"/>
  <c r="AA27" i="8" s="1"/>
  <c r="AA41" i="8" s="1"/>
  <c r="Z12" i="8"/>
  <c r="Z27" i="8" s="1"/>
  <c r="Z41" i="8" s="1"/>
  <c r="Y12" i="8"/>
  <c r="Y27" i="8" s="1"/>
  <c r="AF12" i="8"/>
  <c r="AF27" i="8" s="1"/>
  <c r="AF41" i="8" s="1"/>
  <c r="X12" i="8"/>
  <c r="X27" i="8" s="1"/>
  <c r="X41" i="8" s="1"/>
  <c r="AD14" i="8"/>
  <c r="AD29" i="8" s="1"/>
  <c r="AD43" i="8" s="1"/>
  <c r="V14" i="8"/>
  <c r="V29" i="8" s="1"/>
  <c r="V43" i="8" s="1"/>
  <c r="AE14" i="8"/>
  <c r="AE29" i="8" s="1"/>
  <c r="AE43" i="8" s="1"/>
  <c r="AC14" i="8"/>
  <c r="AC29" i="8" s="1"/>
  <c r="AC43" i="8" s="1"/>
  <c r="U14" i="8"/>
  <c r="U29" i="8" s="1"/>
  <c r="U43" i="8" s="1"/>
  <c r="W14" i="8"/>
  <c r="W29" i="8" s="1"/>
  <c r="W43" i="8" s="1"/>
  <c r="AB14" i="8"/>
  <c r="AB29" i="8" s="1"/>
  <c r="AB43" i="8" s="1"/>
  <c r="AA14" i="8"/>
  <c r="AA29" i="8" s="1"/>
  <c r="AA43" i="8" s="1"/>
  <c r="Z14" i="8"/>
  <c r="Z29" i="8" s="1"/>
  <c r="Z43" i="8" s="1"/>
  <c r="Y14" i="8"/>
  <c r="Y29" i="8" s="1"/>
  <c r="AF14" i="8"/>
  <c r="AF29" i="8" s="1"/>
  <c r="AF43" i="8" s="1"/>
  <c r="X14" i="8"/>
  <c r="X29" i="8" s="1"/>
  <c r="X43" i="8" s="1"/>
  <c r="U21" i="8"/>
  <c r="X8" i="8"/>
  <c r="X23" i="8" s="1"/>
  <c r="X37" i="8" s="1"/>
  <c r="AD23" i="8"/>
  <c r="AD37" i="8" s="1"/>
  <c r="AB8" i="8"/>
  <c r="AB23" i="8" s="1"/>
  <c r="AB37" i="8" s="1"/>
  <c r="AA7" i="8"/>
  <c r="AA22" i="8" s="1"/>
  <c r="AA36" i="8" s="1"/>
  <c r="AD7" i="8"/>
  <c r="AD22" i="8" s="1"/>
  <c r="AD36" i="8" s="1"/>
  <c r="AF61" i="8"/>
  <c r="AE61" i="8"/>
  <c r="AD61" i="8"/>
  <c r="AC61" i="8"/>
  <c r="AB61" i="8"/>
  <c r="AA61" i="8"/>
  <c r="Y61" i="8"/>
  <c r="X61" i="8"/>
  <c r="V61" i="8"/>
  <c r="U61" i="8"/>
  <c r="Z53" i="8"/>
  <c r="Z61" i="8" s="1"/>
  <c r="W52" i="8"/>
  <c r="W61" i="8" s="1"/>
  <c r="AG39" i="8" l="1"/>
  <c r="AG6" i="8"/>
  <c r="AG10" i="8"/>
  <c r="V21" i="8"/>
  <c r="V35" i="8" s="1"/>
  <c r="V44" i="8" s="1"/>
  <c r="AG36" i="8"/>
  <c r="AG27" i="8"/>
  <c r="Y41" i="8"/>
  <c r="AG41" i="8" s="1"/>
  <c r="AG23" i="8"/>
  <c r="AG9" i="8"/>
  <c r="U24" i="8"/>
  <c r="AG12" i="8"/>
  <c r="AG7" i="8"/>
  <c r="Y37" i="8"/>
  <c r="AG37" i="8" s="1"/>
  <c r="AG13" i="8"/>
  <c r="U28" i="8"/>
  <c r="AG29" i="8"/>
  <c r="Y43" i="8"/>
  <c r="AG43" i="8" s="1"/>
  <c r="AG22" i="8"/>
  <c r="U35" i="8"/>
  <c r="AG34" i="8"/>
  <c r="AG5" i="8"/>
  <c r="AG25" i="8"/>
  <c r="AG14" i="8"/>
  <c r="AG20" i="8"/>
  <c r="AG8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AF44" i="8"/>
  <c r="AE44" i="8"/>
  <c r="AD44" i="8"/>
  <c r="AC44" i="8"/>
  <c r="AB44" i="8"/>
  <c r="AA44" i="8"/>
  <c r="Z44" i="8"/>
  <c r="X44" i="8"/>
  <c r="W44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AF30" i="8"/>
  <c r="AE30" i="8"/>
  <c r="AD30" i="8"/>
  <c r="AC30" i="8"/>
  <c r="AB30" i="8"/>
  <c r="AA30" i="8"/>
  <c r="Z30" i="8"/>
  <c r="Y30" i="8"/>
  <c r="X30" i="8"/>
  <c r="W30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I3" i="8"/>
  <c r="I111" i="8" s="1"/>
  <c r="AK11" i="7"/>
  <c r="AJ11" i="7"/>
  <c r="AI11" i="7"/>
  <c r="AH11" i="7"/>
  <c r="AG11" i="7"/>
  <c r="AK10" i="7"/>
  <c r="AJ10" i="7"/>
  <c r="AI10" i="7"/>
  <c r="AH10" i="7"/>
  <c r="AG10" i="7"/>
  <c r="AK9" i="7"/>
  <c r="AJ9" i="7"/>
  <c r="AI9" i="7"/>
  <c r="AH9" i="7"/>
  <c r="AG9" i="7"/>
  <c r="AL11" i="7" l="1"/>
  <c r="AL10" i="7"/>
  <c r="V30" i="8"/>
  <c r="AG35" i="8"/>
  <c r="AG21" i="8"/>
  <c r="Y44" i="8"/>
  <c r="AG24" i="8"/>
  <c r="U38" i="8"/>
  <c r="AG28" i="8"/>
  <c r="U42" i="8"/>
  <c r="AG42" i="8" s="1"/>
  <c r="U30" i="8"/>
  <c r="AG30" i="8" s="1"/>
  <c r="I27" i="8"/>
  <c r="I89" i="8"/>
  <c r="I73" i="8"/>
  <c r="I57" i="8"/>
  <c r="I5" i="8"/>
  <c r="I13" i="8"/>
  <c r="I19" i="8"/>
  <c r="I97" i="8"/>
  <c r="I38" i="8"/>
  <c r="I81" i="8"/>
  <c r="I49" i="8"/>
  <c r="I65" i="8"/>
  <c r="I105" i="8"/>
  <c r="I9" i="8"/>
  <c r="I7" i="8"/>
  <c r="I11" i="8"/>
  <c r="I15" i="8"/>
  <c r="I18" i="8"/>
  <c r="I26" i="8"/>
  <c r="I37" i="8"/>
  <c r="I48" i="8"/>
  <c r="I56" i="8"/>
  <c r="I64" i="8"/>
  <c r="I72" i="8"/>
  <c r="I80" i="8"/>
  <c r="I88" i="8"/>
  <c r="I96" i="8"/>
  <c r="I104" i="8"/>
  <c r="I112" i="8"/>
  <c r="I6" i="8"/>
  <c r="I10" i="8"/>
  <c r="I14" i="8"/>
  <c r="I20" i="8"/>
  <c r="I28" i="8"/>
  <c r="I31" i="8"/>
  <c r="I39" i="8"/>
  <c r="I50" i="8"/>
  <c r="I58" i="8"/>
  <c r="I66" i="8"/>
  <c r="I74" i="8"/>
  <c r="I82" i="8"/>
  <c r="I90" i="8"/>
  <c r="I98" i="8"/>
  <c r="I106" i="8"/>
  <c r="I21" i="8"/>
  <c r="I29" i="8"/>
  <c r="I32" i="8"/>
  <c r="I40" i="8"/>
  <c r="I51" i="8"/>
  <c r="I59" i="8"/>
  <c r="I67" i="8"/>
  <c r="I75" i="8"/>
  <c r="I83" i="8"/>
  <c r="I91" i="8"/>
  <c r="I99" i="8"/>
  <c r="I107" i="8"/>
  <c r="I22" i="8"/>
  <c r="I30" i="8"/>
  <c r="I33" i="8"/>
  <c r="I41" i="8"/>
  <c r="I52" i="8"/>
  <c r="I60" i="8"/>
  <c r="I68" i="8"/>
  <c r="I76" i="8"/>
  <c r="I84" i="8"/>
  <c r="I92" i="8"/>
  <c r="I100" i="8"/>
  <c r="I108" i="8"/>
  <c r="I23" i="8"/>
  <c r="I34" i="8"/>
  <c r="I42" i="8"/>
  <c r="I45" i="8"/>
  <c r="I53" i="8"/>
  <c r="I61" i="8"/>
  <c r="I69" i="8"/>
  <c r="I77" i="8"/>
  <c r="I85" i="8"/>
  <c r="I93" i="8"/>
  <c r="I101" i="8"/>
  <c r="I109" i="8"/>
  <c r="I8" i="8"/>
  <c r="I12" i="8"/>
  <c r="I16" i="8"/>
  <c r="I24" i="8"/>
  <c r="I35" i="8"/>
  <c r="I43" i="8"/>
  <c r="I46" i="8"/>
  <c r="I54" i="8"/>
  <c r="I62" i="8"/>
  <c r="I70" i="8"/>
  <c r="I78" i="8"/>
  <c r="I86" i="8"/>
  <c r="I94" i="8"/>
  <c r="I102" i="8"/>
  <c r="I110" i="8"/>
  <c r="I17" i="8"/>
  <c r="I25" i="8"/>
  <c r="I36" i="8"/>
  <c r="I44" i="8"/>
  <c r="I47" i="8"/>
  <c r="I55" i="8"/>
  <c r="I63" i="8"/>
  <c r="I71" i="8"/>
  <c r="I79" i="8"/>
  <c r="I87" i="8"/>
  <c r="I95" i="8"/>
  <c r="I103" i="8"/>
  <c r="AS159" i="7"/>
  <c r="AR159" i="7"/>
  <c r="AS158" i="7"/>
  <c r="AR158" i="7"/>
  <c r="AS157" i="7"/>
  <c r="AR157" i="7"/>
  <c r="AS156" i="7"/>
  <c r="AR156" i="7"/>
  <c r="AS155" i="7"/>
  <c r="AR155" i="7"/>
  <c r="AS154" i="7"/>
  <c r="AR154" i="7"/>
  <c r="AS153" i="7"/>
  <c r="AR153" i="7"/>
  <c r="AS152" i="7"/>
  <c r="AR152" i="7"/>
  <c r="AS151" i="7"/>
  <c r="AR151" i="7"/>
  <c r="AS150" i="7"/>
  <c r="AR150" i="7"/>
  <c r="AS149" i="7"/>
  <c r="AR149" i="7"/>
  <c r="AS148" i="7"/>
  <c r="AR148" i="7"/>
  <c r="AS147" i="7"/>
  <c r="AR147" i="7"/>
  <c r="AS146" i="7"/>
  <c r="AR146" i="7"/>
  <c r="AS145" i="7"/>
  <c r="AR145" i="7"/>
  <c r="AS144" i="7"/>
  <c r="AR144" i="7"/>
  <c r="AS143" i="7"/>
  <c r="AR143" i="7"/>
  <c r="AS142" i="7"/>
  <c r="AR142" i="7"/>
  <c r="AS141" i="7"/>
  <c r="AR141" i="7"/>
  <c r="AS140" i="7"/>
  <c r="AR140" i="7"/>
  <c r="AS139" i="7"/>
  <c r="AR139" i="7"/>
  <c r="AS138" i="7"/>
  <c r="AR138" i="7"/>
  <c r="AS137" i="7"/>
  <c r="AR137" i="7"/>
  <c r="AS136" i="7"/>
  <c r="AR136" i="7"/>
  <c r="AS135" i="7"/>
  <c r="AR135" i="7"/>
  <c r="AS134" i="7"/>
  <c r="AR134" i="7"/>
  <c r="AS133" i="7"/>
  <c r="AR133" i="7"/>
  <c r="AS132" i="7"/>
  <c r="AR132" i="7"/>
  <c r="AS131" i="7"/>
  <c r="AR131" i="7"/>
  <c r="AS130" i="7"/>
  <c r="AR130" i="7"/>
  <c r="AS129" i="7"/>
  <c r="AR129" i="7"/>
  <c r="AS128" i="7"/>
  <c r="AR128" i="7"/>
  <c r="AS127" i="7"/>
  <c r="AR127" i="7"/>
  <c r="AS126" i="7"/>
  <c r="AR126" i="7"/>
  <c r="AS125" i="7"/>
  <c r="AR125" i="7"/>
  <c r="AS124" i="7"/>
  <c r="AR124" i="7"/>
  <c r="AS123" i="7"/>
  <c r="AR123" i="7"/>
  <c r="AS122" i="7"/>
  <c r="AR122" i="7"/>
  <c r="AS121" i="7"/>
  <c r="AR121" i="7"/>
  <c r="AS120" i="7"/>
  <c r="AR120" i="7"/>
  <c r="AS119" i="7"/>
  <c r="AR119" i="7"/>
  <c r="AS118" i="7"/>
  <c r="AR118" i="7"/>
  <c r="AS117" i="7"/>
  <c r="AR117" i="7"/>
  <c r="AS116" i="7"/>
  <c r="AR116" i="7"/>
  <c r="AS115" i="7"/>
  <c r="AR115" i="7"/>
  <c r="AS114" i="7"/>
  <c r="AR114" i="7"/>
  <c r="AS113" i="7"/>
  <c r="AR113" i="7"/>
  <c r="AS112" i="7"/>
  <c r="AR112" i="7"/>
  <c r="AS111" i="7"/>
  <c r="AR111" i="7"/>
  <c r="AS110" i="7"/>
  <c r="AR110" i="7"/>
  <c r="AS109" i="7"/>
  <c r="AR109" i="7"/>
  <c r="AS108" i="7"/>
  <c r="AR108" i="7"/>
  <c r="AS107" i="7"/>
  <c r="AR107" i="7"/>
  <c r="AS106" i="7"/>
  <c r="AR106" i="7"/>
  <c r="AS105" i="7"/>
  <c r="AR105" i="7"/>
  <c r="AS104" i="7"/>
  <c r="AR104" i="7"/>
  <c r="AS103" i="7"/>
  <c r="AR103" i="7"/>
  <c r="AS102" i="7"/>
  <c r="AR102" i="7"/>
  <c r="AS101" i="7"/>
  <c r="AR101" i="7"/>
  <c r="AS100" i="7"/>
  <c r="AR100" i="7"/>
  <c r="AS99" i="7"/>
  <c r="AR99" i="7"/>
  <c r="AS98" i="7"/>
  <c r="AR98" i="7"/>
  <c r="AS97" i="7"/>
  <c r="AR97" i="7"/>
  <c r="AS96" i="7"/>
  <c r="AR96" i="7"/>
  <c r="AS95" i="7"/>
  <c r="AR95" i="7"/>
  <c r="AS94" i="7"/>
  <c r="AR94" i="7"/>
  <c r="AS93" i="7"/>
  <c r="AR93" i="7"/>
  <c r="AS92" i="7"/>
  <c r="AR92" i="7"/>
  <c r="AS91" i="7"/>
  <c r="AR91" i="7"/>
  <c r="AS90" i="7"/>
  <c r="AR90" i="7"/>
  <c r="AS89" i="7"/>
  <c r="AR89" i="7"/>
  <c r="AS88" i="7"/>
  <c r="AR88" i="7"/>
  <c r="AS87" i="7"/>
  <c r="AR87" i="7"/>
  <c r="AS86" i="7"/>
  <c r="AR86" i="7"/>
  <c r="AS85" i="7"/>
  <c r="AR85" i="7"/>
  <c r="AS84" i="7"/>
  <c r="AR84" i="7"/>
  <c r="AS83" i="7"/>
  <c r="AR83" i="7"/>
  <c r="AS82" i="7"/>
  <c r="AR82" i="7"/>
  <c r="AS81" i="7"/>
  <c r="AR81" i="7"/>
  <c r="AS80" i="7"/>
  <c r="AR80" i="7"/>
  <c r="AS79" i="7"/>
  <c r="AR79" i="7"/>
  <c r="AS78" i="7"/>
  <c r="AR78" i="7"/>
  <c r="AS77" i="7"/>
  <c r="AR77" i="7"/>
  <c r="AS76" i="7"/>
  <c r="AR76" i="7"/>
  <c r="AS75" i="7"/>
  <c r="AR75" i="7"/>
  <c r="AS74" i="7"/>
  <c r="AR74" i="7"/>
  <c r="AS73" i="7"/>
  <c r="AR73" i="7"/>
  <c r="AS72" i="7"/>
  <c r="AR72" i="7"/>
  <c r="AS71" i="7"/>
  <c r="AR71" i="7"/>
  <c r="AS70" i="7"/>
  <c r="AR70" i="7"/>
  <c r="AS69" i="7"/>
  <c r="AR69" i="7"/>
  <c r="AS68" i="7"/>
  <c r="AR68" i="7"/>
  <c r="AS67" i="7"/>
  <c r="AR67" i="7"/>
  <c r="AS66" i="7"/>
  <c r="AR66" i="7"/>
  <c r="AS65" i="7"/>
  <c r="AR65" i="7"/>
  <c r="AS64" i="7"/>
  <c r="AR64" i="7"/>
  <c r="AS63" i="7"/>
  <c r="AR63" i="7"/>
  <c r="AS62" i="7"/>
  <c r="AR62" i="7"/>
  <c r="AS61" i="7"/>
  <c r="AR61" i="7"/>
  <c r="AS60" i="7"/>
  <c r="AR60" i="7"/>
  <c r="AS59" i="7"/>
  <c r="AR59" i="7"/>
  <c r="AS58" i="7"/>
  <c r="AR58" i="7"/>
  <c r="AS57" i="7"/>
  <c r="AR57" i="7"/>
  <c r="AS56" i="7"/>
  <c r="AR56" i="7"/>
  <c r="AS55" i="7"/>
  <c r="AR55" i="7"/>
  <c r="AS54" i="7"/>
  <c r="AR54" i="7"/>
  <c r="AS53" i="7"/>
  <c r="AR53" i="7"/>
  <c r="AS52" i="7"/>
  <c r="AR52" i="7"/>
  <c r="AS51" i="7"/>
  <c r="AR51" i="7"/>
  <c r="AS50" i="7"/>
  <c r="AR50" i="7"/>
  <c r="AS49" i="7"/>
  <c r="AR49" i="7"/>
  <c r="AS48" i="7"/>
  <c r="AR48" i="7"/>
  <c r="AS47" i="7"/>
  <c r="AR47" i="7"/>
  <c r="AS46" i="7"/>
  <c r="AR46" i="7"/>
  <c r="AS45" i="7"/>
  <c r="AR45" i="7"/>
  <c r="AS44" i="7"/>
  <c r="AR44" i="7"/>
  <c r="AS43" i="7"/>
  <c r="AR43" i="7"/>
  <c r="AS42" i="7"/>
  <c r="AR42" i="7"/>
  <c r="AS41" i="7"/>
  <c r="AR41" i="7"/>
  <c r="AS40" i="7"/>
  <c r="AR40" i="7"/>
  <c r="AS39" i="7"/>
  <c r="AR39" i="7"/>
  <c r="AS38" i="7"/>
  <c r="AR38" i="7"/>
  <c r="AS37" i="7"/>
  <c r="AR37" i="7"/>
  <c r="AS36" i="7"/>
  <c r="AR36" i="7"/>
  <c r="AS35" i="7"/>
  <c r="AR35" i="7"/>
  <c r="AS34" i="7"/>
  <c r="AR34" i="7"/>
  <c r="AS33" i="7"/>
  <c r="AR33" i="7"/>
  <c r="AS32" i="7"/>
  <c r="AR32" i="7"/>
  <c r="AS31" i="7"/>
  <c r="AR31" i="7"/>
  <c r="AS30" i="7"/>
  <c r="AR30" i="7"/>
  <c r="AS29" i="7"/>
  <c r="AR29" i="7"/>
  <c r="AS28" i="7"/>
  <c r="AR28" i="7"/>
  <c r="AS27" i="7"/>
  <c r="AR27" i="7"/>
  <c r="AS26" i="7"/>
  <c r="AR26" i="7"/>
  <c r="AS25" i="7"/>
  <c r="AR25" i="7"/>
  <c r="AS24" i="7"/>
  <c r="AR24" i="7"/>
  <c r="AS23" i="7"/>
  <c r="AR23" i="7"/>
  <c r="AS22" i="7"/>
  <c r="AR22" i="7"/>
  <c r="AS21" i="7"/>
  <c r="AR21" i="7"/>
  <c r="AS20" i="7"/>
  <c r="AR20" i="7"/>
  <c r="AS19" i="7"/>
  <c r="AR19" i="7"/>
  <c r="AS18" i="7"/>
  <c r="AR18" i="7"/>
  <c r="AS17" i="7"/>
  <c r="AR17" i="7"/>
  <c r="AS16" i="7"/>
  <c r="AR16" i="7"/>
  <c r="AS15" i="7"/>
  <c r="AR15" i="7"/>
  <c r="AS14" i="7"/>
  <c r="AR14" i="7"/>
  <c r="AS13" i="7"/>
  <c r="AR13" i="7"/>
  <c r="AS12" i="7"/>
  <c r="AR12" i="7"/>
  <c r="AS11" i="7"/>
  <c r="AR11" i="7"/>
  <c r="AS10" i="7"/>
  <c r="AR10" i="7"/>
  <c r="AS9" i="7"/>
  <c r="AR9" i="7"/>
  <c r="AS8" i="7"/>
  <c r="AR8" i="7"/>
  <c r="AS7" i="7"/>
  <c r="AR7" i="7"/>
  <c r="T7" i="7" s="1"/>
  <c r="AG38" i="8" l="1"/>
  <c r="U44" i="8"/>
  <c r="AG44" i="8" s="1"/>
  <c r="T28" i="7"/>
  <c r="U28" i="7" s="1"/>
  <c r="T132" i="7"/>
  <c r="T68" i="7"/>
  <c r="U68" i="7" s="1"/>
  <c r="T12" i="7"/>
  <c r="U12" i="7" s="1"/>
  <c r="T158" i="7"/>
  <c r="T150" i="7"/>
  <c r="T142" i="7"/>
  <c r="T134" i="7"/>
  <c r="T126" i="7"/>
  <c r="T118" i="7"/>
  <c r="T110" i="7"/>
  <c r="U110" i="7" s="1"/>
  <c r="T102" i="7"/>
  <c r="U102" i="7" s="1"/>
  <c r="T94" i="7"/>
  <c r="T86" i="7"/>
  <c r="T78" i="7"/>
  <c r="T70" i="7"/>
  <c r="T62" i="7"/>
  <c r="T54" i="7"/>
  <c r="U54" i="7" s="1"/>
  <c r="T46" i="7"/>
  <c r="U46" i="7" s="1"/>
  <c r="T38" i="7"/>
  <c r="U38" i="7" s="1"/>
  <c r="T30" i="7"/>
  <c r="U30" i="7" s="1"/>
  <c r="T22" i="7"/>
  <c r="T14" i="7"/>
  <c r="T157" i="7"/>
  <c r="T149" i="7"/>
  <c r="T141" i="7"/>
  <c r="T133" i="7"/>
  <c r="U133" i="7" s="1"/>
  <c r="T125" i="7"/>
  <c r="U125" i="7" s="1"/>
  <c r="T117" i="7"/>
  <c r="T109" i="7"/>
  <c r="T101" i="7"/>
  <c r="T93" i="7"/>
  <c r="T85" i="7"/>
  <c r="T77" i="7"/>
  <c r="U77" i="7" s="1"/>
  <c r="T69" i="7"/>
  <c r="T61" i="7"/>
  <c r="U61" i="7" s="1"/>
  <c r="T53" i="7"/>
  <c r="T45" i="7"/>
  <c r="T37" i="7"/>
  <c r="T29" i="7"/>
  <c r="T21" i="7"/>
  <c r="T13" i="7"/>
  <c r="T124" i="7"/>
  <c r="U124" i="7" s="1"/>
  <c r="T76" i="7"/>
  <c r="U76" i="7" s="1"/>
  <c r="T36" i="7"/>
  <c r="T155" i="7"/>
  <c r="T147" i="7"/>
  <c r="T139" i="7"/>
  <c r="T131" i="7"/>
  <c r="T123" i="7"/>
  <c r="U123" i="7" s="1"/>
  <c r="T115" i="7"/>
  <c r="U115" i="7" s="1"/>
  <c r="T107" i="7"/>
  <c r="U107" i="7" s="1"/>
  <c r="T99" i="7"/>
  <c r="T91" i="7"/>
  <c r="T83" i="7"/>
  <c r="T75" i="7"/>
  <c r="T67" i="7"/>
  <c r="T59" i="7"/>
  <c r="U59" i="7" s="1"/>
  <c r="T51" i="7"/>
  <c r="U51" i="7" s="1"/>
  <c r="T43" i="7"/>
  <c r="U43" i="7" s="1"/>
  <c r="T35" i="7"/>
  <c r="T27" i="7"/>
  <c r="T19" i="7"/>
  <c r="T11" i="7"/>
  <c r="U11" i="7" s="1"/>
  <c r="T148" i="7"/>
  <c r="T100" i="7"/>
  <c r="U100" i="7" s="1"/>
  <c r="T44" i="7"/>
  <c r="T154" i="7"/>
  <c r="U154" i="7" s="1"/>
  <c r="T146" i="7"/>
  <c r="T138" i="7"/>
  <c r="T130" i="7"/>
  <c r="T122" i="7"/>
  <c r="U122" i="7" s="1"/>
  <c r="T114" i="7"/>
  <c r="T106" i="7"/>
  <c r="U106" i="7" s="1"/>
  <c r="T98" i="7"/>
  <c r="U98" i="7" s="1"/>
  <c r="T90" i="7"/>
  <c r="T82" i="7"/>
  <c r="T74" i="7"/>
  <c r="T66" i="7"/>
  <c r="T58" i="7"/>
  <c r="U58" i="7" s="1"/>
  <c r="T50" i="7"/>
  <c r="T42" i="7"/>
  <c r="U42" i="7" s="1"/>
  <c r="T34" i="7"/>
  <c r="U34" i="7" s="1"/>
  <c r="T26" i="7"/>
  <c r="T18" i="7"/>
  <c r="T10" i="7"/>
  <c r="T140" i="7"/>
  <c r="T84" i="7"/>
  <c r="U84" i="7" s="1"/>
  <c r="T20" i="7"/>
  <c r="T161" i="7"/>
  <c r="U161" i="7" s="1"/>
  <c r="T153" i="7"/>
  <c r="U153" i="7" s="1"/>
  <c r="T145" i="7"/>
  <c r="T137" i="7"/>
  <c r="T129" i="7"/>
  <c r="T121" i="7"/>
  <c r="T113" i="7"/>
  <c r="U113" i="7" s="1"/>
  <c r="T105" i="7"/>
  <c r="T97" i="7"/>
  <c r="T89" i="7"/>
  <c r="U89" i="7" s="1"/>
  <c r="T81" i="7"/>
  <c r="T73" i="7"/>
  <c r="T65" i="7"/>
  <c r="T57" i="7"/>
  <c r="T49" i="7"/>
  <c r="U49" i="7" s="1"/>
  <c r="T41" i="7"/>
  <c r="T33" i="7"/>
  <c r="T25" i="7"/>
  <c r="U25" i="7" s="1"/>
  <c r="T17" i="7"/>
  <c r="T9" i="7"/>
  <c r="T156" i="7"/>
  <c r="T108" i="7"/>
  <c r="T92" i="7"/>
  <c r="U92" i="7" s="1"/>
  <c r="T52" i="7"/>
  <c r="T160" i="7"/>
  <c r="T152" i="7"/>
  <c r="T144" i="7"/>
  <c r="T136" i="7"/>
  <c r="T128" i="7"/>
  <c r="T120" i="7"/>
  <c r="T112" i="7"/>
  <c r="T104" i="7"/>
  <c r="T96" i="7"/>
  <c r="T88" i="7"/>
  <c r="U88" i="7" s="1"/>
  <c r="T80" i="7"/>
  <c r="U80" i="7" s="1"/>
  <c r="T72" i="7"/>
  <c r="T64" i="7"/>
  <c r="T56" i="7"/>
  <c r="T48" i="7"/>
  <c r="T40" i="7"/>
  <c r="T32" i="7"/>
  <c r="T24" i="7"/>
  <c r="T16" i="7"/>
  <c r="U16" i="7" s="1"/>
  <c r="T8" i="7"/>
  <c r="T116" i="7"/>
  <c r="T60" i="7"/>
  <c r="T159" i="7"/>
  <c r="T151" i="7"/>
  <c r="T143" i="7"/>
  <c r="T135" i="7"/>
  <c r="T127" i="7"/>
  <c r="U127" i="7" s="1"/>
  <c r="T119" i="7"/>
  <c r="T111" i="7"/>
  <c r="T103" i="7"/>
  <c r="T95" i="7"/>
  <c r="T87" i="7"/>
  <c r="T79" i="7"/>
  <c r="T71" i="7"/>
  <c r="T63" i="7"/>
  <c r="T55" i="7"/>
  <c r="T47" i="7"/>
  <c r="T39" i="7"/>
  <c r="T31" i="7"/>
  <c r="T23" i="7"/>
  <c r="T15" i="7"/>
  <c r="U90" i="7"/>
  <c r="U7" i="7"/>
  <c r="U134" i="7"/>
  <c r="U118" i="7"/>
  <c r="U70" i="7"/>
  <c r="U157" i="7"/>
  <c r="U141" i="7"/>
  <c r="U93" i="7"/>
  <c r="U69" i="7"/>
  <c r="U29" i="7"/>
  <c r="U13" i="7"/>
  <c r="U26" i="7"/>
  <c r="U132" i="7"/>
  <c r="U44" i="7"/>
  <c r="U139" i="7"/>
  <c r="U75" i="7"/>
  <c r="Z9" i="7"/>
  <c r="AA9" i="7" s="1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O161" i="7"/>
  <c r="M161" i="7"/>
  <c r="D161" i="7"/>
  <c r="O160" i="7"/>
  <c r="M160" i="7"/>
  <c r="D160" i="7"/>
  <c r="O159" i="7"/>
  <c r="M159" i="7"/>
  <c r="N159" i="7" s="1"/>
  <c r="D159" i="7"/>
  <c r="O158" i="7"/>
  <c r="M158" i="7"/>
  <c r="D158" i="7"/>
  <c r="O157" i="7"/>
  <c r="M157" i="7"/>
  <c r="N157" i="7" s="1"/>
  <c r="D157" i="7"/>
  <c r="O156" i="7"/>
  <c r="M156" i="7"/>
  <c r="D156" i="7"/>
  <c r="O155" i="7"/>
  <c r="M155" i="7"/>
  <c r="N155" i="7" s="1"/>
  <c r="D155" i="7"/>
  <c r="O154" i="7"/>
  <c r="M154" i="7"/>
  <c r="N154" i="7" s="1"/>
  <c r="D154" i="7"/>
  <c r="O153" i="7"/>
  <c r="M153" i="7"/>
  <c r="D153" i="7"/>
  <c r="O152" i="7"/>
  <c r="M152" i="7"/>
  <c r="D152" i="7"/>
  <c r="O151" i="7"/>
  <c r="M151" i="7"/>
  <c r="N151" i="7" s="1"/>
  <c r="D151" i="7"/>
  <c r="O150" i="7"/>
  <c r="M150" i="7"/>
  <c r="N150" i="7" s="1"/>
  <c r="D150" i="7"/>
  <c r="O149" i="7"/>
  <c r="M149" i="7"/>
  <c r="N149" i="7" s="1"/>
  <c r="D149" i="7"/>
  <c r="O148" i="7"/>
  <c r="M148" i="7"/>
  <c r="D148" i="7"/>
  <c r="O147" i="7"/>
  <c r="M147" i="7"/>
  <c r="N147" i="7" s="1"/>
  <c r="D147" i="7"/>
  <c r="O146" i="7"/>
  <c r="M146" i="7"/>
  <c r="N146" i="7" s="1"/>
  <c r="D146" i="7"/>
  <c r="O145" i="7"/>
  <c r="M145" i="7"/>
  <c r="D145" i="7"/>
  <c r="O144" i="7"/>
  <c r="M144" i="7"/>
  <c r="N144" i="7" s="1"/>
  <c r="D144" i="7"/>
  <c r="O143" i="7"/>
  <c r="M143" i="7"/>
  <c r="N143" i="7" s="1"/>
  <c r="D143" i="7"/>
  <c r="O142" i="7"/>
  <c r="M142" i="7"/>
  <c r="N142" i="7" s="1"/>
  <c r="D142" i="7"/>
  <c r="O141" i="7"/>
  <c r="M141" i="7"/>
  <c r="N141" i="7" s="1"/>
  <c r="D141" i="7"/>
  <c r="O140" i="7"/>
  <c r="M140" i="7"/>
  <c r="D140" i="7"/>
  <c r="O139" i="7"/>
  <c r="M139" i="7"/>
  <c r="N139" i="7" s="1"/>
  <c r="D139" i="7"/>
  <c r="O138" i="7"/>
  <c r="M138" i="7"/>
  <c r="N138" i="7" s="1"/>
  <c r="D138" i="7"/>
  <c r="O137" i="7"/>
  <c r="M137" i="7"/>
  <c r="D137" i="7"/>
  <c r="O136" i="7"/>
  <c r="M136" i="7"/>
  <c r="D136" i="7"/>
  <c r="O135" i="7"/>
  <c r="M135" i="7"/>
  <c r="N135" i="7" s="1"/>
  <c r="D135" i="7"/>
  <c r="O134" i="7"/>
  <c r="M134" i="7"/>
  <c r="N134" i="7" s="1"/>
  <c r="D134" i="7"/>
  <c r="O133" i="7"/>
  <c r="M133" i="7"/>
  <c r="N133" i="7" s="1"/>
  <c r="D133" i="7"/>
  <c r="O132" i="7"/>
  <c r="M132" i="7"/>
  <c r="D132" i="7"/>
  <c r="O131" i="7"/>
  <c r="M131" i="7"/>
  <c r="N131" i="7" s="1"/>
  <c r="D131" i="7"/>
  <c r="O130" i="7"/>
  <c r="M130" i="7"/>
  <c r="N130" i="7" s="1"/>
  <c r="D130" i="7"/>
  <c r="O129" i="7"/>
  <c r="M129" i="7"/>
  <c r="D129" i="7"/>
  <c r="O128" i="7"/>
  <c r="M128" i="7"/>
  <c r="N128" i="7" s="1"/>
  <c r="D128" i="7"/>
  <c r="O127" i="7"/>
  <c r="M127" i="7"/>
  <c r="N127" i="7" s="1"/>
  <c r="D127" i="7"/>
  <c r="O126" i="7"/>
  <c r="M126" i="7"/>
  <c r="N126" i="7" s="1"/>
  <c r="D126" i="7"/>
  <c r="O125" i="7"/>
  <c r="M125" i="7"/>
  <c r="N125" i="7" s="1"/>
  <c r="D125" i="7"/>
  <c r="O124" i="7"/>
  <c r="M124" i="7"/>
  <c r="D124" i="7"/>
  <c r="O123" i="7"/>
  <c r="M123" i="7"/>
  <c r="N123" i="7" s="1"/>
  <c r="D123" i="7"/>
  <c r="O122" i="7"/>
  <c r="M122" i="7"/>
  <c r="N122" i="7" s="1"/>
  <c r="D122" i="7"/>
  <c r="O121" i="7"/>
  <c r="M121" i="7"/>
  <c r="D121" i="7"/>
  <c r="O120" i="7"/>
  <c r="M120" i="7"/>
  <c r="N120" i="7" s="1"/>
  <c r="D120" i="7"/>
  <c r="O119" i="7"/>
  <c r="M119" i="7"/>
  <c r="N119" i="7" s="1"/>
  <c r="D119" i="7"/>
  <c r="O118" i="7"/>
  <c r="M118" i="7"/>
  <c r="N118" i="7" s="1"/>
  <c r="D118" i="7"/>
  <c r="O117" i="7"/>
  <c r="M117" i="7"/>
  <c r="N117" i="7" s="1"/>
  <c r="D117" i="7"/>
  <c r="O116" i="7"/>
  <c r="M116" i="7"/>
  <c r="D116" i="7"/>
  <c r="O115" i="7"/>
  <c r="M115" i="7"/>
  <c r="N115" i="7" s="1"/>
  <c r="D115" i="7"/>
  <c r="O114" i="7"/>
  <c r="M114" i="7"/>
  <c r="N114" i="7" s="1"/>
  <c r="D114" i="7"/>
  <c r="O113" i="7"/>
  <c r="M113" i="7"/>
  <c r="D113" i="7"/>
  <c r="O112" i="7"/>
  <c r="M112" i="7"/>
  <c r="N112" i="7" s="1"/>
  <c r="D112" i="7"/>
  <c r="O111" i="7"/>
  <c r="M111" i="7"/>
  <c r="N111" i="7" s="1"/>
  <c r="D111" i="7"/>
  <c r="O110" i="7"/>
  <c r="M110" i="7"/>
  <c r="N110" i="7" s="1"/>
  <c r="Z14" i="7" s="1"/>
  <c r="AA14" i="7" s="1"/>
  <c r="D110" i="7"/>
  <c r="O109" i="7"/>
  <c r="M109" i="7"/>
  <c r="N109" i="7" s="1"/>
  <c r="D109" i="7"/>
  <c r="O108" i="7"/>
  <c r="M108" i="7"/>
  <c r="D108" i="7"/>
  <c r="O107" i="7"/>
  <c r="M107" i="7"/>
  <c r="N107" i="7" s="1"/>
  <c r="D107" i="7"/>
  <c r="O106" i="7"/>
  <c r="M106" i="7"/>
  <c r="N106" i="7" s="1"/>
  <c r="D106" i="7"/>
  <c r="O105" i="7"/>
  <c r="M105" i="7"/>
  <c r="D105" i="7"/>
  <c r="O104" i="7"/>
  <c r="M104" i="7"/>
  <c r="D104" i="7"/>
  <c r="O103" i="7"/>
  <c r="M103" i="7"/>
  <c r="N103" i="7" s="1"/>
  <c r="D103" i="7"/>
  <c r="O102" i="7"/>
  <c r="M102" i="7"/>
  <c r="N102" i="7" s="1"/>
  <c r="D102" i="7"/>
  <c r="O101" i="7"/>
  <c r="M101" i="7"/>
  <c r="N101" i="7" s="1"/>
  <c r="D101" i="7"/>
  <c r="O100" i="7"/>
  <c r="M100" i="7"/>
  <c r="D100" i="7"/>
  <c r="O99" i="7"/>
  <c r="M99" i="7"/>
  <c r="N99" i="7" s="1"/>
  <c r="D99" i="7"/>
  <c r="O98" i="7"/>
  <c r="M98" i="7"/>
  <c r="N98" i="7" s="1"/>
  <c r="D98" i="7"/>
  <c r="O97" i="7"/>
  <c r="M97" i="7"/>
  <c r="D97" i="7"/>
  <c r="O96" i="7"/>
  <c r="M96" i="7"/>
  <c r="D96" i="7"/>
  <c r="O95" i="7"/>
  <c r="M95" i="7"/>
  <c r="N95" i="7" s="1"/>
  <c r="D95" i="7"/>
  <c r="O94" i="7"/>
  <c r="M94" i="7"/>
  <c r="N94" i="7" s="1"/>
  <c r="D94" i="7"/>
  <c r="O93" i="7"/>
  <c r="M93" i="7"/>
  <c r="N93" i="7" s="1"/>
  <c r="D93" i="7"/>
  <c r="O92" i="7"/>
  <c r="M92" i="7"/>
  <c r="D92" i="7"/>
  <c r="O91" i="7"/>
  <c r="M91" i="7"/>
  <c r="N91" i="7" s="1"/>
  <c r="D91" i="7"/>
  <c r="O90" i="7"/>
  <c r="M90" i="7"/>
  <c r="N90" i="7" s="1"/>
  <c r="D90" i="7"/>
  <c r="O89" i="7"/>
  <c r="M89" i="7"/>
  <c r="D89" i="7"/>
  <c r="O88" i="7"/>
  <c r="M88" i="7"/>
  <c r="N88" i="7" s="1"/>
  <c r="D88" i="7"/>
  <c r="O87" i="7"/>
  <c r="M87" i="7"/>
  <c r="N87" i="7" s="1"/>
  <c r="D87" i="7"/>
  <c r="O86" i="7"/>
  <c r="M86" i="7"/>
  <c r="N86" i="7" s="1"/>
  <c r="D86" i="7"/>
  <c r="O85" i="7"/>
  <c r="M85" i="7"/>
  <c r="N85" i="7" s="1"/>
  <c r="D85" i="7"/>
  <c r="O84" i="7"/>
  <c r="M84" i="7"/>
  <c r="D84" i="7"/>
  <c r="O83" i="7"/>
  <c r="M83" i="7"/>
  <c r="N83" i="7" s="1"/>
  <c r="D83" i="7"/>
  <c r="O82" i="7"/>
  <c r="M82" i="7"/>
  <c r="N82" i="7" s="1"/>
  <c r="D82" i="7"/>
  <c r="O81" i="7"/>
  <c r="M81" i="7"/>
  <c r="D81" i="7"/>
  <c r="O80" i="7"/>
  <c r="M80" i="7"/>
  <c r="D80" i="7"/>
  <c r="O79" i="7"/>
  <c r="M79" i="7"/>
  <c r="N79" i="7" s="1"/>
  <c r="D79" i="7"/>
  <c r="O78" i="7"/>
  <c r="M78" i="7"/>
  <c r="N78" i="7" s="1"/>
  <c r="D78" i="7"/>
  <c r="O77" i="7"/>
  <c r="M77" i="7"/>
  <c r="N77" i="7" s="1"/>
  <c r="D77" i="7"/>
  <c r="O76" i="7"/>
  <c r="M76" i="7"/>
  <c r="D76" i="7"/>
  <c r="O75" i="7"/>
  <c r="M75" i="7"/>
  <c r="N75" i="7" s="1"/>
  <c r="D75" i="7"/>
  <c r="O74" i="7"/>
  <c r="M74" i="7"/>
  <c r="N74" i="7" s="1"/>
  <c r="D74" i="7"/>
  <c r="O73" i="7"/>
  <c r="M73" i="7"/>
  <c r="D73" i="7"/>
  <c r="O72" i="7"/>
  <c r="M72" i="7"/>
  <c r="D72" i="7"/>
  <c r="O71" i="7"/>
  <c r="M71" i="7"/>
  <c r="N71" i="7" s="1"/>
  <c r="D71" i="7"/>
  <c r="O70" i="7"/>
  <c r="M70" i="7"/>
  <c r="N70" i="7" s="1"/>
  <c r="D70" i="7"/>
  <c r="O69" i="7"/>
  <c r="M69" i="7"/>
  <c r="N69" i="7" s="1"/>
  <c r="D69" i="7"/>
  <c r="O68" i="7"/>
  <c r="M68" i="7"/>
  <c r="D68" i="7"/>
  <c r="O67" i="7"/>
  <c r="M67" i="7"/>
  <c r="N67" i="7" s="1"/>
  <c r="D67" i="7"/>
  <c r="O66" i="7"/>
  <c r="M66" i="7"/>
  <c r="N66" i="7" s="1"/>
  <c r="D66" i="7"/>
  <c r="O65" i="7"/>
  <c r="M65" i="7"/>
  <c r="D65" i="7"/>
  <c r="O64" i="7"/>
  <c r="M64" i="7"/>
  <c r="N64" i="7" s="1"/>
  <c r="D64" i="7"/>
  <c r="O63" i="7"/>
  <c r="M63" i="7"/>
  <c r="N63" i="7" s="1"/>
  <c r="D63" i="7"/>
  <c r="O62" i="7"/>
  <c r="M62" i="7"/>
  <c r="N62" i="7" s="1"/>
  <c r="D62" i="7"/>
  <c r="O61" i="7"/>
  <c r="M61" i="7"/>
  <c r="N61" i="7" s="1"/>
  <c r="D61" i="7"/>
  <c r="O60" i="7"/>
  <c r="M60" i="7"/>
  <c r="D60" i="7"/>
  <c r="O59" i="7"/>
  <c r="M59" i="7"/>
  <c r="N59" i="7" s="1"/>
  <c r="D59" i="7"/>
  <c r="O58" i="7"/>
  <c r="M58" i="7"/>
  <c r="N58" i="7" s="1"/>
  <c r="D58" i="7"/>
  <c r="O57" i="7"/>
  <c r="M57" i="7"/>
  <c r="D57" i="7"/>
  <c r="O56" i="7"/>
  <c r="M56" i="7"/>
  <c r="N56" i="7" s="1"/>
  <c r="D56" i="7"/>
  <c r="O55" i="7"/>
  <c r="M55" i="7"/>
  <c r="N55" i="7" s="1"/>
  <c r="D55" i="7"/>
  <c r="O54" i="7"/>
  <c r="M54" i="7"/>
  <c r="N54" i="7" s="1"/>
  <c r="D54" i="7"/>
  <c r="O53" i="7"/>
  <c r="M53" i="7"/>
  <c r="N53" i="7" s="1"/>
  <c r="D53" i="7"/>
  <c r="O52" i="7"/>
  <c r="M52" i="7"/>
  <c r="D52" i="7"/>
  <c r="O51" i="7"/>
  <c r="M51" i="7"/>
  <c r="N51" i="7" s="1"/>
  <c r="D51" i="7"/>
  <c r="O50" i="7"/>
  <c r="M50" i="7"/>
  <c r="N50" i="7" s="1"/>
  <c r="D50" i="7"/>
  <c r="O49" i="7"/>
  <c r="M49" i="7"/>
  <c r="D49" i="7"/>
  <c r="O48" i="7"/>
  <c r="M48" i="7"/>
  <c r="D48" i="7"/>
  <c r="O47" i="7"/>
  <c r="M47" i="7"/>
  <c r="N47" i="7" s="1"/>
  <c r="D47" i="7"/>
  <c r="O46" i="7"/>
  <c r="M46" i="7"/>
  <c r="N46" i="7" s="1"/>
  <c r="D46" i="7"/>
  <c r="O45" i="7"/>
  <c r="M45" i="7"/>
  <c r="N45" i="7" s="1"/>
  <c r="D45" i="7"/>
  <c r="O44" i="7"/>
  <c r="M44" i="7"/>
  <c r="D44" i="7"/>
  <c r="O43" i="7"/>
  <c r="M43" i="7"/>
  <c r="N43" i="7" s="1"/>
  <c r="D43" i="7"/>
  <c r="O42" i="7"/>
  <c r="M42" i="7"/>
  <c r="N42" i="7" s="1"/>
  <c r="D42" i="7"/>
  <c r="O41" i="7"/>
  <c r="M41" i="7"/>
  <c r="D41" i="7"/>
  <c r="O40" i="7"/>
  <c r="M40" i="7"/>
  <c r="D40" i="7"/>
  <c r="O39" i="7"/>
  <c r="M39" i="7"/>
  <c r="N39" i="7" s="1"/>
  <c r="D39" i="7"/>
  <c r="O38" i="7"/>
  <c r="M38" i="7"/>
  <c r="N38" i="7" s="1"/>
  <c r="D38" i="7"/>
  <c r="O37" i="7"/>
  <c r="M37" i="7"/>
  <c r="N37" i="7" s="1"/>
  <c r="D37" i="7"/>
  <c r="O36" i="7"/>
  <c r="M36" i="7"/>
  <c r="D36" i="7"/>
  <c r="O35" i="7"/>
  <c r="M35" i="7"/>
  <c r="N35" i="7" s="1"/>
  <c r="D35" i="7"/>
  <c r="O34" i="7"/>
  <c r="M34" i="7"/>
  <c r="N34" i="7" s="1"/>
  <c r="D34" i="7"/>
  <c r="O33" i="7"/>
  <c r="M33" i="7"/>
  <c r="D33" i="7"/>
  <c r="O32" i="7"/>
  <c r="M32" i="7"/>
  <c r="D32" i="7"/>
  <c r="O31" i="7"/>
  <c r="M31" i="7"/>
  <c r="N31" i="7" s="1"/>
  <c r="D31" i="7"/>
  <c r="O30" i="7"/>
  <c r="M30" i="7"/>
  <c r="N30" i="7" s="1"/>
  <c r="D30" i="7"/>
  <c r="O29" i="7"/>
  <c r="M29" i="7"/>
  <c r="N29" i="7" s="1"/>
  <c r="D29" i="7"/>
  <c r="O28" i="7"/>
  <c r="M28" i="7"/>
  <c r="D28" i="7"/>
  <c r="O27" i="7"/>
  <c r="M27" i="7"/>
  <c r="N27" i="7" s="1"/>
  <c r="D27" i="7"/>
  <c r="O26" i="7"/>
  <c r="M26" i="7"/>
  <c r="N26" i="7" s="1"/>
  <c r="D26" i="7"/>
  <c r="O25" i="7"/>
  <c r="M25" i="7"/>
  <c r="D25" i="7"/>
  <c r="O24" i="7"/>
  <c r="M24" i="7"/>
  <c r="N24" i="7" s="1"/>
  <c r="D24" i="7"/>
  <c r="O23" i="7"/>
  <c r="M23" i="7"/>
  <c r="N23" i="7" s="1"/>
  <c r="D23" i="7"/>
  <c r="O22" i="7"/>
  <c r="M22" i="7"/>
  <c r="N22" i="7" s="1"/>
  <c r="D22" i="7"/>
  <c r="O21" i="7"/>
  <c r="M21" i="7"/>
  <c r="N21" i="7" s="1"/>
  <c r="D21" i="7"/>
  <c r="O20" i="7"/>
  <c r="M20" i="7"/>
  <c r="D20" i="7"/>
  <c r="O19" i="7"/>
  <c r="M19" i="7"/>
  <c r="D19" i="7"/>
  <c r="O18" i="7"/>
  <c r="M18" i="7"/>
  <c r="N18" i="7" s="1"/>
  <c r="D18" i="7"/>
  <c r="O17" i="7"/>
  <c r="M17" i="7"/>
  <c r="D17" i="7"/>
  <c r="O16" i="7"/>
  <c r="M16" i="7"/>
  <c r="N16" i="7" s="1"/>
  <c r="D16" i="7"/>
  <c r="O15" i="7"/>
  <c r="M15" i="7"/>
  <c r="N15" i="7" s="1"/>
  <c r="D15" i="7"/>
  <c r="O14" i="7"/>
  <c r="M14" i="7"/>
  <c r="N14" i="7" s="1"/>
  <c r="D14" i="7"/>
  <c r="O13" i="7"/>
  <c r="M13" i="7"/>
  <c r="N13" i="7" s="1"/>
  <c r="D13" i="7"/>
  <c r="O12" i="7"/>
  <c r="M12" i="7"/>
  <c r="D12" i="7"/>
  <c r="O11" i="7"/>
  <c r="M11" i="7"/>
  <c r="N11" i="7" s="1"/>
  <c r="D11" i="7"/>
  <c r="O10" i="7"/>
  <c r="M10" i="7"/>
  <c r="N10" i="7" s="1"/>
  <c r="D10" i="7"/>
  <c r="O9" i="7"/>
  <c r="M9" i="7"/>
  <c r="N9" i="7" s="1"/>
  <c r="D9" i="7"/>
  <c r="O8" i="7"/>
  <c r="M8" i="7"/>
  <c r="D8" i="7"/>
  <c r="O7" i="7"/>
  <c r="M7" i="7"/>
  <c r="N7" i="7" s="1"/>
  <c r="D7" i="7"/>
  <c r="G33" i="6"/>
  <c r="H33" i="6" s="1"/>
  <c r="F33" i="6"/>
  <c r="I32" i="6"/>
  <c r="J32" i="6" s="1"/>
  <c r="K32" i="6" s="1"/>
  <c r="L32" i="6" s="1"/>
  <c r="M32" i="6" s="1"/>
  <c r="N32" i="6" s="1"/>
  <c r="O32" i="6" s="1"/>
  <c r="P32" i="6" s="1"/>
  <c r="I31" i="6"/>
  <c r="J31" i="6" s="1"/>
  <c r="K31" i="6" s="1"/>
  <c r="L31" i="6" s="1"/>
  <c r="M31" i="6" s="1"/>
  <c r="N31" i="6" s="1"/>
  <c r="O31" i="6" s="1"/>
  <c r="P31" i="6" s="1"/>
  <c r="I30" i="6"/>
  <c r="J30" i="6" s="1"/>
  <c r="K30" i="6" s="1"/>
  <c r="L30" i="6" s="1"/>
  <c r="M30" i="6" s="1"/>
  <c r="N30" i="6" s="1"/>
  <c r="O30" i="6" s="1"/>
  <c r="P30" i="6" s="1"/>
  <c r="I29" i="6"/>
  <c r="J29" i="6" s="1"/>
  <c r="K29" i="6" s="1"/>
  <c r="L29" i="6" s="1"/>
  <c r="M29" i="6" s="1"/>
  <c r="N29" i="6" s="1"/>
  <c r="O29" i="6" s="1"/>
  <c r="P29" i="6" s="1"/>
  <c r="I28" i="6"/>
  <c r="J28" i="6" s="1"/>
  <c r="K28" i="6" s="1"/>
  <c r="L28" i="6" s="1"/>
  <c r="M28" i="6" s="1"/>
  <c r="N28" i="6" s="1"/>
  <c r="O28" i="6" s="1"/>
  <c r="P28" i="6" s="1"/>
  <c r="I27" i="6"/>
  <c r="J27" i="6" s="1"/>
  <c r="K27" i="6" s="1"/>
  <c r="L27" i="6" s="1"/>
  <c r="M27" i="6" s="1"/>
  <c r="N27" i="6" s="1"/>
  <c r="O27" i="6" s="1"/>
  <c r="P27" i="6" s="1"/>
  <c r="I26" i="6"/>
  <c r="J26" i="6" s="1"/>
  <c r="K26" i="6" s="1"/>
  <c r="L26" i="6" s="1"/>
  <c r="M26" i="6" s="1"/>
  <c r="N26" i="6" s="1"/>
  <c r="O26" i="6" s="1"/>
  <c r="P26" i="6" s="1"/>
  <c r="I25" i="6"/>
  <c r="J25" i="6" s="1"/>
  <c r="K25" i="6" s="1"/>
  <c r="L25" i="6" s="1"/>
  <c r="M25" i="6" s="1"/>
  <c r="N25" i="6" s="1"/>
  <c r="O25" i="6" s="1"/>
  <c r="P25" i="6" s="1"/>
  <c r="I24" i="6"/>
  <c r="J24" i="6" s="1"/>
  <c r="K24" i="6" s="1"/>
  <c r="L24" i="6" s="1"/>
  <c r="M24" i="6" s="1"/>
  <c r="N24" i="6" s="1"/>
  <c r="O24" i="6" s="1"/>
  <c r="P24" i="6" s="1"/>
  <c r="I23" i="6"/>
  <c r="J23" i="6" s="1"/>
  <c r="K23" i="6" s="1"/>
  <c r="L23" i="6" s="1"/>
  <c r="M23" i="6" s="1"/>
  <c r="N23" i="6" s="1"/>
  <c r="O23" i="6" s="1"/>
  <c r="P23" i="6" s="1"/>
  <c r="H8" i="6"/>
  <c r="H9" i="6"/>
  <c r="R10" i="6"/>
  <c r="G10" i="6"/>
  <c r="C8" i="6"/>
  <c r="K115" i="3"/>
  <c r="C115" i="3"/>
  <c r="K114" i="3"/>
  <c r="C114" i="3"/>
  <c r="K113" i="3"/>
  <c r="C113" i="3"/>
  <c r="K112" i="3"/>
  <c r="C112" i="3"/>
  <c r="K111" i="3"/>
  <c r="C111" i="3"/>
  <c r="K110" i="3"/>
  <c r="C110" i="3"/>
  <c r="K109" i="3"/>
  <c r="C109" i="3"/>
  <c r="K108" i="3"/>
  <c r="C108" i="3"/>
  <c r="K107" i="3"/>
  <c r="C107" i="3"/>
  <c r="K106" i="3"/>
  <c r="C106" i="3"/>
  <c r="K105" i="3"/>
  <c r="C105" i="3"/>
  <c r="K104" i="3"/>
  <c r="C104" i="3"/>
  <c r="K103" i="3"/>
  <c r="C103" i="3"/>
  <c r="K102" i="3"/>
  <c r="C102" i="3"/>
  <c r="K101" i="3"/>
  <c r="C101" i="3"/>
  <c r="K100" i="3"/>
  <c r="C100" i="3"/>
  <c r="K99" i="3"/>
  <c r="C99" i="3"/>
  <c r="K98" i="3"/>
  <c r="C98" i="3"/>
  <c r="K97" i="3"/>
  <c r="C97" i="3"/>
  <c r="K96" i="3"/>
  <c r="C96" i="3"/>
  <c r="K95" i="3"/>
  <c r="C95" i="3"/>
  <c r="K94" i="3"/>
  <c r="C94" i="3"/>
  <c r="K93" i="3"/>
  <c r="C93" i="3"/>
  <c r="K92" i="3"/>
  <c r="C92" i="3"/>
  <c r="K91" i="3"/>
  <c r="C91" i="3"/>
  <c r="K90" i="3"/>
  <c r="C90" i="3"/>
  <c r="K89" i="3"/>
  <c r="C89" i="3"/>
  <c r="K88" i="3"/>
  <c r="C88" i="3"/>
  <c r="K87" i="3"/>
  <c r="C87" i="3"/>
  <c r="K86" i="3"/>
  <c r="C86" i="3"/>
  <c r="K85" i="3"/>
  <c r="C85" i="3"/>
  <c r="K84" i="3"/>
  <c r="C84" i="3"/>
  <c r="K83" i="3"/>
  <c r="C83" i="3"/>
  <c r="K82" i="3"/>
  <c r="C82" i="3"/>
  <c r="K81" i="3"/>
  <c r="C81" i="3"/>
  <c r="K80" i="3"/>
  <c r="C80" i="3"/>
  <c r="K79" i="3"/>
  <c r="C79" i="3"/>
  <c r="K78" i="3"/>
  <c r="C78" i="3"/>
  <c r="K77" i="3"/>
  <c r="C77" i="3"/>
  <c r="K76" i="3"/>
  <c r="C76" i="3"/>
  <c r="K75" i="3"/>
  <c r="C75" i="3"/>
  <c r="K74" i="3"/>
  <c r="C74" i="3"/>
  <c r="K73" i="3"/>
  <c r="C73" i="3"/>
  <c r="K72" i="3"/>
  <c r="C72" i="3"/>
  <c r="K71" i="3"/>
  <c r="C71" i="3"/>
  <c r="K70" i="3"/>
  <c r="C70" i="3"/>
  <c r="K69" i="3"/>
  <c r="C69" i="3"/>
  <c r="K68" i="3"/>
  <c r="C68" i="3"/>
  <c r="K67" i="3"/>
  <c r="C67" i="3"/>
  <c r="K66" i="3"/>
  <c r="C66" i="3"/>
  <c r="K65" i="3"/>
  <c r="C65" i="3"/>
  <c r="K64" i="3"/>
  <c r="C64" i="3"/>
  <c r="K63" i="3"/>
  <c r="C63" i="3"/>
  <c r="K62" i="3"/>
  <c r="C62" i="3"/>
  <c r="K61" i="3"/>
  <c r="C61" i="3"/>
  <c r="K60" i="3"/>
  <c r="C60" i="3"/>
  <c r="K59" i="3"/>
  <c r="C59" i="3"/>
  <c r="K58" i="3"/>
  <c r="C58" i="3"/>
  <c r="K57" i="3"/>
  <c r="C57" i="3"/>
  <c r="K56" i="3"/>
  <c r="C56" i="3"/>
  <c r="K55" i="3"/>
  <c r="C55" i="3"/>
  <c r="K54" i="3"/>
  <c r="C54" i="3"/>
  <c r="K53" i="3"/>
  <c r="C53" i="3"/>
  <c r="K52" i="3"/>
  <c r="C52" i="3"/>
  <c r="K51" i="3"/>
  <c r="C51" i="3"/>
  <c r="K50" i="3"/>
  <c r="C50" i="3"/>
  <c r="K49" i="3"/>
  <c r="C49" i="3"/>
  <c r="K48" i="3"/>
  <c r="C48" i="3"/>
  <c r="K47" i="3"/>
  <c r="C47" i="3"/>
  <c r="K46" i="3"/>
  <c r="C46" i="3"/>
  <c r="K45" i="3"/>
  <c r="C45" i="3"/>
  <c r="K44" i="3"/>
  <c r="C44" i="3"/>
  <c r="K43" i="3"/>
  <c r="C43" i="3"/>
  <c r="K42" i="3"/>
  <c r="C42" i="3"/>
  <c r="K41" i="3"/>
  <c r="C41" i="3"/>
  <c r="K40" i="3"/>
  <c r="C40" i="3"/>
  <c r="K39" i="3"/>
  <c r="C39" i="3"/>
  <c r="K38" i="3"/>
  <c r="C38" i="3"/>
  <c r="K37" i="3"/>
  <c r="C37" i="3"/>
  <c r="K36" i="3"/>
  <c r="C36" i="3"/>
  <c r="K35" i="3"/>
  <c r="C35" i="3"/>
  <c r="K34" i="3"/>
  <c r="C34" i="3"/>
  <c r="K33" i="3"/>
  <c r="C33" i="3"/>
  <c r="K32" i="3"/>
  <c r="C32" i="3"/>
  <c r="K31" i="3"/>
  <c r="C31" i="3"/>
  <c r="K30" i="3"/>
  <c r="C30" i="3"/>
  <c r="K29" i="3"/>
  <c r="C29" i="3"/>
  <c r="K28" i="3"/>
  <c r="C28" i="3"/>
  <c r="K27" i="3"/>
  <c r="C27" i="3"/>
  <c r="K26" i="3"/>
  <c r="C26" i="3"/>
  <c r="K25" i="3"/>
  <c r="C25" i="3"/>
  <c r="K24" i="3"/>
  <c r="C24" i="3"/>
  <c r="K23" i="3"/>
  <c r="C23" i="3"/>
  <c r="K22" i="3"/>
  <c r="C22" i="3"/>
  <c r="K21" i="3"/>
  <c r="C21" i="3"/>
  <c r="K20" i="3"/>
  <c r="C20" i="3"/>
  <c r="K19" i="3"/>
  <c r="C19" i="3"/>
  <c r="K18" i="3"/>
  <c r="C18" i="3"/>
  <c r="K17" i="3"/>
  <c r="C17" i="3"/>
  <c r="K16" i="3"/>
  <c r="C16" i="3"/>
  <c r="K15" i="3"/>
  <c r="C15" i="3"/>
  <c r="K14" i="3"/>
  <c r="C14" i="3"/>
  <c r="K13" i="3"/>
  <c r="C13" i="3"/>
  <c r="K12" i="3"/>
  <c r="C12" i="3"/>
  <c r="K11" i="3"/>
  <c r="C11" i="3"/>
  <c r="K10" i="3"/>
  <c r="C10" i="3"/>
  <c r="K9" i="3"/>
  <c r="C9" i="3"/>
  <c r="K8" i="3"/>
  <c r="C8" i="3"/>
  <c r="H10" i="6" l="1"/>
  <c r="F13" i="6" s="1"/>
  <c r="G13" i="6" s="1"/>
  <c r="G14" i="6" s="1"/>
  <c r="E32" i="6" s="1"/>
  <c r="F32" i="6" s="1"/>
  <c r="G32" i="6" s="1"/>
  <c r="H32" i="6" s="1"/>
  <c r="U117" i="7"/>
  <c r="U94" i="7"/>
  <c r="U22" i="7"/>
  <c r="U35" i="7"/>
  <c r="U158" i="7"/>
  <c r="U73" i="7"/>
  <c r="U156" i="7"/>
  <c r="U74" i="7"/>
  <c r="U91" i="7"/>
  <c r="U86" i="7"/>
  <c r="U119" i="7"/>
  <c r="U8" i="7"/>
  <c r="U137" i="7"/>
  <c r="U18" i="7"/>
  <c r="U72" i="7"/>
  <c r="U81" i="7"/>
  <c r="U71" i="7"/>
  <c r="U135" i="7"/>
  <c r="U24" i="7"/>
  <c r="U152" i="7"/>
  <c r="U47" i="7"/>
  <c r="U116" i="7"/>
  <c r="U64" i="7"/>
  <c r="U129" i="7"/>
  <c r="U138" i="7"/>
  <c r="U27" i="7"/>
  <c r="U45" i="7"/>
  <c r="U150" i="7"/>
  <c r="U55" i="7"/>
  <c r="U136" i="7"/>
  <c r="U9" i="7"/>
  <c r="U53" i="7"/>
  <c r="U15" i="7"/>
  <c r="U79" i="7"/>
  <c r="U143" i="7"/>
  <c r="U32" i="7"/>
  <c r="U96" i="7"/>
  <c r="U160" i="7"/>
  <c r="U33" i="7"/>
  <c r="U97" i="7"/>
  <c r="U52" i="7"/>
  <c r="U41" i="7"/>
  <c r="U105" i="7"/>
  <c r="U20" i="7"/>
  <c r="U50" i="7"/>
  <c r="U114" i="7"/>
  <c r="U148" i="7"/>
  <c r="U67" i="7"/>
  <c r="U131" i="7"/>
  <c r="U21" i="7"/>
  <c r="U85" i="7"/>
  <c r="U149" i="7"/>
  <c r="U62" i="7"/>
  <c r="U126" i="7"/>
  <c r="U111" i="7"/>
  <c r="U128" i="7"/>
  <c r="U65" i="7"/>
  <c r="U10" i="7"/>
  <c r="U155" i="7"/>
  <c r="U109" i="7"/>
  <c r="U23" i="7"/>
  <c r="U87" i="7"/>
  <c r="U104" i="7"/>
  <c r="U36" i="7"/>
  <c r="U144" i="7"/>
  <c r="U145" i="7"/>
  <c r="U31" i="7"/>
  <c r="U95" i="7"/>
  <c r="U159" i="7"/>
  <c r="U48" i="7"/>
  <c r="U112" i="7"/>
  <c r="U146" i="7"/>
  <c r="U151" i="7"/>
  <c r="U40" i="7"/>
  <c r="U99" i="7"/>
  <c r="U82" i="7"/>
  <c r="U63" i="7"/>
  <c r="U17" i="7"/>
  <c r="U39" i="7"/>
  <c r="U103" i="7"/>
  <c r="U60" i="7"/>
  <c r="U56" i="7"/>
  <c r="U120" i="7"/>
  <c r="U108" i="7"/>
  <c r="U57" i="7"/>
  <c r="U121" i="7"/>
  <c r="U140" i="7"/>
  <c r="U66" i="7"/>
  <c r="U130" i="7"/>
  <c r="U19" i="7"/>
  <c r="U83" i="7"/>
  <c r="U147" i="7"/>
  <c r="U37" i="7"/>
  <c r="U101" i="7"/>
  <c r="U14" i="7"/>
  <c r="U78" i="7"/>
  <c r="U142" i="7"/>
  <c r="AB9" i="7"/>
  <c r="AC9" i="7" s="1"/>
  <c r="AD9" i="7" s="1"/>
  <c r="AE9" i="7" s="1"/>
  <c r="AF9" i="7" s="1"/>
  <c r="P134" i="7"/>
  <c r="Q134" i="7" s="1"/>
  <c r="R134" i="7" s="1"/>
  <c r="P126" i="7"/>
  <c r="Q126" i="7" s="1"/>
  <c r="R126" i="7" s="1"/>
  <c r="P109" i="7"/>
  <c r="Q109" i="7" s="1"/>
  <c r="R109" i="7" s="1"/>
  <c r="P18" i="7"/>
  <c r="Q18" i="7" s="1"/>
  <c r="R18" i="7" s="1"/>
  <c r="P24" i="7"/>
  <c r="Q24" i="7" s="1"/>
  <c r="R24" i="7" s="1"/>
  <c r="P61" i="7"/>
  <c r="Q61" i="7" s="1"/>
  <c r="R61" i="7" s="1"/>
  <c r="P11" i="7"/>
  <c r="Q11" i="7" s="1"/>
  <c r="R11" i="7" s="1"/>
  <c r="P114" i="7"/>
  <c r="Q114" i="7" s="1"/>
  <c r="R114" i="7" s="1"/>
  <c r="P10" i="7"/>
  <c r="Q10" i="7" s="1"/>
  <c r="R10" i="7" s="1"/>
  <c r="P54" i="7"/>
  <c r="Q54" i="7" s="1"/>
  <c r="R54" i="7" s="1"/>
  <c r="P91" i="7"/>
  <c r="Q91" i="7" s="1"/>
  <c r="R91" i="7" s="1"/>
  <c r="P125" i="7"/>
  <c r="Q125" i="7" s="1"/>
  <c r="R125" i="7" s="1"/>
  <c r="P29" i="7"/>
  <c r="Q29" i="7" s="1"/>
  <c r="R29" i="7" s="1"/>
  <c r="P37" i="7"/>
  <c r="Q37" i="7" s="1"/>
  <c r="R37" i="7" s="1"/>
  <c r="P50" i="7"/>
  <c r="Q50" i="7" s="1"/>
  <c r="R50" i="7" s="1"/>
  <c r="P102" i="7"/>
  <c r="Q102" i="7" s="1"/>
  <c r="R102" i="7" s="1"/>
  <c r="P141" i="7"/>
  <c r="Q141" i="7" s="1"/>
  <c r="R141" i="7" s="1"/>
  <c r="P99" i="7"/>
  <c r="Q99" i="7" s="1"/>
  <c r="R99" i="7" s="1"/>
  <c r="P131" i="7"/>
  <c r="Q131" i="7" s="1"/>
  <c r="R131" i="7" s="1"/>
  <c r="P35" i="7"/>
  <c r="Q35" i="7" s="1"/>
  <c r="R35" i="7" s="1"/>
  <c r="P43" i="7"/>
  <c r="Q43" i="7" s="1"/>
  <c r="R43" i="7" s="1"/>
  <c r="P149" i="7"/>
  <c r="Q149" i="7" s="1"/>
  <c r="R149" i="7" s="1"/>
  <c r="P21" i="7"/>
  <c r="Q21" i="7" s="1"/>
  <c r="R21" i="7" s="1"/>
  <c r="P30" i="7"/>
  <c r="Q30" i="7" s="1"/>
  <c r="R30" i="7" s="1"/>
  <c r="P77" i="7"/>
  <c r="Q77" i="7" s="1"/>
  <c r="R77" i="7" s="1"/>
  <c r="P98" i="7"/>
  <c r="Q98" i="7" s="1"/>
  <c r="R98" i="7" s="1"/>
  <c r="P123" i="7"/>
  <c r="Q123" i="7" s="1"/>
  <c r="R123" i="7" s="1"/>
  <c r="P138" i="7"/>
  <c r="Q138" i="7" s="1"/>
  <c r="R138" i="7" s="1"/>
  <c r="I4" i="7"/>
  <c r="O4" i="7" s="1"/>
  <c r="P14" i="7"/>
  <c r="Q14" i="7" s="1"/>
  <c r="R14" i="7" s="1"/>
  <c r="P42" i="7"/>
  <c r="Q42" i="7" s="1"/>
  <c r="R42" i="7" s="1"/>
  <c r="P85" i="7"/>
  <c r="Q85" i="7" s="1"/>
  <c r="R85" i="7" s="1"/>
  <c r="L4" i="7"/>
  <c r="N19" i="7"/>
  <c r="P75" i="7"/>
  <c r="Q75" i="7" s="1"/>
  <c r="R75" i="7" s="1"/>
  <c r="P110" i="7"/>
  <c r="Q110" i="7" s="1"/>
  <c r="R110" i="7" s="1"/>
  <c r="P26" i="7"/>
  <c r="Q26" i="7" s="1"/>
  <c r="R26" i="7" s="1"/>
  <c r="P45" i="7"/>
  <c r="Q45" i="7" s="1"/>
  <c r="R45" i="7" s="1"/>
  <c r="P59" i="7"/>
  <c r="Q59" i="7" s="1"/>
  <c r="R59" i="7" s="1"/>
  <c r="P94" i="7"/>
  <c r="Q94" i="7" s="1"/>
  <c r="R94" i="7" s="1"/>
  <c r="P101" i="7"/>
  <c r="Q101" i="7" s="1"/>
  <c r="R101" i="7" s="1"/>
  <c r="P130" i="7"/>
  <c r="Q130" i="7" s="1"/>
  <c r="R130" i="7" s="1"/>
  <c r="P139" i="7"/>
  <c r="Q139" i="7" s="1"/>
  <c r="R139" i="7" s="1"/>
  <c r="P157" i="7"/>
  <c r="Q157" i="7" s="1"/>
  <c r="R157" i="7" s="1"/>
  <c r="P106" i="7"/>
  <c r="Q106" i="7" s="1"/>
  <c r="R106" i="7" s="1"/>
  <c r="P117" i="7"/>
  <c r="Q117" i="7" s="1"/>
  <c r="R117" i="7" s="1"/>
  <c r="P146" i="7"/>
  <c r="Q146" i="7" s="1"/>
  <c r="R146" i="7" s="1"/>
  <c r="P155" i="7"/>
  <c r="Q155" i="7" s="1"/>
  <c r="R155" i="7" s="1"/>
  <c r="P13" i="7"/>
  <c r="Q13" i="7" s="1"/>
  <c r="R13" i="7" s="1"/>
  <c r="P15" i="7"/>
  <c r="Q15" i="7" s="1"/>
  <c r="R15" i="7" s="1"/>
  <c r="P22" i="7"/>
  <c r="Q22" i="7" s="1"/>
  <c r="R22" i="7" s="1"/>
  <c r="P83" i="7"/>
  <c r="Q83" i="7" s="1"/>
  <c r="R83" i="7" s="1"/>
  <c r="P115" i="7"/>
  <c r="Q115" i="7" s="1"/>
  <c r="R115" i="7" s="1"/>
  <c r="P142" i="7"/>
  <c r="Q142" i="7" s="1"/>
  <c r="R142" i="7" s="1"/>
  <c r="AB14" i="7"/>
  <c r="AC14" i="7" s="1"/>
  <c r="AD14" i="7" s="1"/>
  <c r="AE14" i="7" s="1"/>
  <c r="AF14" i="7" s="1"/>
  <c r="AG14" i="7" s="1"/>
  <c r="AH14" i="7" s="1"/>
  <c r="AI14" i="7" s="1"/>
  <c r="AJ14" i="7" s="1"/>
  <c r="AK14" i="7" s="1"/>
  <c r="P34" i="7"/>
  <c r="Q34" i="7" s="1"/>
  <c r="R34" i="7" s="1"/>
  <c r="P53" i="7"/>
  <c r="Q53" i="7" s="1"/>
  <c r="R53" i="7" s="1"/>
  <c r="P69" i="7"/>
  <c r="Q69" i="7" s="1"/>
  <c r="R69" i="7" s="1"/>
  <c r="P90" i="7"/>
  <c r="Q90" i="7" s="1"/>
  <c r="R90" i="7" s="1"/>
  <c r="P122" i="7"/>
  <c r="Q122" i="7" s="1"/>
  <c r="R122" i="7" s="1"/>
  <c r="P133" i="7"/>
  <c r="Q133" i="7" s="1"/>
  <c r="R133" i="7" s="1"/>
  <c r="P51" i="7"/>
  <c r="Q51" i="7" s="1"/>
  <c r="R51" i="7" s="1"/>
  <c r="P67" i="7"/>
  <c r="Q67" i="7" s="1"/>
  <c r="R67" i="7" s="1"/>
  <c r="P86" i="7"/>
  <c r="Q86" i="7" s="1"/>
  <c r="R86" i="7" s="1"/>
  <c r="P7" i="7"/>
  <c r="Q7" i="7" s="1"/>
  <c r="R7" i="7" s="1"/>
  <c r="P16" i="7"/>
  <c r="Q16" i="7" s="1"/>
  <c r="R16" i="7" s="1"/>
  <c r="P93" i="7"/>
  <c r="Q93" i="7" s="1"/>
  <c r="R93" i="7" s="1"/>
  <c r="P107" i="7"/>
  <c r="Q107" i="7" s="1"/>
  <c r="R107" i="7" s="1"/>
  <c r="P147" i="7"/>
  <c r="Q147" i="7" s="1"/>
  <c r="R147" i="7" s="1"/>
  <c r="P154" i="7"/>
  <c r="Q154" i="7" s="1"/>
  <c r="R154" i="7" s="1"/>
  <c r="P9" i="7"/>
  <c r="Q9" i="7" s="1"/>
  <c r="R9" i="7" s="1"/>
  <c r="P64" i="7"/>
  <c r="Q64" i="7" s="1"/>
  <c r="R64" i="7" s="1"/>
  <c r="P96" i="7"/>
  <c r="Q96" i="7" s="1"/>
  <c r="R96" i="7" s="1"/>
  <c r="P23" i="7"/>
  <c r="Q23" i="7" s="1"/>
  <c r="R23" i="7" s="1"/>
  <c r="P72" i="7"/>
  <c r="Q72" i="7" s="1"/>
  <c r="R72" i="7" s="1"/>
  <c r="P92" i="7"/>
  <c r="Q92" i="7" s="1"/>
  <c r="R92" i="7" s="1"/>
  <c r="P66" i="7"/>
  <c r="Q66" i="7" s="1"/>
  <c r="R66" i="7" s="1"/>
  <c r="P112" i="7"/>
  <c r="Q112" i="7" s="1"/>
  <c r="R112" i="7" s="1"/>
  <c r="P159" i="7"/>
  <c r="Q159" i="7" s="1"/>
  <c r="R159" i="7" s="1"/>
  <c r="P58" i="7"/>
  <c r="Q58" i="7" s="1"/>
  <c r="R58" i="7" s="1"/>
  <c r="P63" i="7"/>
  <c r="Q63" i="7" s="1"/>
  <c r="R63" i="7" s="1"/>
  <c r="P100" i="7"/>
  <c r="Q100" i="7" s="1"/>
  <c r="R100" i="7" s="1"/>
  <c r="P31" i="7"/>
  <c r="Q31" i="7" s="1"/>
  <c r="R31" i="7" s="1"/>
  <c r="P74" i="7"/>
  <c r="Q74" i="7" s="1"/>
  <c r="R74" i="7" s="1"/>
  <c r="P111" i="7"/>
  <c r="Q111" i="7" s="1"/>
  <c r="R111" i="7" s="1"/>
  <c r="P144" i="7"/>
  <c r="Q144" i="7" s="1"/>
  <c r="R144" i="7" s="1"/>
  <c r="P12" i="7"/>
  <c r="Q12" i="7" s="1"/>
  <c r="R12" i="7" s="1"/>
  <c r="P55" i="7"/>
  <c r="Q55" i="7" s="1"/>
  <c r="R55" i="7" s="1"/>
  <c r="P8" i="7"/>
  <c r="Q8" i="7" s="1"/>
  <c r="R8" i="7" s="1"/>
  <c r="P36" i="7"/>
  <c r="Q36" i="7" s="1"/>
  <c r="R36" i="7" s="1"/>
  <c r="P40" i="7"/>
  <c r="Q40" i="7" s="1"/>
  <c r="R40" i="7" s="1"/>
  <c r="P60" i="7"/>
  <c r="Q60" i="7" s="1"/>
  <c r="R60" i="7" s="1"/>
  <c r="P140" i="7"/>
  <c r="Q140" i="7" s="1"/>
  <c r="R140" i="7" s="1"/>
  <c r="P148" i="7"/>
  <c r="Q148" i="7" s="1"/>
  <c r="R148" i="7" s="1"/>
  <c r="P28" i="7"/>
  <c r="Q28" i="7" s="1"/>
  <c r="R28" i="7" s="1"/>
  <c r="P32" i="7"/>
  <c r="Q32" i="7" s="1"/>
  <c r="R32" i="7" s="1"/>
  <c r="P143" i="7"/>
  <c r="Q143" i="7" s="1"/>
  <c r="R143" i="7" s="1"/>
  <c r="P88" i="7"/>
  <c r="Q88" i="7" s="1"/>
  <c r="R88" i="7" s="1"/>
  <c r="P104" i="7"/>
  <c r="Q104" i="7" s="1"/>
  <c r="R104" i="7" s="1"/>
  <c r="P19" i="7"/>
  <c r="Q19" i="7" s="1"/>
  <c r="R19" i="7" s="1"/>
  <c r="P76" i="7"/>
  <c r="Q76" i="7" s="1"/>
  <c r="R76" i="7" s="1"/>
  <c r="P80" i="7"/>
  <c r="Q80" i="7" s="1"/>
  <c r="R80" i="7" s="1"/>
  <c r="P84" i="7"/>
  <c r="Q84" i="7" s="1"/>
  <c r="R84" i="7" s="1"/>
  <c r="P108" i="7"/>
  <c r="Q108" i="7" s="1"/>
  <c r="R108" i="7" s="1"/>
  <c r="P120" i="7"/>
  <c r="Q120" i="7" s="1"/>
  <c r="R120" i="7" s="1"/>
  <c r="P161" i="7"/>
  <c r="Q161" i="7" s="1"/>
  <c r="R161" i="7" s="1"/>
  <c r="P87" i="7"/>
  <c r="Q87" i="7" s="1"/>
  <c r="R87" i="7" s="1"/>
  <c r="P116" i="7"/>
  <c r="Q116" i="7" s="1"/>
  <c r="R116" i="7" s="1"/>
  <c r="P79" i="7"/>
  <c r="Q79" i="7" s="1"/>
  <c r="R79" i="7" s="1"/>
  <c r="P82" i="7"/>
  <c r="Q82" i="7" s="1"/>
  <c r="R82" i="7" s="1"/>
  <c r="P128" i="7"/>
  <c r="Q128" i="7" s="1"/>
  <c r="R128" i="7" s="1"/>
  <c r="P48" i="7"/>
  <c r="Q48" i="7" s="1"/>
  <c r="R48" i="7" s="1"/>
  <c r="P56" i="7"/>
  <c r="Q56" i="7" s="1"/>
  <c r="R56" i="7" s="1"/>
  <c r="P68" i="7"/>
  <c r="Q68" i="7" s="1"/>
  <c r="R68" i="7" s="1"/>
  <c r="P136" i="7"/>
  <c r="Q136" i="7" s="1"/>
  <c r="R136" i="7" s="1"/>
  <c r="P152" i="7"/>
  <c r="Q152" i="7" s="1"/>
  <c r="R152" i="7" s="1"/>
  <c r="P33" i="7"/>
  <c r="Q33" i="7" s="1"/>
  <c r="R33" i="7" s="1"/>
  <c r="N33" i="7"/>
  <c r="N40" i="7"/>
  <c r="P97" i="7"/>
  <c r="Q97" i="7" s="1"/>
  <c r="R97" i="7" s="1"/>
  <c r="N97" i="7"/>
  <c r="N136" i="7"/>
  <c r="N8" i="7"/>
  <c r="N12" i="7"/>
  <c r="P39" i="7"/>
  <c r="Q39" i="7" s="1"/>
  <c r="R39" i="7" s="1"/>
  <c r="P44" i="7"/>
  <c r="Q44" i="7" s="1"/>
  <c r="R44" i="7" s="1"/>
  <c r="P70" i="7"/>
  <c r="Q70" i="7" s="1"/>
  <c r="R70" i="7" s="1"/>
  <c r="P73" i="7"/>
  <c r="Q73" i="7" s="1"/>
  <c r="R73" i="7" s="1"/>
  <c r="N73" i="7"/>
  <c r="N80" i="7"/>
  <c r="P103" i="7"/>
  <c r="Q103" i="7" s="1"/>
  <c r="R103" i="7" s="1"/>
  <c r="P118" i="7"/>
  <c r="Q118" i="7" s="1"/>
  <c r="R118" i="7" s="1"/>
  <c r="P121" i="7"/>
  <c r="Q121" i="7" s="1"/>
  <c r="R121" i="7" s="1"/>
  <c r="N121" i="7"/>
  <c r="P135" i="7"/>
  <c r="Q135" i="7" s="1"/>
  <c r="R135" i="7" s="1"/>
  <c r="P150" i="7"/>
  <c r="Q150" i="7" s="1"/>
  <c r="R150" i="7" s="1"/>
  <c r="P153" i="7"/>
  <c r="Q153" i="7" s="1"/>
  <c r="R153" i="7" s="1"/>
  <c r="N153" i="7"/>
  <c r="P27" i="7"/>
  <c r="Q27" i="7" s="1"/>
  <c r="R27" i="7" s="1"/>
  <c r="P46" i="7"/>
  <c r="Q46" i="7" s="1"/>
  <c r="R46" i="7" s="1"/>
  <c r="P49" i="7"/>
  <c r="Q49" i="7" s="1"/>
  <c r="R49" i="7" s="1"/>
  <c r="N49" i="7"/>
  <c r="F4" i="7"/>
  <c r="Q4" i="7" s="1"/>
  <c r="P25" i="7"/>
  <c r="Q25" i="7" s="1"/>
  <c r="R25" i="7" s="1"/>
  <c r="N25" i="7"/>
  <c r="N32" i="7"/>
  <c r="P89" i="7"/>
  <c r="Q89" i="7" s="1"/>
  <c r="R89" i="7" s="1"/>
  <c r="N89" i="7"/>
  <c r="N96" i="7"/>
  <c r="P113" i="7"/>
  <c r="Q113" i="7" s="1"/>
  <c r="R113" i="7" s="1"/>
  <c r="N113" i="7"/>
  <c r="P127" i="7"/>
  <c r="Q127" i="7" s="1"/>
  <c r="R127" i="7" s="1"/>
  <c r="P145" i="7"/>
  <c r="Q145" i="7" s="1"/>
  <c r="R145" i="7" s="1"/>
  <c r="N145" i="7"/>
  <c r="N158" i="7"/>
  <c r="P158" i="7"/>
  <c r="Q158" i="7" s="1"/>
  <c r="R158" i="7" s="1"/>
  <c r="P62" i="7"/>
  <c r="Q62" i="7" s="1"/>
  <c r="R62" i="7" s="1"/>
  <c r="P65" i="7"/>
  <c r="Q65" i="7" s="1"/>
  <c r="R65" i="7" s="1"/>
  <c r="N65" i="7"/>
  <c r="N72" i="7"/>
  <c r="P95" i="7"/>
  <c r="Q95" i="7" s="1"/>
  <c r="R95" i="7" s="1"/>
  <c r="P132" i="7"/>
  <c r="Q132" i="7" s="1"/>
  <c r="R132" i="7" s="1"/>
  <c r="N152" i="7"/>
  <c r="P17" i="7"/>
  <c r="Q17" i="7" s="1"/>
  <c r="R17" i="7" s="1"/>
  <c r="N17" i="7"/>
  <c r="P38" i="7"/>
  <c r="Q38" i="7" s="1"/>
  <c r="R38" i="7" s="1"/>
  <c r="P41" i="7"/>
  <c r="Q41" i="7" s="1"/>
  <c r="R41" i="7" s="1"/>
  <c r="N41" i="7"/>
  <c r="N48" i="7"/>
  <c r="P71" i="7"/>
  <c r="Q71" i="7" s="1"/>
  <c r="R71" i="7" s="1"/>
  <c r="P105" i="7"/>
  <c r="Q105" i="7" s="1"/>
  <c r="R105" i="7" s="1"/>
  <c r="N105" i="7"/>
  <c r="P119" i="7"/>
  <c r="Q119" i="7" s="1"/>
  <c r="R119" i="7" s="1"/>
  <c r="P137" i="7"/>
  <c r="Q137" i="7" s="1"/>
  <c r="R137" i="7" s="1"/>
  <c r="N137" i="7"/>
  <c r="P151" i="7"/>
  <c r="Q151" i="7" s="1"/>
  <c r="R151" i="7" s="1"/>
  <c r="P57" i="7"/>
  <c r="Q57" i="7" s="1"/>
  <c r="R57" i="7" s="1"/>
  <c r="N57" i="7"/>
  <c r="P129" i="7"/>
  <c r="Q129" i="7" s="1"/>
  <c r="R129" i="7" s="1"/>
  <c r="N129" i="7"/>
  <c r="N104" i="7"/>
  <c r="P20" i="7"/>
  <c r="Q20" i="7" s="1"/>
  <c r="R20" i="7" s="1"/>
  <c r="N20" i="7"/>
  <c r="P47" i="7"/>
  <c r="Q47" i="7" s="1"/>
  <c r="R47" i="7" s="1"/>
  <c r="P52" i="7"/>
  <c r="Q52" i="7" s="1"/>
  <c r="R52" i="7" s="1"/>
  <c r="P78" i="7"/>
  <c r="Q78" i="7" s="1"/>
  <c r="R78" i="7" s="1"/>
  <c r="P81" i="7"/>
  <c r="Q81" i="7" s="1"/>
  <c r="R81" i="7" s="1"/>
  <c r="N81" i="7"/>
  <c r="P124" i="7"/>
  <c r="Q124" i="7" s="1"/>
  <c r="R124" i="7" s="1"/>
  <c r="P156" i="7"/>
  <c r="Q156" i="7" s="1"/>
  <c r="R156" i="7" s="1"/>
  <c r="P160" i="7"/>
  <c r="Q160" i="7" s="1"/>
  <c r="R160" i="7" s="1"/>
  <c r="N160" i="7"/>
  <c r="N161" i="7"/>
  <c r="N28" i="7"/>
  <c r="N36" i="7"/>
  <c r="N44" i="7"/>
  <c r="N52" i="7"/>
  <c r="N60" i="7"/>
  <c r="N68" i="7"/>
  <c r="N76" i="7"/>
  <c r="N84" i="7"/>
  <c r="N92" i="7"/>
  <c r="N100" i="7"/>
  <c r="N108" i="7"/>
  <c r="N116" i="7"/>
  <c r="N124" i="7"/>
  <c r="N132" i="7"/>
  <c r="N140" i="7"/>
  <c r="N148" i="7"/>
  <c r="N156" i="7"/>
  <c r="I33" i="6"/>
  <c r="K33" i="6" s="1"/>
  <c r="M33" i="6" s="1"/>
  <c r="R13" i="1"/>
  <c r="L10" i="1"/>
  <c r="Q12" i="1"/>
  <c r="Q16" i="1"/>
  <c r="C5" i="1"/>
  <c r="E24" i="6" l="1"/>
  <c r="F24" i="6" s="1"/>
  <c r="G24" i="6" s="1"/>
  <c r="H24" i="6" s="1"/>
  <c r="E31" i="6"/>
  <c r="F31" i="6" s="1"/>
  <c r="G31" i="6" s="1"/>
  <c r="H31" i="6" s="1"/>
  <c r="E23" i="6"/>
  <c r="F23" i="6" s="1"/>
  <c r="G23" i="6" s="1"/>
  <c r="H23" i="6" s="1"/>
  <c r="E29" i="6"/>
  <c r="F29" i="6" s="1"/>
  <c r="G29" i="6" s="1"/>
  <c r="H29" i="6" s="1"/>
  <c r="E30" i="6"/>
  <c r="F30" i="6" s="1"/>
  <c r="G30" i="6" s="1"/>
  <c r="H30" i="6" s="1"/>
  <c r="E28" i="6"/>
  <c r="F28" i="6" s="1"/>
  <c r="G28" i="6" s="1"/>
  <c r="H28" i="6" s="1"/>
  <c r="E27" i="6"/>
  <c r="F27" i="6" s="1"/>
  <c r="G27" i="6" s="1"/>
  <c r="H27" i="6" s="1"/>
  <c r="E26" i="6"/>
  <c r="F26" i="6" s="1"/>
  <c r="G26" i="6" s="1"/>
  <c r="H26" i="6" s="1"/>
  <c r="E25" i="6"/>
  <c r="F25" i="6" s="1"/>
  <c r="G25" i="6" s="1"/>
  <c r="H25" i="6" s="1"/>
  <c r="Z16" i="7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Z13" i="7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Z8" i="7"/>
  <c r="AA8" i="7" s="1"/>
  <c r="AB8" i="7" s="1"/>
  <c r="AC8" i="7" s="1"/>
  <c r="AD8" i="7" s="1"/>
  <c r="AE8" i="7" s="1"/>
  <c r="AF8" i="7" s="1"/>
  <c r="AG8" i="7" s="1"/>
  <c r="Z7" i="7"/>
  <c r="AA7" i="7" s="1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Z15" i="7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Z17" i="7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Z12" i="7"/>
  <c r="Z18" i="7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4" i="7"/>
  <c r="J33" i="6"/>
  <c r="L33" i="6"/>
  <c r="O33" i="6"/>
  <c r="P33" i="6" s="1"/>
  <c r="N33" i="6"/>
  <c r="P16" i="1"/>
  <c r="N7" i="1"/>
  <c r="T10" i="1"/>
  <c r="V7" i="1"/>
  <c r="L14" i="1"/>
  <c r="N11" i="1"/>
  <c r="T14" i="1"/>
  <c r="Q8" i="1"/>
  <c r="P8" i="1"/>
  <c r="V11" i="1"/>
  <c r="N15" i="1"/>
  <c r="R9" i="1"/>
  <c r="P12" i="1"/>
  <c r="V15" i="1"/>
  <c r="N10" i="1"/>
  <c r="T13" i="1"/>
  <c r="Q7" i="1"/>
  <c r="S8" i="1"/>
  <c r="W10" i="1"/>
  <c r="Q11" i="1"/>
  <c r="S12" i="1"/>
  <c r="M13" i="1"/>
  <c r="U13" i="1"/>
  <c r="O14" i="1"/>
  <c r="W14" i="1"/>
  <c r="Q15" i="1"/>
  <c r="S16" i="1"/>
  <c r="R8" i="1"/>
  <c r="L9" i="1"/>
  <c r="R12" i="1"/>
  <c r="P15" i="1"/>
  <c r="M9" i="1"/>
  <c r="P10" i="1"/>
  <c r="L12" i="1"/>
  <c r="T12" i="1"/>
  <c r="N13" i="1"/>
  <c r="P14" i="1"/>
  <c r="R15" i="1"/>
  <c r="L16" i="1"/>
  <c r="T16" i="1"/>
  <c r="P7" i="1"/>
  <c r="T9" i="1"/>
  <c r="N14" i="1"/>
  <c r="U9" i="1"/>
  <c r="R7" i="1"/>
  <c r="L8" i="1"/>
  <c r="T8" i="1"/>
  <c r="V9" i="1"/>
  <c r="R11" i="1"/>
  <c r="V13" i="1"/>
  <c r="S7" i="1"/>
  <c r="M8" i="1"/>
  <c r="U8" i="1"/>
  <c r="O9" i="1"/>
  <c r="W9" i="1"/>
  <c r="Q10" i="1"/>
  <c r="S11" i="1"/>
  <c r="M12" i="1"/>
  <c r="U12" i="1"/>
  <c r="O13" i="1"/>
  <c r="W13" i="1"/>
  <c r="Q14" i="1"/>
  <c r="S15" i="1"/>
  <c r="M16" i="1"/>
  <c r="U16" i="1"/>
  <c r="P11" i="1"/>
  <c r="V14" i="1"/>
  <c r="O10" i="1"/>
  <c r="N9" i="1"/>
  <c r="L7" i="1"/>
  <c r="T7" i="1"/>
  <c r="N8" i="1"/>
  <c r="V8" i="1"/>
  <c r="P9" i="1"/>
  <c r="R10" i="1"/>
  <c r="L11" i="1"/>
  <c r="T11" i="1"/>
  <c r="N12" i="1"/>
  <c r="V12" i="1"/>
  <c r="P13" i="1"/>
  <c r="R14" i="1"/>
  <c r="L15" i="1"/>
  <c r="T15" i="1"/>
  <c r="N16" i="1"/>
  <c r="V16" i="1"/>
  <c r="V10" i="1"/>
  <c r="L13" i="1"/>
  <c r="R16" i="1"/>
  <c r="M7" i="1"/>
  <c r="U7" i="1"/>
  <c r="O8" i="1"/>
  <c r="W8" i="1"/>
  <c r="Q9" i="1"/>
  <c r="S10" i="1"/>
  <c r="M11" i="1"/>
  <c r="U11" i="1"/>
  <c r="O12" i="1"/>
  <c r="W12" i="1"/>
  <c r="Q13" i="1"/>
  <c r="S14" i="1"/>
  <c r="M15" i="1"/>
  <c r="U15" i="1"/>
  <c r="O16" i="1"/>
  <c r="W16" i="1"/>
  <c r="O7" i="1"/>
  <c r="W7" i="1"/>
  <c r="S9" i="1"/>
  <c r="M10" i="1"/>
  <c r="U10" i="1"/>
  <c r="O11" i="1"/>
  <c r="W11" i="1"/>
  <c r="S13" i="1"/>
  <c r="M14" i="1"/>
  <c r="U14" i="1"/>
  <c r="O15" i="1"/>
  <c r="W15" i="1"/>
  <c r="AA12" i="7" l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Z30" i="7"/>
  <c r="AH8" i="7"/>
  <c r="AL13" i="7"/>
  <c r="AL15" i="7"/>
  <c r="AL16" i="7"/>
  <c r="Z19" i="7"/>
  <c r="AL7" i="7"/>
  <c r="AL18" i="7"/>
  <c r="AL17" i="7"/>
  <c r="E3" i="6"/>
  <c r="X10" i="1"/>
  <c r="X14" i="1"/>
  <c r="N17" i="1"/>
  <c r="V17" i="1"/>
  <c r="U17" i="1"/>
  <c r="X15" i="1"/>
  <c r="X12" i="1"/>
  <c r="P17" i="1"/>
  <c r="Q17" i="1"/>
  <c r="O17" i="1"/>
  <c r="X13" i="1"/>
  <c r="T17" i="1"/>
  <c r="X16" i="1"/>
  <c r="M17" i="1"/>
  <c r="L17" i="1"/>
  <c r="X7" i="1"/>
  <c r="X8" i="1"/>
  <c r="W17" i="1"/>
  <c r="R17" i="1"/>
  <c r="X9" i="1"/>
  <c r="X11" i="1"/>
  <c r="S17" i="1"/>
  <c r="AC19" i="7" l="1"/>
  <c r="AF19" i="7"/>
  <c r="AB19" i="7"/>
  <c r="AL12" i="7"/>
  <c r="AD19" i="7"/>
  <c r="AE19" i="7"/>
  <c r="AG19" i="7"/>
  <c r="AA19" i="7"/>
  <c r="AI8" i="7"/>
  <c r="X17" i="1"/>
  <c r="AH19" i="7" l="1"/>
  <c r="AJ8" i="7"/>
  <c r="AI19" i="7"/>
  <c r="AK8" i="7" l="1"/>
  <c r="AJ19" i="7"/>
  <c r="AK19" i="7" l="1"/>
  <c r="AL19" i="7" s="1"/>
  <c r="AL8" i="7"/>
  <c r="AL9" i="7" l="1"/>
  <c r="AB15" i="8" l="1"/>
  <c r="AE15" i="8"/>
  <c r="V15" i="8"/>
  <c r="X15" i="8"/>
  <c r="U15" i="8"/>
  <c r="AF15" i="8"/>
  <c r="Y15" i="8"/>
  <c r="AC15" i="8"/>
  <c r="Z15" i="8"/>
  <c r="AD15" i="8"/>
  <c r="AA15" i="8"/>
  <c r="W15" i="8"/>
  <c r="AG15" i="8" l="1"/>
  <c r="AD18" i="4" l="1"/>
  <c r="AD10" i="4"/>
  <c r="X19" i="4"/>
  <c r="S19" i="4"/>
  <c r="R19" i="4"/>
  <c r="Y19" i="4"/>
  <c r="AD9" i="4"/>
  <c r="AD14" i="4"/>
  <c r="AA19" i="4"/>
  <c r="V19" i="4"/>
  <c r="AB19" i="4"/>
  <c r="AD12" i="4"/>
  <c r="Z19" i="4"/>
  <c r="AD16" i="4"/>
  <c r="T19" i="4"/>
  <c r="AD15" i="4"/>
  <c r="AD11" i="4"/>
  <c r="W19" i="4"/>
  <c r="AD17" i="4"/>
  <c r="AC19" i="4"/>
  <c r="AD13" i="4"/>
  <c r="U19" i="4"/>
  <c r="AD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Enzo Morote</author>
  </authors>
  <commentList>
    <comment ref="I112" authorId="0" shapeId="0" xr:uid="{75760E7B-80F3-4531-9CED-2DB2AEB2F2C5}">
      <text>
        <r>
          <rPr>
            <b/>
            <sz val="10"/>
            <color indexed="81"/>
            <rFont val="Tahoma"/>
            <family val="2"/>
          </rPr>
          <t>Enzo Morote:</t>
        </r>
        <r>
          <rPr>
            <sz val="10"/>
            <color indexed="81"/>
            <rFont val="Tahoma"/>
            <family val="2"/>
          </rPr>
          <t xml:space="preserve">
Doc de pago del sat
</t>
        </r>
      </text>
    </comment>
    <comment ref="I220" authorId="0" shapeId="0" xr:uid="{9C916897-C86F-4B5E-9EDD-8A12505F5F0D}">
      <text>
        <r>
          <rPr>
            <b/>
            <sz val="10"/>
            <color indexed="81"/>
            <rFont val="Tahoma"/>
            <family val="2"/>
          </rPr>
          <t>Enzo Morote:</t>
        </r>
        <r>
          <rPr>
            <sz val="10"/>
            <color indexed="81"/>
            <rFont val="Tahoma"/>
            <family val="2"/>
          </rPr>
          <t xml:space="preserve">
Doc de pago del sat
</t>
        </r>
      </text>
    </comment>
    <comment ref="D231" authorId="0" shapeId="0" xr:uid="{B9CA5573-B4F3-4C9A-96FE-AA3B3BD31379}">
      <text>
        <r>
          <rPr>
            <b/>
            <sz val="9"/>
            <color indexed="81"/>
            <rFont val="Tahoma"/>
            <family val="2"/>
          </rPr>
          <t>Enzo Morote:</t>
        </r>
        <r>
          <rPr>
            <sz val="9"/>
            <color indexed="81"/>
            <rFont val="Tahoma"/>
            <family val="2"/>
          </rPr>
          <t xml:space="preserve">
aca hay una pepeleta que lo debe pagar Los Andes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Enzo Morote</author>
  </authors>
  <commentList>
    <comment ref="D21" authorId="0" shapeId="0" xr:uid="{00F8884F-186D-4D2A-87D2-6D3D420C0039}">
      <text>
        <r>
          <rPr>
            <b/>
            <sz val="9"/>
            <color indexed="81"/>
            <rFont val="Tahoma"/>
            <family val="2"/>
          </rPr>
          <t>Enzo Morote:</t>
        </r>
        <r>
          <rPr>
            <sz val="9"/>
            <color indexed="81"/>
            <rFont val="Tahoma"/>
            <family val="2"/>
          </rPr>
          <t xml:space="preserve">
No teno el dato por familia de Pólizas al momento. Jorge Medina indicó lo siguiente: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Juana Valladolid López</author>
  </authors>
  <commentList>
    <comment ref="BL144" authorId="0" shapeId="0" xr:uid="{BD97E40D-B045-4390-95BC-BFFDBFAF4C88}">
      <text>
        <r>
          <rPr>
            <b/>
            <sz val="9"/>
            <color indexed="81"/>
            <rFont val="Tahoma"/>
            <family val="2"/>
          </rPr>
          <t>CMCP: se actualizó actividad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Enzo Morote</author>
  </authors>
  <commentList>
    <comment ref="Q4" authorId="0" shapeId="0" xr:uid="{E81CAB9C-0B58-4AF8-8FB7-D8BE519DAB9F}">
      <text>
        <r>
          <rPr>
            <b/>
            <sz val="9"/>
            <color indexed="81"/>
            <rFont val="Tahoma"/>
            <family val="2"/>
          </rPr>
          <t>Enzo Morote:</t>
        </r>
        <r>
          <rPr>
            <sz val="9"/>
            <color indexed="81"/>
            <rFont val="Tahoma"/>
            <family val="2"/>
          </rPr>
          <t xml:space="preserve">
montos en base a consulta realizada a CITV</t>
        </r>
      </text>
    </comment>
    <comment ref="AC54" authorId="0" shapeId="0" xr:uid="{24BB8C90-0D0E-48C2-9CCA-903A3EE66F45}">
      <text>
        <r>
          <rPr>
            <b/>
            <sz val="9"/>
            <color indexed="81"/>
            <rFont val="Tahoma"/>
            <family val="2"/>
          </rPr>
          <t>Enzo Morote:</t>
        </r>
        <r>
          <rPr>
            <sz val="9"/>
            <color indexed="81"/>
            <rFont val="Tahoma"/>
            <family val="2"/>
          </rPr>
          <t xml:space="preserve">
20 unidades del 2023 a 120 por ITV aprox</t>
        </r>
      </text>
    </comment>
    <comment ref="AB60" authorId="0" shapeId="0" xr:uid="{557A9728-AE3C-4393-9F2F-3E8C47EB4A36}">
      <text>
        <r>
          <rPr>
            <b/>
            <sz val="9"/>
            <color indexed="81"/>
            <rFont val="Tahoma"/>
            <family val="2"/>
          </rPr>
          <t>Enzo Morote:</t>
        </r>
        <r>
          <rPr>
            <sz val="9"/>
            <color indexed="81"/>
            <rFont val="Tahoma"/>
            <family val="2"/>
          </rPr>
          <t xml:space="preserve">
8 unidades del 2023 a 120 aprox por unidad</t>
        </r>
      </text>
    </comment>
  </commentList>
</comments>
</file>

<file path=xl/sharedStrings.xml><?xml version="1.0" encoding="utf-8"?>
<sst xmlns="http://schemas.openxmlformats.org/spreadsheetml/2006/main" count="12084" uniqueCount="1409">
  <si>
    <t>Camioneta JAC EV</t>
  </si>
  <si>
    <t>SUV JAC EJS4</t>
  </si>
  <si>
    <t>Camión JAC N90L</t>
  </si>
  <si>
    <t>HAN EV BLACK</t>
  </si>
  <si>
    <t>TANG TZ200XSE</t>
  </si>
  <si>
    <t xml:space="preserve"> YUAN PLUS EV 410KM GL</t>
  </si>
  <si>
    <t>YUAN PLUS EV 480KM GS</t>
  </si>
  <si>
    <t>T3 WHITE</t>
  </si>
  <si>
    <t>CAU-715</t>
  </si>
  <si>
    <t>GPS S/</t>
  </si>
  <si>
    <t xml:space="preserve"> (mensual)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</si>
  <si>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</si>
  <si>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</si>
  <si>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</si>
  <si>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</si>
  <si>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</si>
  <si>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</si>
  <si>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</si>
  <si>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</si>
  <si>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</si>
  <si>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</si>
  <si>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</si>
  <si>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</si>
  <si>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</si>
  <si>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Placa Vehiculo</t>
  </si>
  <si>
    <t>Marca</t>
  </si>
  <si>
    <t>Modelo</t>
  </si>
  <si>
    <t>Combustible</t>
  </si>
  <si>
    <t>Motorización</t>
  </si>
  <si>
    <t>Tipo 2</t>
  </si>
  <si>
    <t>S/ GPS</t>
  </si>
  <si>
    <t>Familia</t>
  </si>
  <si>
    <t>Bus EV Yutong</t>
  </si>
  <si>
    <t>CNL-017</t>
  </si>
  <si>
    <t>BYD</t>
  </si>
  <si>
    <t>Han</t>
  </si>
  <si>
    <t>ELÉCTRICO</t>
  </si>
  <si>
    <t>EV</t>
  </si>
  <si>
    <t>Sedan</t>
  </si>
  <si>
    <t>Sedan EV BYD (Gerencia)</t>
  </si>
  <si>
    <t>Camión EV JAC</t>
  </si>
  <si>
    <t>CCV-877</t>
  </si>
  <si>
    <t>Shark</t>
  </si>
  <si>
    <t>HÍBRIDA</t>
  </si>
  <si>
    <t>Shark pick up</t>
  </si>
  <si>
    <t>Pick Up Hibrida BYD</t>
  </si>
  <si>
    <t>Camión EV JAC (LED)</t>
  </si>
  <si>
    <t>CCV-878</t>
  </si>
  <si>
    <t>Pick Up EV 4x2 JAC</t>
  </si>
  <si>
    <t>CCV-938</t>
  </si>
  <si>
    <t>CCX-919</t>
  </si>
  <si>
    <t>CCV-757</t>
  </si>
  <si>
    <t>SUV BYD (Gerencia)</t>
  </si>
  <si>
    <t>CCU-877</t>
  </si>
  <si>
    <t>SUV EV BYD</t>
  </si>
  <si>
    <t>CCX-883</t>
  </si>
  <si>
    <t>SUV EV JAC</t>
  </si>
  <si>
    <t>CCV-847</t>
  </si>
  <si>
    <t>Van Cargo EV BYD</t>
  </si>
  <si>
    <t>CAU-746</t>
  </si>
  <si>
    <t>T3</t>
  </si>
  <si>
    <t>Van</t>
  </si>
  <si>
    <t>CAT-947</t>
  </si>
  <si>
    <t>CAU-745</t>
  </si>
  <si>
    <t>CAT-936</t>
  </si>
  <si>
    <t>CAU-729</t>
  </si>
  <si>
    <t>Fuente: Archivo compartido por Los Andes del año pasado (Es posible que este monto haya variado)</t>
  </si>
  <si>
    <t>CAU-741</t>
  </si>
  <si>
    <t>CAU-732</t>
  </si>
  <si>
    <t>CNK-688</t>
  </si>
  <si>
    <t>Tang</t>
  </si>
  <si>
    <t>Suv BYD</t>
  </si>
  <si>
    <t>CNK-622</t>
  </si>
  <si>
    <t>Yuan Plus GL410</t>
  </si>
  <si>
    <t>CNL-074</t>
  </si>
  <si>
    <t>CNK-675</t>
  </si>
  <si>
    <t>CNL-091</t>
  </si>
  <si>
    <t>CNK-587</t>
  </si>
  <si>
    <t>CNL-010</t>
  </si>
  <si>
    <t>CNL-003</t>
  </si>
  <si>
    <t>CNL-013</t>
  </si>
  <si>
    <t>CNK-530</t>
  </si>
  <si>
    <t>CNL-135</t>
  </si>
  <si>
    <t>CNK-646</t>
  </si>
  <si>
    <t>CNL-072</t>
  </si>
  <si>
    <t>CNK-615</t>
  </si>
  <si>
    <t>CNK-504</t>
  </si>
  <si>
    <t>CNK-644</t>
  </si>
  <si>
    <t>CNL-165</t>
  </si>
  <si>
    <t>CNL-033</t>
  </si>
  <si>
    <t>CNL-075</t>
  </si>
  <si>
    <t>CNL-076</t>
  </si>
  <si>
    <t>Yuan Plus GS480</t>
  </si>
  <si>
    <t>CNK-542</t>
  </si>
  <si>
    <t>CNL-009</t>
  </si>
  <si>
    <t>CNK-503</t>
  </si>
  <si>
    <t>CNK-263</t>
  </si>
  <si>
    <t>CNL-121</t>
  </si>
  <si>
    <t>CNK-485</t>
  </si>
  <si>
    <t>CNK-505</t>
  </si>
  <si>
    <t>CNK-573</t>
  </si>
  <si>
    <t>CNK-533</t>
  </si>
  <si>
    <t>CNL-689</t>
  </si>
  <si>
    <t>CNK-690</t>
  </si>
  <si>
    <t>CNL-494</t>
  </si>
  <si>
    <t>CNL-012</t>
  </si>
  <si>
    <t>CNK-641</t>
  </si>
  <si>
    <t>CNK-639</t>
  </si>
  <si>
    <t>CNK-471</t>
  </si>
  <si>
    <t>CNL-632</t>
  </si>
  <si>
    <t>CFG-023</t>
  </si>
  <si>
    <t>Jac</t>
  </si>
  <si>
    <t xml:space="preserve"> EJS4</t>
  </si>
  <si>
    <t>Suv Jac</t>
  </si>
  <si>
    <t>CFF-503</t>
  </si>
  <si>
    <t>CDR-948</t>
  </si>
  <si>
    <t xml:space="preserve"> HFC1075EV1</t>
  </si>
  <si>
    <t>Camiones</t>
  </si>
  <si>
    <t>BZJ-850</t>
  </si>
  <si>
    <t xml:space="preserve"> N90L</t>
  </si>
  <si>
    <t>BZJ-853</t>
  </si>
  <si>
    <t>BZJ-885</t>
  </si>
  <si>
    <t>BZK-709</t>
  </si>
  <si>
    <t>BZK-712</t>
  </si>
  <si>
    <t>BZK-713</t>
  </si>
  <si>
    <t>BZO-888</t>
  </si>
  <si>
    <t>BZK-798</t>
  </si>
  <si>
    <t>BZO-799</t>
  </si>
  <si>
    <t>BZO-755</t>
  </si>
  <si>
    <t>BZO-937</t>
  </si>
  <si>
    <t>BZT-725</t>
  </si>
  <si>
    <t>BUR-920</t>
  </si>
  <si>
    <t xml:space="preserve"> T8</t>
  </si>
  <si>
    <t>Pick up</t>
  </si>
  <si>
    <t>BUR-928</t>
  </si>
  <si>
    <t>BUR-944</t>
  </si>
  <si>
    <t>BUR-946</t>
  </si>
  <si>
    <t>BUS-735</t>
  </si>
  <si>
    <t>BUR-921</t>
  </si>
  <si>
    <t>BUR-929</t>
  </si>
  <si>
    <t>BUR-945</t>
  </si>
  <si>
    <t>BUS-728</t>
  </si>
  <si>
    <t>BUS-777</t>
  </si>
  <si>
    <t>BUS-778</t>
  </si>
  <si>
    <t>BUS-779</t>
  </si>
  <si>
    <t>BUS-782</t>
  </si>
  <si>
    <t>BUS-801</t>
  </si>
  <si>
    <t>BUS-802</t>
  </si>
  <si>
    <t>BUS-727</t>
  </si>
  <si>
    <t>BUS-816</t>
  </si>
  <si>
    <t>BUS-862</t>
  </si>
  <si>
    <t>BUS-863</t>
  </si>
  <si>
    <t>BUS-718</t>
  </si>
  <si>
    <t>BYR-944</t>
  </si>
  <si>
    <t>BYR-948</t>
  </si>
  <si>
    <t>BYS-764</t>
  </si>
  <si>
    <t>BYS-793</t>
  </si>
  <si>
    <t>BYS-799</t>
  </si>
  <si>
    <t>BYS-800</t>
  </si>
  <si>
    <t>BYS-845</t>
  </si>
  <si>
    <t>BYR-943</t>
  </si>
  <si>
    <t>BYR-945</t>
  </si>
  <si>
    <t>BYR-946</t>
  </si>
  <si>
    <t>BYS-767</t>
  </si>
  <si>
    <t>BYS-790</t>
  </si>
  <si>
    <t>BYS-839</t>
  </si>
  <si>
    <t>BYS-848</t>
  </si>
  <si>
    <t>BYS-854</t>
  </si>
  <si>
    <t>BYS-881</t>
  </si>
  <si>
    <t>BYS-886</t>
  </si>
  <si>
    <t>BYS-888</t>
  </si>
  <si>
    <t>CPB-054</t>
  </si>
  <si>
    <t>Yutong</t>
  </si>
  <si>
    <t>ZK6772BEV</t>
  </si>
  <si>
    <t>Bus</t>
  </si>
  <si>
    <t>BXG-218</t>
  </si>
  <si>
    <t>Ford</t>
  </si>
  <si>
    <t>All New</t>
  </si>
  <si>
    <t>GASOHOL</t>
  </si>
  <si>
    <t>CI</t>
  </si>
  <si>
    <t>Pick Up CI 4x2 Ford</t>
  </si>
  <si>
    <t>BXI-863</t>
  </si>
  <si>
    <t>Ran Ranger</t>
  </si>
  <si>
    <t>DIESEL</t>
  </si>
  <si>
    <t>Pick Up CI 4x4 Ford</t>
  </si>
  <si>
    <t>BXI-854</t>
  </si>
  <si>
    <t>BXI-787</t>
  </si>
  <si>
    <t>BXI-879</t>
  </si>
  <si>
    <t>BXI-843</t>
  </si>
  <si>
    <t>BXI-899</t>
  </si>
  <si>
    <t>BXI-865</t>
  </si>
  <si>
    <t>BXI-831</t>
  </si>
  <si>
    <t>BXI-803</t>
  </si>
  <si>
    <t>BXI-802</t>
  </si>
  <si>
    <t>BXI-830</t>
  </si>
  <si>
    <t>BXI-857</t>
  </si>
  <si>
    <t>BXI-785</t>
  </si>
  <si>
    <t>BTJ-860</t>
  </si>
  <si>
    <t>Hino</t>
  </si>
  <si>
    <t>FC</t>
  </si>
  <si>
    <t>Camión Grúa CI Hino</t>
  </si>
  <si>
    <t>CAC-805</t>
  </si>
  <si>
    <t>FM</t>
  </si>
  <si>
    <t>CAC-802</t>
  </si>
  <si>
    <t>CAC-921</t>
  </si>
  <si>
    <t>CBE-701</t>
  </si>
  <si>
    <t>Hyundai</t>
  </si>
  <si>
    <t>H10 H-100</t>
  </si>
  <si>
    <t>Camión Furgón Hyundai</t>
  </si>
  <si>
    <t>CAT-923</t>
  </si>
  <si>
    <t>Mercedes-Benz</t>
  </si>
  <si>
    <t>ATEGO 3330/54</t>
  </si>
  <si>
    <t>Camión Grúa CI Mercdes Benz</t>
  </si>
  <si>
    <t>CAT-892</t>
  </si>
  <si>
    <t>AHL-505</t>
  </si>
  <si>
    <t>Toyota</t>
  </si>
  <si>
    <t>Corola Premiun</t>
  </si>
  <si>
    <t>Sedan CI Toyota</t>
  </si>
  <si>
    <t>AHP-031</t>
  </si>
  <si>
    <t>B4J-799</t>
  </si>
  <si>
    <t>Hilux 4X2</t>
  </si>
  <si>
    <t>Pick Up CI 4x2 Toyota</t>
  </si>
  <si>
    <t>BMD-779</t>
  </si>
  <si>
    <t>BMD-886</t>
  </si>
  <si>
    <t>BMD-887</t>
  </si>
  <si>
    <t>BMD-931</t>
  </si>
  <si>
    <t>BMD-932</t>
  </si>
  <si>
    <t>BME-702</t>
  </si>
  <si>
    <t>BME-703</t>
  </si>
  <si>
    <t>BME-733</t>
  </si>
  <si>
    <t>BME-734</t>
  </si>
  <si>
    <t>BME-848</t>
  </si>
  <si>
    <t>BME-849</t>
  </si>
  <si>
    <t>BMF-742</t>
  </si>
  <si>
    <t>BMF-744</t>
  </si>
  <si>
    <t>BMF-779</t>
  </si>
  <si>
    <t>BMF-780</t>
  </si>
  <si>
    <t>F1H-807</t>
  </si>
  <si>
    <t>AMI-916</t>
  </si>
  <si>
    <t>Hilux 4X4</t>
  </si>
  <si>
    <t>Pick Up CI 4x4 Toyota</t>
  </si>
  <si>
    <t>BMG-786</t>
  </si>
  <si>
    <t>BMG-834</t>
  </si>
  <si>
    <t>BMH-850</t>
  </si>
  <si>
    <t>BMI-759</t>
  </si>
  <si>
    <t>AHL-676</t>
  </si>
  <si>
    <t>RAV4  2,5 4X4</t>
  </si>
  <si>
    <t>BTB-903</t>
  </si>
  <si>
    <t>Volvo</t>
  </si>
  <si>
    <t>VM 4X2 R</t>
  </si>
  <si>
    <t>Camión Grúa CI Volvo</t>
  </si>
  <si>
    <t>BTD-712</t>
  </si>
  <si>
    <t>SOAT FLOTA EV</t>
  </si>
  <si>
    <t>Nro</t>
  </si>
  <si>
    <t>Placa</t>
  </si>
  <si>
    <t>Aseguradora</t>
  </si>
  <si>
    <t>Póliza</t>
  </si>
  <si>
    <t>Fecha inicio</t>
  </si>
  <si>
    <t>Fecha fin</t>
  </si>
  <si>
    <t>Monto Final</t>
  </si>
  <si>
    <t>Dias Faltantes</t>
  </si>
  <si>
    <t>Estado Poliza</t>
  </si>
  <si>
    <t>Link</t>
  </si>
  <si>
    <t>Póliza_soat</t>
  </si>
  <si>
    <t>Fecha inicio_soat</t>
  </si>
  <si>
    <t>Fecha fin_soat</t>
  </si>
  <si>
    <t>Monto_Soat</t>
  </si>
  <si>
    <t>Enviado xFinanzas</t>
  </si>
  <si>
    <t>Enviado x Seguros</t>
  </si>
  <si>
    <t>Monto S/</t>
  </si>
  <si>
    <t>Obs</t>
  </si>
  <si>
    <t>Placa2</t>
  </si>
  <si>
    <t>CR</t>
  </si>
  <si>
    <t>PLACA</t>
  </si>
  <si>
    <t>MARCA</t>
  </si>
  <si>
    <t>MODELO</t>
  </si>
  <si>
    <t>Mapfre Perú</t>
  </si>
  <si>
    <t>CAU715</t>
  </si>
  <si>
    <t>BYR945</t>
  </si>
  <si>
    <t>1PB10042</t>
  </si>
  <si>
    <t>LJ1EPABS7SC010060</t>
  </si>
  <si>
    <t>BYR943</t>
  </si>
  <si>
    <t>1PB10054</t>
  </si>
  <si>
    <t>LJ1EPABS4SC010050</t>
  </si>
  <si>
    <t>CAU741</t>
  </si>
  <si>
    <t>BYR944</t>
  </si>
  <si>
    <t>1P925032</t>
  </si>
  <si>
    <t>LJ1EPABS0SC010059</t>
  </si>
  <si>
    <t>CNL091</t>
  </si>
  <si>
    <t>BYR946</t>
  </si>
  <si>
    <t>1PB10016</t>
  </si>
  <si>
    <t>LJ1EPABS6SC010048</t>
  </si>
  <si>
    <t>CNL632</t>
  </si>
  <si>
    <t>BYR948</t>
  </si>
  <si>
    <t>1P925044</t>
  </si>
  <si>
    <t>LJ1EPABS7SC010057</t>
  </si>
  <si>
    <t>CNL010</t>
  </si>
  <si>
    <t>BYS764</t>
  </si>
  <si>
    <t>1PB10039</t>
  </si>
  <si>
    <t>LJ1EPABS9SC010058</t>
  </si>
  <si>
    <t>CNL121</t>
  </si>
  <si>
    <t>BYS767</t>
  </si>
  <si>
    <t>1PB10044</t>
  </si>
  <si>
    <t>LJ1EPABS6SC010065</t>
  </si>
  <si>
    <t>CNK675</t>
  </si>
  <si>
    <t>BYS790</t>
  </si>
  <si>
    <t>1PB10045</t>
  </si>
  <si>
    <t>LJ1EPABS4SC010064</t>
  </si>
  <si>
    <t>CNK471</t>
  </si>
  <si>
    <t>BYS793</t>
  </si>
  <si>
    <t>1P925024</t>
  </si>
  <si>
    <t>LJ1EPABS5SC010056</t>
  </si>
  <si>
    <t>CNL135</t>
  </si>
  <si>
    <t>BYS799</t>
  </si>
  <si>
    <t>1PB10047</t>
  </si>
  <si>
    <t>LJ1EPABS9SC010061</t>
  </si>
  <si>
    <t>CNK505</t>
  </si>
  <si>
    <t>BYS800</t>
  </si>
  <si>
    <t>1P925039</t>
  </si>
  <si>
    <t>LJ1EPABS1SC010054</t>
  </si>
  <si>
    <t>CNL013</t>
  </si>
  <si>
    <t>BYS839</t>
  </si>
  <si>
    <t>1PB10049</t>
  </si>
  <si>
    <t>LJ1EPABS0SC010062</t>
  </si>
  <si>
    <t>CNK263</t>
  </si>
  <si>
    <t>BYS845</t>
  </si>
  <si>
    <t>1P925045</t>
  </si>
  <si>
    <t>LJ1EPABS8SC010049</t>
  </si>
  <si>
    <t>CNL165</t>
  </si>
  <si>
    <t>BYS854</t>
  </si>
  <si>
    <t>1PB10046</t>
  </si>
  <si>
    <t>LJ1EPABS2SC010063</t>
  </si>
  <si>
    <t>CNK573</t>
  </si>
  <si>
    <t>BYS888</t>
  </si>
  <si>
    <t>1P925042</t>
  </si>
  <si>
    <t>LJ1EPABS8SC010052</t>
  </si>
  <si>
    <t>CNL033</t>
  </si>
  <si>
    <t>BYS848</t>
  </si>
  <si>
    <t>1P925020</t>
  </si>
  <si>
    <t>LJ1EPABS3SC010055</t>
  </si>
  <si>
    <t>CNK644</t>
  </si>
  <si>
    <t>BYS881</t>
  </si>
  <si>
    <t>1P925041</t>
  </si>
  <si>
    <t>LJ1EPABS6SC010051</t>
  </si>
  <si>
    <t>CNL012</t>
  </si>
  <si>
    <t>BYS886</t>
  </si>
  <si>
    <t>1P925026</t>
  </si>
  <si>
    <t>LJ1EPABSXSC010053</t>
  </si>
  <si>
    <t>CNL075</t>
  </si>
  <si>
    <t>CNK641</t>
  </si>
  <si>
    <t>CNK615</t>
  </si>
  <si>
    <t>CNL689</t>
  </si>
  <si>
    <t>CNL017</t>
  </si>
  <si>
    <t>BTJ860</t>
  </si>
  <si>
    <t>JHDFC9JJ7PXX11507</t>
  </si>
  <si>
    <t>CAT947</t>
  </si>
  <si>
    <t>CCX919</t>
  </si>
  <si>
    <t>LPE19W2A2SF038490</t>
  </si>
  <si>
    <t>CNK530</t>
  </si>
  <si>
    <t>CCX883</t>
  </si>
  <si>
    <t>BYD476ZQFT24047658</t>
  </si>
  <si>
    <t>LPE19W2A0SF039301</t>
  </si>
  <si>
    <t>CNK639</t>
  </si>
  <si>
    <t>CCV757</t>
  </si>
  <si>
    <t>BYD476ZQFT24047666</t>
  </si>
  <si>
    <t>LPE19W2A9SF039295</t>
  </si>
  <si>
    <t>CNK646</t>
  </si>
  <si>
    <t>CCV938</t>
  </si>
  <si>
    <t>BYD476ZQFT24041517</t>
  </si>
  <si>
    <t>LPE19W2A1SF036942</t>
  </si>
  <si>
    <t>CNK485</t>
  </si>
  <si>
    <t>CCV878</t>
  </si>
  <si>
    <t>BYD476ZQFT24041513</t>
  </si>
  <si>
    <t>LPE19W2A5SF036944</t>
  </si>
  <si>
    <t>CAU746</t>
  </si>
  <si>
    <t>CCV847</t>
  </si>
  <si>
    <t>BYD476ZQFT24047670</t>
  </si>
  <si>
    <t>LPE19W2A6SF039304</t>
  </si>
  <si>
    <t>3022500315918</t>
  </si>
  <si>
    <t>24/09/2025</t>
  </si>
  <si>
    <t>24/09/2026</t>
  </si>
  <si>
    <t>CNL003</t>
  </si>
  <si>
    <t>CCV877</t>
  </si>
  <si>
    <t>BYD476ZQFT24041506</t>
  </si>
  <si>
    <t>LPE19W2A3SF036943</t>
  </si>
  <si>
    <t>3022500315917</t>
  </si>
  <si>
    <t>CNK542</t>
  </si>
  <si>
    <t>CCU877</t>
  </si>
  <si>
    <t>BYD476ZQFT24047705</t>
  </si>
  <si>
    <t>LPE19W2A7SF039294</t>
  </si>
  <si>
    <t>3022500315927</t>
  </si>
  <si>
    <t>CAT936</t>
  </si>
  <si>
    <t>3022500315915</t>
  </si>
  <si>
    <t>CNK622</t>
  </si>
  <si>
    <t>3022500315920</t>
  </si>
  <si>
    <t>CNL076</t>
  </si>
  <si>
    <t>3022500315922</t>
  </si>
  <si>
    <t>CNL072</t>
  </si>
  <si>
    <t>3022500315936</t>
  </si>
  <si>
    <t>CNL009</t>
  </si>
  <si>
    <t>3022500315943</t>
  </si>
  <si>
    <t>CNK587</t>
  </si>
  <si>
    <t>3022500315930</t>
  </si>
  <si>
    <t>CNK503</t>
  </si>
  <si>
    <t>AMB-810</t>
  </si>
  <si>
    <t>3022500315921</t>
  </si>
  <si>
    <t>CNK504</t>
  </si>
  <si>
    <t>3022500315935</t>
  </si>
  <si>
    <t>CNK533</t>
  </si>
  <si>
    <t>AMA-842</t>
  </si>
  <si>
    <t>3022500315912</t>
  </si>
  <si>
    <t>CAU745</t>
  </si>
  <si>
    <t>3022500315940</t>
  </si>
  <si>
    <t>CNL074</t>
  </si>
  <si>
    <t>BJS-754</t>
  </si>
  <si>
    <t>3022500315946</t>
  </si>
  <si>
    <t>CNL494</t>
  </si>
  <si>
    <t>3022500315933</t>
  </si>
  <si>
    <t>CNK688</t>
  </si>
  <si>
    <t>3022500315914</t>
  </si>
  <si>
    <t>CPB054</t>
  </si>
  <si>
    <t>3022500315941</t>
  </si>
  <si>
    <t>AMB-913</t>
  </si>
  <si>
    <t>3022500315909</t>
  </si>
  <si>
    <t>AMB-720</t>
  </si>
  <si>
    <t>3022500315938</t>
  </si>
  <si>
    <t>3022500315911</t>
  </si>
  <si>
    <t>3022500315919</t>
  </si>
  <si>
    <t>3022500315913</t>
  </si>
  <si>
    <t>BUS863</t>
  </si>
  <si>
    <t>1NC25012</t>
  </si>
  <si>
    <t>LJ1EPABR3RC091730</t>
  </si>
  <si>
    <t>BUS816</t>
  </si>
  <si>
    <t>1N912034</t>
  </si>
  <si>
    <t>LJ1EPABR0RC091863</t>
  </si>
  <si>
    <t>BUS862</t>
  </si>
  <si>
    <t>1NC25002</t>
  </si>
  <si>
    <t>LJ1EPABR3RC091775</t>
  </si>
  <si>
    <t>BUS802</t>
  </si>
  <si>
    <t>1NC25027</t>
  </si>
  <si>
    <t>LJ1EPABR2RC091735</t>
  </si>
  <si>
    <t>BUS801</t>
  </si>
  <si>
    <t>1N824025</t>
  </si>
  <si>
    <t>LJ1EPABR2RC091864</t>
  </si>
  <si>
    <t>BUS782</t>
  </si>
  <si>
    <t>1NC25043</t>
  </si>
  <si>
    <t>LJ1EPABR2RC091797</t>
  </si>
  <si>
    <t>BUS779</t>
  </si>
  <si>
    <t>1NC25025</t>
  </si>
  <si>
    <t>LJ1EPABR7RC091732</t>
  </si>
  <si>
    <t>BUS778</t>
  </si>
  <si>
    <t>1NC25042</t>
  </si>
  <si>
    <t>LJ1EPABR6RC091799</t>
  </si>
  <si>
    <t>BUS777</t>
  </si>
  <si>
    <t>1NC25044</t>
  </si>
  <si>
    <t>LJ1EPABR4RC091798</t>
  </si>
  <si>
    <t>BUS735</t>
  </si>
  <si>
    <t>1NC25041</t>
  </si>
  <si>
    <t>LJ1EPABR5RC091731</t>
  </si>
  <si>
    <t>BUS728</t>
  </si>
  <si>
    <t>1N912046</t>
  </si>
  <si>
    <t>LJ1EPABR4RC091865</t>
  </si>
  <si>
    <t>BUS727</t>
  </si>
  <si>
    <t>1NC25026</t>
  </si>
  <si>
    <t>LJ1EPABR0RC091734</t>
  </si>
  <si>
    <t>3022500202180-1</t>
  </si>
  <si>
    <t>BUS718</t>
  </si>
  <si>
    <t>1NC25004</t>
  </si>
  <si>
    <t>LJ1EPABRXRC091773</t>
  </si>
  <si>
    <t>BUR929</t>
  </si>
  <si>
    <t>1NC25021</t>
  </si>
  <si>
    <t>LJ1EPABR5RC091728</t>
  </si>
  <si>
    <t>BUR946</t>
  </si>
  <si>
    <t>1N912029</t>
  </si>
  <si>
    <t>LJ1EPABR9RC091862</t>
  </si>
  <si>
    <t>BUR944</t>
  </si>
  <si>
    <t>1N920010</t>
  </si>
  <si>
    <t>LJ1EPABR9RC091800</t>
  </si>
  <si>
    <t>BUR945</t>
  </si>
  <si>
    <t>1NC25028</t>
  </si>
  <si>
    <t>LJ1EPABR9RC091733</t>
  </si>
  <si>
    <t>BUR921</t>
  </si>
  <si>
    <t>1NC25001</t>
  </si>
  <si>
    <t>LJ1EPABR8RC091772</t>
  </si>
  <si>
    <t>BUR928</t>
  </si>
  <si>
    <t>1NC25003</t>
  </si>
  <si>
    <t>LJ1EPABR1RC091774</t>
  </si>
  <si>
    <t>BUR920</t>
  </si>
  <si>
    <t>1NC25023</t>
  </si>
  <si>
    <t>LJ1EPABR7RC091729</t>
  </si>
  <si>
    <t>3022500315925</t>
  </si>
  <si>
    <t>F0B-929</t>
  </si>
  <si>
    <t>3022500315908</t>
  </si>
  <si>
    <t>3022500315926</t>
  </si>
  <si>
    <t>AFQ-805</t>
  </si>
  <si>
    <t>3022500315916</t>
  </si>
  <si>
    <t>3022500315898</t>
  </si>
  <si>
    <t>3022500315907</t>
  </si>
  <si>
    <t>AFS-843</t>
  </si>
  <si>
    <t>3022500315924</t>
  </si>
  <si>
    <t>3022500315904</t>
  </si>
  <si>
    <t>CFF503</t>
  </si>
  <si>
    <t>LJ1EEASR3R4700380</t>
  </si>
  <si>
    <t>3022500315896</t>
  </si>
  <si>
    <t>Si cuenta con soat  /Se colocó el monto de vehiculo de la misma familia</t>
  </si>
  <si>
    <t>CFG023</t>
  </si>
  <si>
    <t>3022500315945</t>
  </si>
  <si>
    <t>3022500315934</t>
  </si>
  <si>
    <t>AHL676</t>
  </si>
  <si>
    <t>JTMBF9EV8FJ023884</t>
  </si>
  <si>
    <t>3022500315906</t>
  </si>
  <si>
    <t>AFR-869</t>
  </si>
  <si>
    <t>3022500315928</t>
  </si>
  <si>
    <t>AFR-923</t>
  </si>
  <si>
    <t>3022500315905</t>
  </si>
  <si>
    <t>AMI916</t>
  </si>
  <si>
    <t>3022500315947</t>
  </si>
  <si>
    <t>AHA-831</t>
  </si>
  <si>
    <t>3022500315910</t>
  </si>
  <si>
    <t>AFZ-840</t>
  </si>
  <si>
    <t>3022500315937</t>
  </si>
  <si>
    <t>BZJ853</t>
  </si>
  <si>
    <t>LJ1EKRBSXS1100327</t>
  </si>
  <si>
    <t>BZO937</t>
  </si>
  <si>
    <t>LJ1EKRBS7S1100320</t>
  </si>
  <si>
    <t>BZK709</t>
  </si>
  <si>
    <t>LJ1EKRBS9S1100318</t>
  </si>
  <si>
    <t>BZJ850</t>
  </si>
  <si>
    <t>LJ1EKRBS6S1100325</t>
  </si>
  <si>
    <t>BZK712</t>
  </si>
  <si>
    <t>LJ1EKRBS2S1100323</t>
  </si>
  <si>
    <t>BZO799</t>
  </si>
  <si>
    <t>LJ1EKRBS0S1100319</t>
  </si>
  <si>
    <t>BZK713</t>
  </si>
  <si>
    <t>LJ1EKRBS9S1100321</t>
  </si>
  <si>
    <t>BZO888</t>
  </si>
  <si>
    <t>LJ1EKRBS4S1100324</t>
  </si>
  <si>
    <t>3022500315990</t>
  </si>
  <si>
    <t>BZK798</t>
  </si>
  <si>
    <t>LJ1EKRBS0S1100322</t>
  </si>
  <si>
    <t>3022500315903</t>
  </si>
  <si>
    <t>BZO755</t>
  </si>
  <si>
    <t>LJ1EKRBS8S1100326</t>
  </si>
  <si>
    <t>3022500315929</t>
  </si>
  <si>
    <t>BZT725</t>
  </si>
  <si>
    <t>LJ1EKRBS7S1100317</t>
  </si>
  <si>
    <t>3022500315895</t>
  </si>
  <si>
    <t>26/09/2025</t>
  </si>
  <si>
    <t>26/09/2026</t>
  </si>
  <si>
    <t>BZJ885</t>
  </si>
  <si>
    <t>LJ1EKRBS1S1100328</t>
  </si>
  <si>
    <t>3022500315901</t>
  </si>
  <si>
    <t>3022500315989</t>
  </si>
  <si>
    <t>3022500315932</t>
  </si>
  <si>
    <t>3022500163993</t>
  </si>
  <si>
    <t>06/05/2025</t>
  </si>
  <si>
    <t>06/05/2026</t>
  </si>
  <si>
    <t>Pacifico Seguro</t>
  </si>
  <si>
    <t>IMPUESTOS DE VEHICULOS ( Febrero, Mayo, Agosto y Nov)</t>
  </si>
  <si>
    <t>Tipo Impuesto</t>
  </si>
  <si>
    <t>Año Impuesto</t>
  </si>
  <si>
    <t>Impuesto (S/)</t>
  </si>
  <si>
    <t>Fecha</t>
  </si>
  <si>
    <t>Mes</t>
  </si>
  <si>
    <t>Trimestre</t>
  </si>
  <si>
    <t>Estatus</t>
  </si>
  <si>
    <t>Vales</t>
  </si>
  <si>
    <t>Comprobante</t>
  </si>
  <si>
    <t>El Impuesto se obtiene entrando a la página del Sat</t>
  </si>
  <si>
    <t>Vehicular Sat</t>
  </si>
  <si>
    <t>1 Trimestre</t>
  </si>
  <si>
    <t>Cancelado</t>
  </si>
  <si>
    <t>1 Vales</t>
  </si>
  <si>
    <t>La cuota de Noviembre debería ser igual a Agosto</t>
  </si>
  <si>
    <t>Setiembre</t>
  </si>
  <si>
    <t/>
  </si>
  <si>
    <t>2 Trimestre</t>
  </si>
  <si>
    <t>2 Vales</t>
  </si>
  <si>
    <t>3 Trimestre</t>
  </si>
  <si>
    <t>3 Vales</t>
  </si>
  <si>
    <t>4 Trimestre</t>
  </si>
  <si>
    <t>4 Vales</t>
  </si>
  <si>
    <t>Pólizas</t>
  </si>
  <si>
    <t>Póliza Anual EV</t>
  </si>
  <si>
    <t>Flota EV</t>
  </si>
  <si>
    <t xml:space="preserve"> (Sin considerar la CDR-948)</t>
  </si>
  <si>
    <t>Tipo de cambio a soles 18 de Marzo 2025</t>
  </si>
  <si>
    <t>c</t>
  </si>
  <si>
    <t>Detalle</t>
  </si>
  <si>
    <t>Nro de recibo / cuota</t>
  </si>
  <si>
    <t>Fecha de pago</t>
  </si>
  <si>
    <t>Monto a pagar USD (incluye IGV)</t>
  </si>
  <si>
    <t xml:space="preserve">Monto a pagar S/ </t>
  </si>
  <si>
    <t>Pólizas de Toda la Flota</t>
  </si>
  <si>
    <t>Inclusión</t>
  </si>
  <si>
    <t>Toda la Flota</t>
  </si>
  <si>
    <t>Vehicular</t>
  </si>
  <si>
    <t>Monto a pagar S/ -Mensual</t>
  </si>
  <si>
    <t>Monto a pagar S/ -Mensual (Sin IGV)</t>
  </si>
  <si>
    <t>Flota</t>
  </si>
  <si>
    <t xml:space="preserve">224.80 es el monto mensual por unidad eléctrica obtenido del total </t>
  </si>
  <si>
    <t>Cant</t>
  </si>
  <si>
    <t>DEPRECIACIÓN DE FLOTA</t>
  </si>
  <si>
    <t>Valor</t>
  </si>
  <si>
    <t>Depre</t>
  </si>
  <si>
    <t>Depreciación Anual Total</t>
  </si>
  <si>
    <t>Depreciación Anual EV</t>
  </si>
  <si>
    <t>Depreciación Anual CI</t>
  </si>
  <si>
    <t>Depreciación Mensual EV</t>
  </si>
  <si>
    <t>Fecha de Activación Ingreso</t>
  </si>
  <si>
    <t>Vida Útil</t>
  </si>
  <si>
    <t xml:space="preserve">Tasa  % </t>
  </si>
  <si>
    <t>Valor Adquisición (S/)</t>
  </si>
  <si>
    <t>Depreciación Anual</t>
  </si>
  <si>
    <t>Depreciación Mensual</t>
  </si>
  <si>
    <t>Años Transcurridos</t>
  </si>
  <si>
    <t>Depreciación Acumulada</t>
  </si>
  <si>
    <t>Valor Neto Actual</t>
  </si>
  <si>
    <t>Observación</t>
  </si>
  <si>
    <t>Buscar Monto</t>
  </si>
  <si>
    <t>Val</t>
  </si>
  <si>
    <t>Comentario</t>
  </si>
  <si>
    <t>TIPO</t>
  </si>
  <si>
    <t>CTA. CONTABLE</t>
  </si>
  <si>
    <t>NUEVO ITEM</t>
  </si>
  <si>
    <t>NUEVO CODIGO</t>
  </si>
  <si>
    <t>PCGE</t>
  </si>
  <si>
    <t>DESCRIPCION</t>
  </si>
  <si>
    <t>INV 2008 VILA NARANJO</t>
  </si>
  <si>
    <t>INV.2014          MSA</t>
  </si>
  <si>
    <t>INV.2017          MLV</t>
  </si>
  <si>
    <t>CODIGO DE BARRAS</t>
  </si>
  <si>
    <t>LEASING</t>
  </si>
  <si>
    <t xml:space="preserve">SERIE </t>
  </si>
  <si>
    <t>Nº MOTOR</t>
  </si>
  <si>
    <t>CUENTA</t>
  </si>
  <si>
    <t>ACTIVIDAD</t>
  </si>
  <si>
    <t xml:space="preserve">CR </t>
  </si>
  <si>
    <t>FECHA ACTIVACION INGRESO</t>
  </si>
  <si>
    <t>VIDA UTIL</t>
  </si>
  <si>
    <t xml:space="preserve">TASA  % </t>
  </si>
  <si>
    <t>VALOR DE ADQUISC.</t>
  </si>
  <si>
    <t>MES ADICION</t>
  </si>
  <si>
    <t>ACTIVOS ADQUIRIDO 2025</t>
  </si>
  <si>
    <t>DEPREC ACUM AL 31/12/2024</t>
  </si>
  <si>
    <t>DEPRECIACION MAYO</t>
  </si>
  <si>
    <t>DEPRECIACION JUNIO</t>
  </si>
  <si>
    <t>DEPREC DEL EJERCICIO</t>
  </si>
  <si>
    <t>SUBTOTAL DEPREC ACUM</t>
  </si>
  <si>
    <t>RETIRO COSTO</t>
  </si>
  <si>
    <t>RETIRO DEPRECIACION ACUMULADA</t>
  </si>
  <si>
    <t>VALOR NETO LIBROS</t>
  </si>
  <si>
    <t>TOYOTA</t>
  </si>
  <si>
    <t>costo</t>
  </si>
  <si>
    <t>CAMIONETA PQT-635_TOYOTA_HILUX 4X2 C/D TD</t>
  </si>
  <si>
    <t>B4J799</t>
  </si>
  <si>
    <t>21859AFB</t>
  </si>
  <si>
    <t>HILUX 4X2</t>
  </si>
  <si>
    <t>MR0ER32G2-96001847</t>
  </si>
  <si>
    <t xml:space="preserve">CAMIONETA TOYOTA HILUX 4X2 M/T TURBO DIESEL </t>
  </si>
  <si>
    <t>F1H807</t>
  </si>
  <si>
    <t>MR0ER32G7D6036084</t>
  </si>
  <si>
    <t>AUTOMOVIL SEDAN TOYOTA COROLLA PREMIUN AUTOMATICO 4 CILINDROS MOTOR 1800CC CVT GASOLINERO AÑO 2015</t>
  </si>
  <si>
    <t>AHL505</t>
  </si>
  <si>
    <t>COROLA PREMIUN</t>
  </si>
  <si>
    <t>5YFBUWHE1FP285080</t>
  </si>
  <si>
    <t>Pantalla Led</t>
  </si>
  <si>
    <t>E .V.6</t>
  </si>
  <si>
    <t>AHP031</t>
  </si>
  <si>
    <t>5YFBUWHE1FP298816</t>
  </si>
  <si>
    <t>Baterias</t>
  </si>
  <si>
    <t>CAMIONETA TOYOTA RAV4, 4 X 4, AUTOMATICA DE 6 VELOCIDADES 4WD GASOLINERA MOTOR 2500CC AÑO 2015</t>
  </si>
  <si>
    <t>TOYOTA RAV4  2,5 4X4</t>
  </si>
  <si>
    <t>CAMIONETA PICK UP TOYOTA HILUX DOBLE CABINA 4X4 TURBO DIESEL MOTOR 2800CC COLOR NEGRO MOD. SRV AT</t>
  </si>
  <si>
    <t>HILUX 4X4</t>
  </si>
  <si>
    <t>MR0HA8CD6G1051554</t>
  </si>
  <si>
    <t>VOLVO</t>
  </si>
  <si>
    <t>CAMION 4X2 DE 17 TONELADAS, MOTOR 6 CILINDROS EN LINEA, CILINDRADA 7.200 A 8000, 250HP, 2.200 RPM Y BRAZO HIDRAULICO ARTICULADO CATEGORIA C, C. 2 CANASTILLAS, JIB Y WINCHE P.ALT. 16-17M C.CARROCERIA</t>
  </si>
  <si>
    <t>BTB903</t>
  </si>
  <si>
    <t>93KK0R1AXPE182258</t>
  </si>
  <si>
    <t>Y1A065878</t>
  </si>
  <si>
    <t>CAMION 4X2 DE 17 TONELADAS, MOTOR 6 CILINDROS EN LINEA, CILINDRADA 7.200 A 8000, 250HP, 2.200 RPM Y BRAZO HIDRAULICO ARTICULADO CATEGORIA C, C.2 CANASTILLAS,SIN JIB Y WINCHE P.ALT. 16-17M C.CARROCERIA</t>
  </si>
  <si>
    <t>BTD712</t>
  </si>
  <si>
    <t>93KK0R1A2PE182259</t>
  </si>
  <si>
    <t>Y1A065879</t>
  </si>
  <si>
    <t>HINO</t>
  </si>
  <si>
    <t>CAMION 4X2 DE 10 TONELADAS, MOTOR DE 4 A 6 CILINDROS EN LINEA, CILINDRADA 5000 CC, 250HP, 2.200 RPM y BRAZO HIDRAULICO ARTICULADO CATEGORIA C, C. 1 CANASTILLA, JIB, P.ALTURA 15M</t>
  </si>
  <si>
    <t>J05E-TY21854</t>
  </si>
  <si>
    <t>JAC</t>
  </si>
  <si>
    <t>CAMIONETA PICK UP DOBLE CABINA 4X2 ELECTRICA MARCA JAC MODELO T8 ELECTRIC PICK UP 4X2 X7213</t>
  </si>
  <si>
    <t>T8 EV</t>
  </si>
  <si>
    <t>Monto</t>
  </si>
  <si>
    <t>Depreci</t>
  </si>
  <si>
    <t>CAMIONETA SUV ELECTRICA MARCA JAC MODELO E-JS4 X153Y</t>
  </si>
  <si>
    <t>E-JS4</t>
  </si>
  <si>
    <t>LJ1EEASR3R4700381</t>
  </si>
  <si>
    <t>FORD</t>
  </si>
  <si>
    <t>CAMIONETA 4X4 CABINA DOBLE MARCA FORD MODELO RANGER XL 3.2L MT COLOR BLANCO 3198CC</t>
  </si>
  <si>
    <t xml:space="preserve"> </t>
  </si>
  <si>
    <t>BXI863</t>
  </si>
  <si>
    <t>RAN RANGER</t>
  </si>
  <si>
    <t>8AFAR23W9PJ324292</t>
  </si>
  <si>
    <t>SA2Q PJ324292</t>
  </si>
  <si>
    <t>BXI854</t>
  </si>
  <si>
    <t>8AFAR23W4PJ318142</t>
  </si>
  <si>
    <t>SA2Q PJ318142</t>
  </si>
  <si>
    <t>BXI787</t>
  </si>
  <si>
    <t>8AFAR23W4PJ324281</t>
  </si>
  <si>
    <t>SA2Q PJ324281</t>
  </si>
  <si>
    <t>BXI879</t>
  </si>
  <si>
    <t>8AFAR23W6PJ324282</t>
  </si>
  <si>
    <t>SA2Q PJ324282</t>
  </si>
  <si>
    <t>BXI843</t>
  </si>
  <si>
    <t>8AFAR23WXPJ324284</t>
  </si>
  <si>
    <t>SA2Q PJ324284</t>
  </si>
  <si>
    <t>BXI899</t>
  </si>
  <si>
    <t>8AFAR23W8PJ324283</t>
  </si>
  <si>
    <t>SA2Q PJ324283</t>
  </si>
  <si>
    <t>BXI865</t>
  </si>
  <si>
    <t>8AFAR23W1PJ324285</t>
  </si>
  <si>
    <t>SA2Q PJ324285</t>
  </si>
  <si>
    <t>BXI831</t>
  </si>
  <si>
    <t>8AFAR23W6PJ324279</t>
  </si>
  <si>
    <t>SA2Q PJ324279</t>
  </si>
  <si>
    <t>BXI803</t>
  </si>
  <si>
    <t>8AFAR23W5PJ324290</t>
  </si>
  <si>
    <t>SA2Q PJ324290</t>
  </si>
  <si>
    <t>BXI802</t>
  </si>
  <si>
    <t>8AFAR23W9PJ324289</t>
  </si>
  <si>
    <t>SA2Q PJ324289</t>
  </si>
  <si>
    <t>BXI830</t>
  </si>
  <si>
    <t>8AFAR23W8PJ318144</t>
  </si>
  <si>
    <t>SA2Q PJ318144</t>
  </si>
  <si>
    <t>BXI857</t>
  </si>
  <si>
    <t>8AFAR23W6PJ318207</t>
  </si>
  <si>
    <t>SA2Q PJ318207</t>
  </si>
  <si>
    <t>CAMIONETA 4X4 CABINA DOBLE MARCA FORD MODELO RANGER XL 3.2L MT COLOR NEGRO 3198CC</t>
  </si>
  <si>
    <t>BXI785</t>
  </si>
  <si>
    <t>8AFAR23W5PJ344362</t>
  </si>
  <si>
    <t>SA2Q PJ344362</t>
  </si>
  <si>
    <t>CAMION ELECTRICO CON FURGON MULTIPROPOSITO DE 7.5 TONELADAS PBV, COLOR BLANCO, CABINA VIP, CATL BATERIA (106.95 KWH), DISTANCIA ENTRE EJES (WHEELBASE) 3845MM</t>
  </si>
  <si>
    <t>N75 EV LHD</t>
  </si>
  <si>
    <t>23330013</t>
  </si>
  <si>
    <t>202408085</t>
  </si>
  <si>
    <t>23330039</t>
  </si>
  <si>
    <t>202408086</t>
  </si>
  <si>
    <t>23330004</t>
  </si>
  <si>
    <t>202408087</t>
  </si>
  <si>
    <t>23330044</t>
  </si>
  <si>
    <t>202408088</t>
  </si>
  <si>
    <t>23330020</t>
  </si>
  <si>
    <t>202408089</t>
  </si>
  <si>
    <t>23330021</t>
  </si>
  <si>
    <t>202408090</t>
  </si>
  <si>
    <t>23321003</t>
  </si>
  <si>
    <t>202408091</t>
  </si>
  <si>
    <t>23330017</t>
  </si>
  <si>
    <t>202408092</t>
  </si>
  <si>
    <t>23330014</t>
  </si>
  <si>
    <t>202408093</t>
  </si>
  <si>
    <t>23330038</t>
  </si>
  <si>
    <t>202408094</t>
  </si>
  <si>
    <t>23330033</t>
  </si>
  <si>
    <t>202408095</t>
  </si>
  <si>
    <t>23330036</t>
  </si>
  <si>
    <t>CAMION CHASIS 6X4 MOTOR 6 CILINDROS EN LINEA CILINDRADA 8866=+2%, PESO NETO &gt;= 7200 TRANSMISIONAUTOMATIZADA CON MODO MANUAL</t>
  </si>
  <si>
    <t>202408096</t>
  </si>
  <si>
    <t>CAC802</t>
  </si>
  <si>
    <t>JHDFM1AR7SXX10681</t>
  </si>
  <si>
    <t>A09C-UR23182</t>
  </si>
  <si>
    <t>202408097</t>
  </si>
  <si>
    <t>CAC921</t>
  </si>
  <si>
    <t>JHDFM1AR7SXX10680</t>
  </si>
  <si>
    <t>A09C-UR23181</t>
  </si>
  <si>
    <t>202408098</t>
  </si>
  <si>
    <t>CAC805</t>
  </si>
  <si>
    <t>JHDFM1AR7SXX10682</t>
  </si>
  <si>
    <t>A09C-UR23184</t>
  </si>
  <si>
    <t>MINI VAN ELECTRICA T3 EV MARCA BYD</t>
  </si>
  <si>
    <t>LC0CE4DB8P0058469</t>
  </si>
  <si>
    <t>TZ180XSC 322912508</t>
  </si>
  <si>
    <t>LC0CE4DB7P0083184</t>
  </si>
  <si>
    <t>TZ180XSC 322912575</t>
  </si>
  <si>
    <t>Se van a vender no se debe cosiderar</t>
  </si>
  <si>
    <t>LC0CE4DB9P0083199</t>
  </si>
  <si>
    <t>TZ180XSC 322912692</t>
  </si>
  <si>
    <t>CAMIONETA SUV ELECTRICA YUAN PLUS EV GL 410 MARCA BYD</t>
  </si>
  <si>
    <t>YUAN PLUS EV 410KM GL</t>
  </si>
  <si>
    <t>LGXCE4DB3S2007214</t>
  </si>
  <si>
    <t>TZ200XSQ 2G4025900</t>
  </si>
  <si>
    <t>CAMIONETA SUV ELECTRICA YUAN PLUS EV GS 480 MARCA BYD</t>
  </si>
  <si>
    <t>LGXCE4CB1S2007195</t>
  </si>
  <si>
    <t>TZ200XSQ 2G4041591</t>
  </si>
  <si>
    <t>LGXCE4DB9S2007217</t>
  </si>
  <si>
    <t>TZ200XSQ 2G4025898</t>
  </si>
  <si>
    <t>LGXCE4CB3S2007201</t>
  </si>
  <si>
    <t>TZ200XSQ 2G4041594</t>
  </si>
  <si>
    <t>LGXCE4DB2S2007219</t>
  </si>
  <si>
    <t>TZ200XSQ 2G4025844</t>
  </si>
  <si>
    <t>LGXCE4CB3S2007196</t>
  </si>
  <si>
    <t>TZ200XSQ 2G4026047</t>
  </si>
  <si>
    <t>LGXCE4DB0S2007221</t>
  </si>
  <si>
    <t>TZ200XSQ 2G4026048</t>
  </si>
  <si>
    <t>LGXCE4CB2S2007187</t>
  </si>
  <si>
    <t>TZ200XSQ 2G4026053</t>
  </si>
  <si>
    <t>LGXCE4DBXS2007209</t>
  </si>
  <si>
    <t>TZ200XSQ 2G4025997</t>
  </si>
  <si>
    <t>LGXCE4CB1S2007200</t>
  </si>
  <si>
    <t>TZ200XSQ 2G4026061</t>
  </si>
  <si>
    <t xml:space="preserve"> LGXCE4DB6S2007207</t>
  </si>
  <si>
    <t>TZ200XSQ 2G4025835</t>
  </si>
  <si>
    <t>LGXCE4CBXS2007194</t>
  </si>
  <si>
    <t>TZ200XSQ 2G4041655</t>
  </si>
  <si>
    <t>LGXCE4DB4S2007206</t>
  </si>
  <si>
    <t>TZ200XSQ 2G4025829</t>
  </si>
  <si>
    <t>LGXCE4CB6S2007189</t>
  </si>
  <si>
    <t>TZ200XSQ 2G4041602</t>
  </si>
  <si>
    <t>LGXCE4DB6S2007210</t>
  </si>
  <si>
    <t>TZ200XSQ 2G4026063</t>
  </si>
  <si>
    <t>CNK690</t>
  </si>
  <si>
    <t>LGXCE4CB6S2007192</t>
  </si>
  <si>
    <t>TZ200XSQ 2G4041686</t>
  </si>
  <si>
    <t>LGXCE4DB8S2007208</t>
  </si>
  <si>
    <t>TZ200XSQ 2G4026062</t>
  </si>
  <si>
    <t>LGXCE4CB5S2007197</t>
  </si>
  <si>
    <t>TZ200XSQ 2G4041644</t>
  </si>
  <si>
    <t>LGXCE4DB7S2007216</t>
  </si>
  <si>
    <t>TZ200XSQ 2G4026060</t>
  </si>
  <si>
    <t>LGXCE4CB8S2007193</t>
  </si>
  <si>
    <t>TZ200XSQ 2G4041653</t>
  </si>
  <si>
    <t>LGXCE4DBXS2007212</t>
  </si>
  <si>
    <t>TZ200XSQ 2G4024578</t>
  </si>
  <si>
    <t>LGXCE4DB2S2007222</t>
  </si>
  <si>
    <t>TZ200XSQ 2G4041635</t>
  </si>
  <si>
    <t>AUTOMOVIL ELECTRICO HAN EV MARCA BYD</t>
  </si>
  <si>
    <t>LC0CE6CD5S7000317</t>
  </si>
  <si>
    <t>TZ200XSU 3B4004414</t>
  </si>
  <si>
    <t>LC0CE4DB2P0083352</t>
  </si>
  <si>
    <t>TZ180XSC 123008732</t>
  </si>
  <si>
    <t>LGXCE4DB1S2007213</t>
  </si>
  <si>
    <t>TZ200XSQ 2G4025842</t>
  </si>
  <si>
    <t>LGXCE4CB9S2007199</t>
  </si>
  <si>
    <t>TZ200XSQ 2G4041654</t>
  </si>
  <si>
    <t>LGXCE4DB9S2007220</t>
  </si>
  <si>
    <t>TZ200XSQ 2G4025857</t>
  </si>
  <si>
    <t>LGXCE4CB4S2007188</t>
  </si>
  <si>
    <t>TZ200XSQ 2G4041621</t>
  </si>
  <si>
    <t>LC0CE4DB3P0110736</t>
  </si>
  <si>
    <t>TZ180XSC 322912688</t>
  </si>
  <si>
    <t>LGXCE4CB9S2007204</t>
  </si>
  <si>
    <t>TZ200XSQ 2G4041599</t>
  </si>
  <si>
    <t>LGXCE4CB5S2007202</t>
  </si>
  <si>
    <t>TZ200XSQ 2G4041658</t>
  </si>
  <si>
    <t>LC0CE4DB7P0083265</t>
  </si>
  <si>
    <t>TZ180XSC 322912664</t>
  </si>
  <si>
    <t>LGXCE4DB5S2007215</t>
  </si>
  <si>
    <t>TZ200XSQ 2G4025860</t>
  </si>
  <si>
    <t>LGXCE4CB4S2007191</t>
  </si>
  <si>
    <t>TZ200XSQ 2G4041657</t>
  </si>
  <si>
    <t>LGXCE4DB8S2007211</t>
  </si>
  <si>
    <t>TZ200XSQ 2G4024582</t>
  </si>
  <si>
    <t>LGXCE4CB7S2007203</t>
  </si>
  <si>
    <t>TZ200XSQ 2G4041600</t>
  </si>
  <si>
    <t>LGXCE4DB2S2007205</t>
  </si>
  <si>
    <t>TZ200XSQ 2G4026049</t>
  </si>
  <si>
    <t>LGXCE4CB7S2007198</t>
  </si>
  <si>
    <t>TZ200XSQ 2G4025861</t>
  </si>
  <si>
    <t>LGXCE4DB0S2007218</t>
  </si>
  <si>
    <t>TZ200XSQ 2G4026050</t>
  </si>
  <si>
    <t>LGXCE4CB2S2007190</t>
  </si>
  <si>
    <t>TZ200XSQ 2G4041684</t>
  </si>
  <si>
    <t>CAMIONETA SUV ELECTRICA TANG EV MARCA BYD</t>
  </si>
  <si>
    <t>TANG TZ200XSE BLACK</t>
  </si>
  <si>
    <t>LC0CF4CD8S0031913</t>
  </si>
  <si>
    <t>TZ200XSU 3B4034435</t>
  </si>
  <si>
    <t>CAMION CHASIS CON GRUA ARTICULADA HIAB X-HIPRO 408 E-8 4081004 - CAMION GRUA N° DE SERIE: 4081004 / SOBRE CHASIS MERCE</t>
  </si>
  <si>
    <t>CAT892</t>
  </si>
  <si>
    <t>MERCEDES-BENZ</t>
  </si>
  <si>
    <t>9BM958196PB320513</t>
  </si>
  <si>
    <t>926994U1434934</t>
  </si>
  <si>
    <t>CAMION CHASIS  CON GRUA ARTICULADA HIAB X-HIPRO 408 CAMION GRUA N° DE SERIE 4081005 SOBRE CHASIS MERCEDES BENZ MODELO A</t>
  </si>
  <si>
    <t>CAT923</t>
  </si>
  <si>
    <t>9BM958196PB320440</t>
  </si>
  <si>
    <t>926994U1434823</t>
  </si>
  <si>
    <t>MINIBUS ELECTRICO MARCA YUTONG, MODELO ZK6772BEV- 175.03  KW- ELECTRICO - AÑO MODELO 2025. DE 18PASA</t>
  </si>
  <si>
    <t>YUTONG</t>
  </si>
  <si>
    <t>LZYTETCW8S1001298</t>
  </si>
  <si>
    <t>MKU500017K</t>
  </si>
  <si>
    <t>CAMION HYUNDAI PORTER C RAMPA HIDRAULICA</t>
  </si>
  <si>
    <t>CBE701</t>
  </si>
  <si>
    <t>HYUNDAI</t>
  </si>
  <si>
    <t>KMFZAX7KASU1318139</t>
  </si>
  <si>
    <t>D4CBRD571646</t>
  </si>
  <si>
    <t>CAMIONETA ELECTRICA 4X4</t>
  </si>
  <si>
    <t>SHARK</t>
  </si>
  <si>
    <t>BYD476ZQFT24047675</t>
  </si>
  <si>
    <t>leasing</t>
  </si>
  <si>
    <t>CAMIONETA SUV MARCA FORD MODELO ALL NEW TERRITORY TITANIUM PLUS 1.5 4X2</t>
  </si>
  <si>
    <t>BXG218</t>
  </si>
  <si>
    <t>ALL NEW</t>
  </si>
  <si>
    <t>LJXCU2BB0NTP02323</t>
  </si>
  <si>
    <t>CAMIONETA PICK UP DOBLE CABINA 4X2 TURBO DIESEL MOTOR &lt;=2500CC COLOR BLANCO</t>
  </si>
  <si>
    <t>BMD779</t>
  </si>
  <si>
    <t>8AJCB3DD4N3907165</t>
  </si>
  <si>
    <t>BMF780</t>
  </si>
  <si>
    <t>8AJCB3DD4N3906257</t>
  </si>
  <si>
    <t>BMD886</t>
  </si>
  <si>
    <t>8AJCB3DD2N3907391</t>
  </si>
  <si>
    <t>BMF779</t>
  </si>
  <si>
    <t>8AJCB3DD5N3907059</t>
  </si>
  <si>
    <t>BMD887</t>
  </si>
  <si>
    <t>8AJCB3DD4N3906209</t>
  </si>
  <si>
    <t>BME702</t>
  </si>
  <si>
    <t>8AJCB3DD5N3906042</t>
  </si>
  <si>
    <t>BME733</t>
  </si>
  <si>
    <t>8AJCB3DD3N3907108</t>
  </si>
  <si>
    <t>BMD931</t>
  </si>
  <si>
    <t>8AJCB3DD4N3907070</t>
  </si>
  <si>
    <t>BME848</t>
  </si>
  <si>
    <t>8AJCB3DD7N3907354</t>
  </si>
  <si>
    <t>BME734</t>
  </si>
  <si>
    <t>8AJCB3DD3N3906380</t>
  </si>
  <si>
    <t>BME849</t>
  </si>
  <si>
    <t>8AJCB3DD2N3906273</t>
  </si>
  <si>
    <t>BMD932</t>
  </si>
  <si>
    <t>8AJCB3DDXN3907218</t>
  </si>
  <si>
    <t>CAMIONETA PICK UP DOBLE CABINA 4X4 TURBO DIESEL MOTOR &lt;=3000CC COLOR</t>
  </si>
  <si>
    <t>BMG834</t>
  </si>
  <si>
    <t>8AJKA3CD0N3091703</t>
  </si>
  <si>
    <t>BMF742</t>
  </si>
  <si>
    <t>8AJCB3DD1N3907138</t>
  </si>
  <si>
    <t>BMF744</t>
  </si>
  <si>
    <t>8AJCB3DD3N3907190</t>
  </si>
  <si>
    <t>BME703</t>
  </si>
  <si>
    <t>8AJCB3DD5N3907272</t>
  </si>
  <si>
    <t>BMG786</t>
  </si>
  <si>
    <t>8AJKA3CD8N3091710</t>
  </si>
  <si>
    <t>BMH850</t>
  </si>
  <si>
    <t>8AJKA3CD4N3091705</t>
  </si>
  <si>
    <t>BMI759</t>
  </si>
  <si>
    <t>8AJKA3CD5N3091714</t>
  </si>
  <si>
    <t>ITV</t>
  </si>
  <si>
    <t>Opción actualizada</t>
  </si>
  <si>
    <t>ITEM</t>
  </si>
  <si>
    <t>PROPIETARIO</t>
  </si>
  <si>
    <t>Fecha de Emision [RTV]</t>
  </si>
  <si>
    <t>Fecha de vencimiento [RTV]</t>
  </si>
  <si>
    <t xml:space="preserve">VIGENCIA </t>
  </si>
  <si>
    <t>ESTADO</t>
  </si>
  <si>
    <t>Mes Inicia Pago</t>
  </si>
  <si>
    <t>Año que Inicia Pagos</t>
  </si>
  <si>
    <t>Categoría</t>
  </si>
  <si>
    <t>Inspección</t>
  </si>
  <si>
    <t>Precio S/.(CITV)</t>
  </si>
  <si>
    <t>Prox Insp</t>
  </si>
  <si>
    <t>Cliente</t>
  </si>
  <si>
    <t>Gerencia</t>
  </si>
  <si>
    <t>Área</t>
  </si>
  <si>
    <t>BASE</t>
  </si>
  <si>
    <t xml:space="preserve">FECHA DE VENCIMIENTO </t>
  </si>
  <si>
    <t>VIGENCIA [DÍAS]</t>
  </si>
  <si>
    <t>ESTADO2</t>
  </si>
  <si>
    <t>OBSERVACIONES</t>
  </si>
  <si>
    <t>Cat</t>
  </si>
  <si>
    <t>Primera ITV</t>
  </si>
  <si>
    <t>S/</t>
  </si>
  <si>
    <t>TECSUR</t>
  </si>
  <si>
    <t>N2</t>
  </si>
  <si>
    <t>W7H-922</t>
  </si>
  <si>
    <t>CAMION SIMPLE</t>
  </si>
  <si>
    <t>TERCERO</t>
  </si>
  <si>
    <t>GCI</t>
  </si>
  <si>
    <t>OPERACIONES</t>
  </si>
  <si>
    <t>EMERGENCIA REDES Y VEREDAS</t>
  </si>
  <si>
    <t>R2</t>
  </si>
  <si>
    <t>POR VENCER</t>
  </si>
  <si>
    <t>M1</t>
  </si>
  <si>
    <t>Uso particular (transporte interno)</t>
  </si>
  <si>
    <t>CAMIONETA 4X2</t>
  </si>
  <si>
    <t>LOS ANDES</t>
  </si>
  <si>
    <t>CONEXION DE RUTINA CAÑETE</t>
  </si>
  <si>
    <t>CAÑETE</t>
  </si>
  <si>
    <t>M3</t>
  </si>
  <si>
    <t>Inmediato transporte personal</t>
  </si>
  <si>
    <t>BCW-823</t>
  </si>
  <si>
    <t>LDS</t>
  </si>
  <si>
    <t>COMERCIAL</t>
  </si>
  <si>
    <t>SUPERVISOR CONTROL DE PÉRDIDAS</t>
  </si>
  <si>
    <t>VITARTE</t>
  </si>
  <si>
    <t>N1</t>
  </si>
  <si>
    <t>ARE-823</t>
  </si>
  <si>
    <t>BH AISLADO</t>
  </si>
  <si>
    <t>DISTRIBUCIÓN</t>
  </si>
  <si>
    <t>DPTO REDES ENERGIZADAS</t>
  </si>
  <si>
    <t>R3</t>
  </si>
  <si>
    <t>Inmediato</t>
  </si>
  <si>
    <t>LA</t>
  </si>
  <si>
    <t>GERENCIA GENERAL</t>
  </si>
  <si>
    <t>SUPERVISION</t>
  </si>
  <si>
    <t>BCW-863</t>
  </si>
  <si>
    <t>PROY. Y OBRAS DE TERCEROS Y ELECTRIFICAC</t>
  </si>
  <si>
    <t>BCW-824</t>
  </si>
  <si>
    <t>TRANSMISIÓN</t>
  </si>
  <si>
    <t>MANTENIMIENTO SUBESTACIONES</t>
  </si>
  <si>
    <t>CHACARILLA</t>
  </si>
  <si>
    <t>AHO-772</t>
  </si>
  <si>
    <t>CAMIONETA 4X4</t>
  </si>
  <si>
    <t>MANTENIMIENTO LINEAS</t>
  </si>
  <si>
    <t>BCW-864</t>
  </si>
  <si>
    <t>AHR-894</t>
  </si>
  <si>
    <t>CAMION ELÉCTRICO</t>
  </si>
  <si>
    <t>RECLAMOS ALUMBRADO PUBLICO</t>
  </si>
  <si>
    <t>AJZ-762</t>
  </si>
  <si>
    <t>PROYECTOS CLIENTES MT</t>
  </si>
  <si>
    <t>CBH-901</t>
  </si>
  <si>
    <t>CAMION</t>
  </si>
  <si>
    <t>EJECUCIÓN MANIOBRAS</t>
  </si>
  <si>
    <t>AHO-935</t>
  </si>
  <si>
    <t>RECLAMOS EN BAJA TENSION</t>
  </si>
  <si>
    <t>BCR-775</t>
  </si>
  <si>
    <t>CBH-942</t>
  </si>
  <si>
    <t xml:space="preserve">CAMION </t>
  </si>
  <si>
    <t>AHO-771</t>
  </si>
  <si>
    <t>BCR-723</t>
  </si>
  <si>
    <t>B8I-270</t>
  </si>
  <si>
    <t>VAN 11 PASAJEROS</t>
  </si>
  <si>
    <t>MANTENIMIENTO DE TRANSMISION</t>
  </si>
  <si>
    <t>PROYECTOS</t>
  </si>
  <si>
    <t>AJZ-814</t>
  </si>
  <si>
    <t>DESARROLLO Y COMUNICACIÓN</t>
  </si>
  <si>
    <t>TELECOMUNICACIONES</t>
  </si>
  <si>
    <t>F5S-941</t>
  </si>
  <si>
    <t>AHR-926</t>
  </si>
  <si>
    <t>BCX-724</t>
  </si>
  <si>
    <t>OBRAS BAJA TENSION</t>
  </si>
  <si>
    <t>AHR-924</t>
  </si>
  <si>
    <t>AHO-874</t>
  </si>
  <si>
    <t>ATA-704</t>
  </si>
  <si>
    <t>CAMION CUADRILLA</t>
  </si>
  <si>
    <t>ATA-785</t>
  </si>
  <si>
    <t>AJZ-922</t>
  </si>
  <si>
    <t>ATC-723</t>
  </si>
  <si>
    <t>ATC-742</t>
  </si>
  <si>
    <t>MANT. MEDIA TENSIÓN</t>
  </si>
  <si>
    <t>OBRAS DE DISTRIBUCIÓN</t>
  </si>
  <si>
    <t>INSP. TÉCNICA</t>
  </si>
  <si>
    <t>ATC-743</t>
  </si>
  <si>
    <t>OPERACIONES Y MANTENIMIENTO DISTRIB. SUR</t>
  </si>
  <si>
    <t>ATA-786</t>
  </si>
  <si>
    <t>AHP-768</t>
  </si>
  <si>
    <t>OPERACIONES CAÑETE</t>
  </si>
  <si>
    <t>ATB-876</t>
  </si>
  <si>
    <t>PROYECTOS Y MANTENIMIENTO</t>
  </si>
  <si>
    <t>ATC-725</t>
  </si>
  <si>
    <t>ATC-727</t>
  </si>
  <si>
    <t>OBRAS DE DISTRIBUCION 2</t>
  </si>
  <si>
    <t>AHP-765</t>
  </si>
  <si>
    <t>INGENIERÍA Y CONST. SSEE TRANSMISIÓN</t>
  </si>
  <si>
    <t>CAMION GRUA 8 TN</t>
  </si>
  <si>
    <t>AHO-872</t>
  </si>
  <si>
    <t>LOGISTICA</t>
  </si>
  <si>
    <t>ALMACENES</t>
  </si>
  <si>
    <t>C5L-740</t>
  </si>
  <si>
    <t>AXO-901</t>
  </si>
  <si>
    <t>F5W-883</t>
  </si>
  <si>
    <t>AXP-717</t>
  </si>
  <si>
    <t>BHL-875</t>
  </si>
  <si>
    <t>AXP-768</t>
  </si>
  <si>
    <t>AXP-769</t>
  </si>
  <si>
    <t>AXP-770</t>
  </si>
  <si>
    <t>AXP-703</t>
  </si>
  <si>
    <t>AYA-747</t>
  </si>
  <si>
    <t>AXO-902</t>
  </si>
  <si>
    <t>AXO-899</t>
  </si>
  <si>
    <t>AXP-704</t>
  </si>
  <si>
    <t>AYA-948</t>
  </si>
  <si>
    <t>AXP-709</t>
  </si>
  <si>
    <t>AXP-716</t>
  </si>
  <si>
    <t>AXP-720</t>
  </si>
  <si>
    <t>OBRAS Y PROYECTOS PEM</t>
  </si>
  <si>
    <t>AXP-765</t>
  </si>
  <si>
    <t>AXP-781</t>
  </si>
  <si>
    <t>AXP-782</t>
  </si>
  <si>
    <t>AXP-783</t>
  </si>
  <si>
    <t>AJZ-872</t>
  </si>
  <si>
    <t>PROTECCIONES ELÉCTRICAS  Y SEDS CONVENCI</t>
  </si>
  <si>
    <t>ALD-755</t>
  </si>
  <si>
    <t>MANTENIMIENTO INSTALACIONES MT (ZE)</t>
  </si>
  <si>
    <t>DMS Y RECLAMOS TÉCNICOS</t>
  </si>
  <si>
    <t>ASZ-905</t>
  </si>
  <si>
    <t>AJZ-932</t>
  </si>
  <si>
    <t>ATE-890</t>
  </si>
  <si>
    <t>ATF-782</t>
  </si>
  <si>
    <t>AHO-820</t>
  </si>
  <si>
    <t>MANTENIMIENTO INSTALACIONES MT (ZS)</t>
  </si>
  <si>
    <t>ATE-891</t>
  </si>
  <si>
    <t>AYA-945</t>
  </si>
  <si>
    <t>EMERGENCIA CAÑETE</t>
  </si>
  <si>
    <t>ATF-886</t>
  </si>
  <si>
    <t>ATF-888</t>
  </si>
  <si>
    <t>BHM-832</t>
  </si>
  <si>
    <t>AXP-858</t>
  </si>
  <si>
    <t>F5X-815</t>
  </si>
  <si>
    <t>AXP-897</t>
  </si>
  <si>
    <t>AXQ-724</t>
  </si>
  <si>
    <t>AXQ-810</t>
  </si>
  <si>
    <t>ALC-889</t>
  </si>
  <si>
    <t>AXV-922</t>
  </si>
  <si>
    <t>AXT-833</t>
  </si>
  <si>
    <t>CAMION GRUA 6 TN</t>
  </si>
  <si>
    <t>AHO-934</t>
  </si>
  <si>
    <t>TALLER FLOTA LIVIANA</t>
  </si>
  <si>
    <t>AXV-829</t>
  </si>
  <si>
    <t>BBU-728</t>
  </si>
  <si>
    <t>AXW-865</t>
  </si>
  <si>
    <t>AXQ-809</t>
  </si>
  <si>
    <t>BCW-865</t>
  </si>
  <si>
    <t>ATF-781</t>
  </si>
  <si>
    <t>MINIVAN ELÉCTRICA</t>
  </si>
  <si>
    <t>3022500152296</t>
  </si>
  <si>
    <t>03/05/2025</t>
  </si>
  <si>
    <t>03/05/2026</t>
  </si>
  <si>
    <t>3022500152295</t>
  </si>
  <si>
    <t>3022500152291</t>
  </si>
  <si>
    <t>3022500152290</t>
  </si>
  <si>
    <t>3022500152286</t>
  </si>
  <si>
    <t>3022500152294</t>
  </si>
  <si>
    <t>3022500152293</t>
  </si>
  <si>
    <t>3022500152292</t>
  </si>
  <si>
    <t>3022500152287</t>
  </si>
  <si>
    <t>3022500152285</t>
  </si>
  <si>
    <t>3022500152284</t>
  </si>
  <si>
    <t>3022500152283</t>
  </si>
  <si>
    <t>3022500152282</t>
  </si>
  <si>
    <t>3022500152281</t>
  </si>
  <si>
    <t>3022500152280</t>
  </si>
  <si>
    <t>3022500152288</t>
  </si>
  <si>
    <t>3022500152278</t>
  </si>
  <si>
    <t>3022500152279</t>
  </si>
  <si>
    <t>3022500152276</t>
  </si>
  <si>
    <t>3022500152289</t>
  </si>
  <si>
    <t>3022500171848</t>
  </si>
  <si>
    <t>02/06/2025</t>
  </si>
  <si>
    <t>02/06/2026</t>
  </si>
  <si>
    <t>3022500171841</t>
  </si>
  <si>
    <t>3022500188818</t>
  </si>
  <si>
    <t>19/06/2025</t>
  </si>
  <si>
    <t>19/06/2026</t>
  </si>
  <si>
    <t>3022500188764</t>
  </si>
  <si>
    <t>3022500202180</t>
  </si>
  <si>
    <t>3022500188798</t>
  </si>
  <si>
    <t>3022500188823</t>
  </si>
  <si>
    <t>3022500188838</t>
  </si>
  <si>
    <t>3022500188843</t>
  </si>
  <si>
    <t>3022500188845</t>
  </si>
  <si>
    <t>3022500188832</t>
  </si>
  <si>
    <t>3022500188861</t>
  </si>
  <si>
    <t>3022500188791</t>
  </si>
  <si>
    <t>3022500188866</t>
  </si>
  <si>
    <t>20/06/2025</t>
  </si>
  <si>
    <t>20/06/2026</t>
  </si>
  <si>
    <t>Pendiente</t>
  </si>
  <si>
    <t>No aplica</t>
  </si>
  <si>
    <t>VIGENTE</t>
  </si>
  <si>
    <t>VENCIDO</t>
  </si>
  <si>
    <t>AJZ-825</t>
  </si>
  <si>
    <t>AJZ-847</t>
  </si>
  <si>
    <t>AFW-931</t>
  </si>
  <si>
    <t>BCR-776</t>
  </si>
  <si>
    <t>AXP-857</t>
  </si>
  <si>
    <t>F7N-969</t>
  </si>
  <si>
    <t>BCQ-806</t>
  </si>
  <si>
    <t>DIRECCION Y CONTROL SISTEMA BT</t>
  </si>
  <si>
    <t>SUV ELÉCTRICA</t>
  </si>
  <si>
    <t>BCR-737</t>
  </si>
  <si>
    <t>CALIDAD DE PRODUCTO</t>
  </si>
  <si>
    <t>AYC-822</t>
  </si>
  <si>
    <t>BCW-847</t>
  </si>
  <si>
    <t>ATB-752</t>
  </si>
  <si>
    <t>BCP-918</t>
  </si>
  <si>
    <t>AFECTACIONES MT Y APOYOS</t>
  </si>
  <si>
    <t>AMA-841</t>
  </si>
  <si>
    <t>AMA-868</t>
  </si>
  <si>
    <t>BDE-895</t>
  </si>
  <si>
    <t>AHO-899</t>
  </si>
  <si>
    <t>BCR-738</t>
  </si>
  <si>
    <t>INGENIERÍA Y CONST. LINEAS TRANSMISIÓN</t>
  </si>
  <si>
    <t>AFL-761</t>
  </si>
  <si>
    <t>BCW-909</t>
  </si>
  <si>
    <t>BCX-879</t>
  </si>
  <si>
    <t>BCX-760</t>
  </si>
  <si>
    <t>SOPORTE DE SISTEMA</t>
  </si>
  <si>
    <t>BCQ-805</t>
  </si>
  <si>
    <t>MANTENIMIENTO MEDICION DIRECTA</t>
  </si>
  <si>
    <t>BMD-929</t>
  </si>
  <si>
    <t>DPTO. MANTENIMIENTO TRANSMISION</t>
  </si>
  <si>
    <t>BCR-765</t>
  </si>
  <si>
    <t>MANTENIMIENTO INSTALACIONES BT Y AP</t>
  </si>
  <si>
    <t>BLR-705</t>
  </si>
  <si>
    <t>BJS-908</t>
  </si>
  <si>
    <t>AXU-948</t>
  </si>
  <si>
    <t>BJR-931</t>
  </si>
  <si>
    <t>D0W-829</t>
  </si>
  <si>
    <t>RECURSOS HUMANOS</t>
  </si>
  <si>
    <t>SUBGERENCIA DE SERVICIOS</t>
  </si>
  <si>
    <t>GENERAL</t>
  </si>
  <si>
    <t>DPTO. SALUD OCUPACIONAL</t>
  </si>
  <si>
    <t>AHO-896</t>
  </si>
  <si>
    <t>AHO-818</t>
  </si>
  <si>
    <t>BCR-722</t>
  </si>
  <si>
    <t>ATB-884</t>
  </si>
  <si>
    <t>ATF-851</t>
  </si>
  <si>
    <t>AXP-721</t>
  </si>
  <si>
    <t>C5E-098</t>
  </si>
  <si>
    <t>COMBI</t>
  </si>
  <si>
    <t>C8B-737</t>
  </si>
  <si>
    <t>AXS-701</t>
  </si>
  <si>
    <t>CAMION GRUA 12 TN</t>
  </si>
  <si>
    <t>ASZ-906</t>
  </si>
  <si>
    <t>BRG-724</t>
  </si>
  <si>
    <t>AFQ-806</t>
  </si>
  <si>
    <t>AYA-749</t>
  </si>
  <si>
    <t>AXW-761</t>
  </si>
  <si>
    <t>AXZ-933</t>
  </si>
  <si>
    <t>ATB-751</t>
  </si>
  <si>
    <t>AXZ-707</t>
  </si>
  <si>
    <t>AYA-891</t>
  </si>
  <si>
    <t>AYA-947</t>
  </si>
  <si>
    <t>AXP-708</t>
  </si>
  <si>
    <t>AYA-949</t>
  </si>
  <si>
    <t>AYD-787</t>
  </si>
  <si>
    <t>BCW-911</t>
  </si>
  <si>
    <t>BMN-610</t>
  </si>
  <si>
    <t>AJZ-765</t>
  </si>
  <si>
    <t>INSTAL. Y MANT. EQUIP.  MEDIC. INDIRECT</t>
  </si>
  <si>
    <t>AJZ-812</t>
  </si>
  <si>
    <t>BME-732</t>
  </si>
  <si>
    <t>DPTO. OPERADORES TRANSMISIÓN</t>
  </si>
  <si>
    <t>VENCIDO RTV</t>
  </si>
  <si>
    <t>BCX-782</t>
  </si>
  <si>
    <t>DPTO. SEGURIDAD PATRIMONIAL</t>
  </si>
  <si>
    <t>AJZ-827</t>
  </si>
  <si>
    <t>ASZ-903</t>
  </si>
  <si>
    <t>AXQ-808</t>
  </si>
  <si>
    <t>AFW-930</t>
  </si>
  <si>
    <t>AYB-821</t>
  </si>
  <si>
    <t>AYB-822</t>
  </si>
  <si>
    <t>AYC-820</t>
  </si>
  <si>
    <t>ATB-834</t>
  </si>
  <si>
    <t>AJZ-766</t>
  </si>
  <si>
    <t>MANTENIMIENTO MEDIA TENSIÓN</t>
  </si>
  <si>
    <t>AYB-831</t>
  </si>
  <si>
    <t>AYC-821</t>
  </si>
  <si>
    <t>AYC-861</t>
  </si>
  <si>
    <t>AYD-784</t>
  </si>
  <si>
    <t>BLP-735</t>
  </si>
  <si>
    <t>BLP-777</t>
  </si>
  <si>
    <t>BLP-904</t>
  </si>
  <si>
    <t>BLV-908</t>
  </si>
  <si>
    <t>BLV-909</t>
  </si>
  <si>
    <t>BLO-744</t>
  </si>
  <si>
    <t>BLP-738</t>
  </si>
  <si>
    <t>BLP-840</t>
  </si>
  <si>
    <t>BLR-754</t>
  </si>
  <si>
    <t>AYG-867</t>
  </si>
  <si>
    <t>AYH-708</t>
  </si>
  <si>
    <t>AYA-887</t>
  </si>
  <si>
    <t>BCW-866</t>
  </si>
  <si>
    <t>BCP-916</t>
  </si>
  <si>
    <t>AJY-918</t>
  </si>
  <si>
    <t>AKA-765</t>
  </si>
  <si>
    <t>AFR-929</t>
  </si>
  <si>
    <t>AXS-815</t>
  </si>
  <si>
    <t>ATC-934</t>
  </si>
  <si>
    <t>AHO-817</t>
  </si>
  <si>
    <t>BCX-845</t>
  </si>
  <si>
    <t>CAMIONETA 4x2 ELÉCTRICA</t>
  </si>
  <si>
    <t>AHO-933</t>
  </si>
  <si>
    <t>C5E-100</t>
  </si>
  <si>
    <t>BDD-726</t>
  </si>
  <si>
    <t>AXP-715</t>
  </si>
  <si>
    <t>AMB-912</t>
  </si>
  <si>
    <t>CALIDAD ALUMBRADO PÚBLICO</t>
  </si>
  <si>
    <t>CLE-009</t>
  </si>
  <si>
    <t>BCQ-757</t>
  </si>
  <si>
    <t>BCP-917</t>
  </si>
  <si>
    <t>AYA-746</t>
  </si>
  <si>
    <t>BCO-901</t>
  </si>
  <si>
    <t>BCQ-807</t>
  </si>
  <si>
    <t>BCW-787</t>
  </si>
  <si>
    <t>BCX-717</t>
  </si>
  <si>
    <t>BNE-567</t>
  </si>
  <si>
    <t>SEDAN</t>
  </si>
  <si>
    <t xml:space="preserve">GERENCIA GENERAL                        </t>
  </si>
  <si>
    <t>AXO-900</t>
  </si>
  <si>
    <t>AXP-764</t>
  </si>
  <si>
    <t>BCX-718</t>
  </si>
  <si>
    <t>BMH-774</t>
  </si>
  <si>
    <t>V8Z-859</t>
  </si>
  <si>
    <t>BCR-766</t>
  </si>
  <si>
    <t>EMERGENCIA Y ALUMBRADO</t>
  </si>
  <si>
    <t>ARE-854</t>
  </si>
  <si>
    <t>D4W-980</t>
  </si>
  <si>
    <t>TRACTO REMOLCADOR</t>
  </si>
  <si>
    <t>BCQ-756</t>
  </si>
  <si>
    <t>BCR-710</t>
  </si>
  <si>
    <t>AYP-761</t>
  </si>
  <si>
    <t>BCW-928</t>
  </si>
  <si>
    <t>BCR-709</t>
  </si>
  <si>
    <t>BKR-788</t>
  </si>
  <si>
    <t>BCW-927</t>
  </si>
  <si>
    <t>BCW-930</t>
  </si>
  <si>
    <t>BCX-878</t>
  </si>
  <si>
    <t>BCW-848</t>
  </si>
  <si>
    <t>BCW-867</t>
  </si>
  <si>
    <t>BCW-850</t>
  </si>
  <si>
    <t>BJT-759</t>
  </si>
  <si>
    <t>BCX-720</t>
  </si>
  <si>
    <t>BME-851</t>
  </si>
  <si>
    <t>AKA-768</t>
  </si>
  <si>
    <t>BCW-929</t>
  </si>
  <si>
    <t>DESARROLLO DE TECNOLOGIAS</t>
  </si>
  <si>
    <t>BCW-849</t>
  </si>
  <si>
    <t>BCW-931</t>
  </si>
  <si>
    <t>BCW-910</t>
  </si>
  <si>
    <t>AKA-769</t>
  </si>
  <si>
    <t>BME-701</t>
  </si>
  <si>
    <t>BME-933</t>
  </si>
  <si>
    <t>BCR-740</t>
  </si>
  <si>
    <t>SUCURSAL CAÑETE</t>
  </si>
  <si>
    <t>BCX-880</t>
  </si>
  <si>
    <t>ATZ-716</t>
  </si>
  <si>
    <t>AREA HSE 1</t>
  </si>
  <si>
    <t>BCX-762</t>
  </si>
  <si>
    <t>BCW-786</t>
  </si>
  <si>
    <t>BCX-923</t>
  </si>
  <si>
    <t>DPTO. COSTOS</t>
  </si>
  <si>
    <t>BCX-791</t>
  </si>
  <si>
    <t>SUPERVISION CONTROL DE MOROSIDAD</t>
  </si>
  <si>
    <t>AJY-917</t>
  </si>
  <si>
    <t>RECLAMOS BT CAÑETE</t>
  </si>
  <si>
    <t>BCX-925</t>
  </si>
  <si>
    <t>BCW-908</t>
  </si>
  <si>
    <t>AFR-922</t>
  </si>
  <si>
    <t>BPA-905</t>
  </si>
  <si>
    <t>BCX-876</t>
  </si>
  <si>
    <t>BCR-711</t>
  </si>
  <si>
    <t>BMV-564</t>
  </si>
  <si>
    <t>BCY-881</t>
  </si>
  <si>
    <t>AEI-878</t>
  </si>
  <si>
    <t>AFS-867</t>
  </si>
  <si>
    <t>RECICLAJE</t>
  </si>
  <si>
    <t>BCX-722</t>
  </si>
  <si>
    <t>BJS-850</t>
  </si>
  <si>
    <t>BMD-781</t>
  </si>
  <si>
    <t>BMH-820</t>
  </si>
  <si>
    <t>BCQ-755</t>
  </si>
  <si>
    <t>BAV-759</t>
  </si>
  <si>
    <t>AVI-841</t>
  </si>
  <si>
    <t>BH NO AISLADO</t>
  </si>
  <si>
    <t>AVI-845</t>
  </si>
  <si>
    <t>SUCURSAL SAN BARTOLO</t>
  </si>
  <si>
    <t>BCX-924</t>
  </si>
  <si>
    <t>D5M-726</t>
  </si>
  <si>
    <t>BCX-846</t>
  </si>
  <si>
    <t>AMA-909</t>
  </si>
  <si>
    <t>BCX-780</t>
  </si>
  <si>
    <t>BAV-762</t>
  </si>
  <si>
    <t>BDL-872</t>
  </si>
  <si>
    <t>DPTO. INFRAESTRUCTURA Y SOPORTE</t>
  </si>
  <si>
    <t>AVI-843</t>
  </si>
  <si>
    <t>AVI-844</t>
  </si>
  <si>
    <t>AVI-846</t>
  </si>
  <si>
    <t>AVI-847</t>
  </si>
  <si>
    <t>AVR-923</t>
  </si>
  <si>
    <t>AEG-924</t>
  </si>
  <si>
    <t>AKU-841</t>
  </si>
  <si>
    <t>CALIDAD MEDIDA Y FISCALIZACIÓN</t>
  </si>
  <si>
    <t>PROYECTOS CLIENTES BT</t>
  </si>
  <si>
    <t>VERIFICACION DE REDES</t>
  </si>
  <si>
    <t>MANTENIMIENTO TRASMISION</t>
  </si>
  <si>
    <t>AHO-819</t>
  </si>
  <si>
    <t>B8J-783</t>
  </si>
  <si>
    <t>BDY-746</t>
  </si>
  <si>
    <t>BJF-784</t>
  </si>
  <si>
    <t>BUX-770</t>
  </si>
  <si>
    <t>BMD-888</t>
  </si>
  <si>
    <t>BMF-746</t>
  </si>
  <si>
    <t>BCW-851</t>
  </si>
  <si>
    <t>BCX-781</t>
  </si>
  <si>
    <t>AMB-721</t>
  </si>
  <si>
    <t>AMB-822</t>
  </si>
  <si>
    <t>CONTROL DE CALIDAD</t>
  </si>
  <si>
    <t>CONTROL DE ALMACENES, PROP. Y MOBILIARIO</t>
  </si>
  <si>
    <t>BJT-715</t>
  </si>
  <si>
    <t>BOXER</t>
  </si>
  <si>
    <t>GERENCIA DE DISTRIBUCIÓN</t>
  </si>
  <si>
    <t>CORRESPONDENCIA Y ARCHIVO</t>
  </si>
  <si>
    <t>OMNIBUS ELÉCTRICA</t>
  </si>
  <si>
    <t xml:space="preserve">FUNCIONARIOS CYPC </t>
  </si>
  <si>
    <t xml:space="preserve">CCU-877 </t>
  </si>
  <si>
    <t>CAMIONETA 4X5</t>
  </si>
  <si>
    <t xml:space="preserve">CCV-847 </t>
  </si>
  <si>
    <t>OPERACIÓN DE AP</t>
  </si>
  <si>
    <t>CAMION GRUA 10 TN</t>
  </si>
  <si>
    <t>BCW-782</t>
  </si>
  <si>
    <t>BZI-812</t>
  </si>
  <si>
    <t>CBA-898</t>
  </si>
  <si>
    <t>HOLISTIKA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</si>
</sst>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[$S/-280A]\ #,##0.00"/>
    <numFmt numFmtId="165" formatCode="_(* #,##0.00_);_(* \(#,##0.00\);_(* &quot;-&quot;??_);_(@_)"/>
    <numFmt numFmtId="166" formatCode="m/d/yyyy"/>
    <numFmt numFmtId="167" formatCode="dd/mm/yyyy;@"/>
    <numFmt numFmtId="168" formatCode="[$S/-280A]\ #,##0"/>
    <numFmt numFmtId="169" formatCode="[$$-409]#,##0"/>
    <numFmt numFmtId="170" formatCode="00"/>
    <numFmt numFmtId="171" formatCode="0_ ;[Red]\-0\ "/>
    <numFmt numFmtId="172" formatCode="d/mm/yyyy"/>
  </numFmts>
  <fonts count="39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0000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2"/>
      <color theme="1"/>
      <name val="Arial"/>
      <family val="2"/>
    </font>
    <font>
      <b/>
      <sz val="11"/>
      <color rgb="FFFFFFFF"/>
      <name val="Tw Cen MT"/>
      <family val="2"/>
      <scheme val="minor"/>
    </font>
    <font>
      <sz val="11"/>
      <color rgb="FF000000"/>
      <name val="Tw Cen MT"/>
      <family val="2"/>
      <scheme val="minor"/>
    </font>
    <font>
      <b/>
      <sz val="10"/>
      <color theme="0"/>
      <name val="Tw Cen MT"/>
      <family val="2"/>
      <scheme val="minor"/>
    </font>
    <font>
      <sz val="10"/>
      <color theme="1"/>
      <name val="Tw Cen MT"/>
      <family val="2"/>
      <scheme val="minor"/>
    </font>
    <font>
      <i/>
      <sz val="11"/>
      <color theme="1"/>
      <name val="Tw Cen MT"/>
      <family val="2"/>
      <scheme val="minor"/>
    </font>
    <font>
      <u/>
      <sz val="11"/>
      <color theme="10"/>
      <name val="Tw Cen MT"/>
      <family val="2"/>
      <scheme val="minor"/>
    </font>
    <font>
      <sz val="28"/>
      <color theme="5"/>
      <name val="Tw Cen MT"/>
      <family val="2"/>
      <scheme val="minor"/>
    </font>
    <font>
      <sz val="22"/>
      <color theme="5"/>
      <name val="Tw Cen MT"/>
      <family val="2"/>
      <scheme val="minor"/>
    </font>
    <font>
      <sz val="10"/>
      <color theme="1"/>
      <name val="Tw Cen MT"/>
      <family val="2"/>
    </font>
    <font>
      <sz val="7"/>
      <color rgb="FF222222"/>
      <name val="Source Sans Pro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w Cen MT"/>
      <family val="2"/>
      <scheme val="minor"/>
    </font>
    <font>
      <sz val="10"/>
      <color rgb="FFFF0000"/>
      <name val="Tw Cen MT"/>
      <family val="2"/>
      <scheme val="minor"/>
    </font>
    <font>
      <sz val="11"/>
      <name val="Tw Cen MT"/>
      <family val="2"/>
      <scheme val="minor"/>
    </font>
    <font>
      <b/>
      <i/>
      <sz val="11"/>
      <color theme="1"/>
      <name val="Tw Cen MT"/>
      <family val="2"/>
      <scheme val="minor"/>
    </font>
    <font>
      <b/>
      <u/>
      <sz val="20"/>
      <color rgb="FFFF0000"/>
      <name val="Tw Cen MT"/>
      <family val="2"/>
      <scheme val="minor"/>
    </font>
    <font>
      <sz val="15"/>
      <color theme="2"/>
      <name val="Tw Cen MT"/>
      <family val="2"/>
      <scheme val="minor"/>
    </font>
    <font>
      <sz val="15"/>
      <name val="Tw Cen MT"/>
      <family val="2"/>
      <scheme val="minor"/>
    </font>
    <font>
      <b/>
      <sz val="11"/>
      <color rgb="FFFF0000"/>
      <name val="Tw Cen MT"/>
      <family val="2"/>
      <scheme val="minor"/>
    </font>
    <font>
      <sz val="8"/>
      <name val="Tw Cen MT"/>
      <family val="2"/>
      <scheme val="minor"/>
    </font>
    <font>
      <sz val="10"/>
      <name val="Courier"/>
      <family val="3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color rgb="FFC00000"/>
      <name val="Tw Cen MT"/>
      <family val="2"/>
      <scheme val="minor"/>
    </font>
    <font>
      <b/>
      <sz val="8"/>
      <color theme="0"/>
      <name val="Arial"/>
      <family val="2"/>
    </font>
    <font>
      <sz val="8"/>
      <color theme="1"/>
      <name val="Tw Cen MT"/>
      <family val="2"/>
      <scheme val="minor"/>
    </font>
    <font>
      <i/>
      <sz val="11"/>
      <color rgb="FFFF0000"/>
      <name val="Tw Cen MT"/>
      <family val="2"/>
      <scheme val="minor"/>
    </font>
    <font>
      <sz val="11"/>
      <color theme="0"/>
      <name val="Tw Cen MT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9DD9"/>
        <bgColor rgb="FF009DD9"/>
      </patternFill>
    </fill>
    <fill>
      <patternFill patternType="solid">
        <fgColor theme="5"/>
        <bgColor theme="5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theme="5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theme="9" tint="0.59999389629810485"/>
      </patternFill>
    </fill>
  </fills>
  <borders count="18">
    <border>
      <left/>
      <right/>
      <top/>
      <bottom/>
      <diagonal/>
    </border>
    <border>
      <left style="thin">
        <color rgb="FF4FCEFF"/>
      </left>
      <right/>
      <top style="thin">
        <color rgb="FF4FCE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rgb="FF4FCEFF"/>
      </left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/>
      <top/>
      <bottom style="medium">
        <color theme="5"/>
      </bottom>
      <diagonal/>
    </border>
    <border>
      <left/>
      <right/>
      <top style="thin">
        <color theme="6"/>
      </top>
      <bottom style="medium">
        <color theme="5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theme="5"/>
      </top>
      <bottom style="thin">
        <color theme="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/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29" fillId="0" borderId="2"/>
    <xf numFmtId="165" fontId="31" fillId="0" borderId="0" applyFont="0" applyFill="0" applyBorder="0" applyAlignment="0" applyProtection="0"/>
    <xf numFmtId="0" fontId="29" fillId="0" borderId="2"/>
    <xf numFmtId="0" fontId="31" fillId="0" borderId="0"/>
    <xf numFmtId="0" fontId="11" fillId="0" borderId="0" applyNumberFormat="0" applyFill="0" applyBorder="0" applyAlignment="0" applyProtection="0"/>
  </cellStyleXfs>
  <cellXfs count="161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0" fontId="8" fillId="4" borderId="3" xfId="0" applyFont="1" applyFill="1" applyBorder="1"/>
    <xf numFmtId="0" fontId="8" fillId="4" borderId="4" xfId="0" applyFont="1" applyFill="1" applyBorder="1"/>
    <xf numFmtId="0" fontId="9" fillId="0" borderId="0" xfId="0" applyFont="1" applyAlignment="1">
      <alignment horizontal="center"/>
    </xf>
    <xf numFmtId="1" fontId="9" fillId="0" borderId="0" xfId="0" applyNumberFormat="1" applyFont="1" applyAlignment="1" applyProtection="1">
      <alignment horizontal="center"/>
      <protection locked="0"/>
    </xf>
    <xf numFmtId="14" fontId="9" fillId="0" borderId="0" xfId="1" applyNumberFormat="1" applyFont="1" applyFill="1" applyAlignment="1" applyProtection="1">
      <alignment horizontal="center"/>
      <protection locked="0"/>
    </xf>
    <xf numFmtId="0" fontId="9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9" fillId="0" borderId="0" xfId="1" applyNumberFormat="1" applyFont="1" applyFill="1" applyAlignment="1" applyProtection="1">
      <alignment horizontal="center"/>
      <protection locked="0"/>
    </xf>
    <xf numFmtId="0" fontId="6" fillId="3" borderId="5" xfId="0" applyFont="1" applyFill="1" applyBorder="1" applyAlignment="1">
      <alignment horizontal="center" vertical="center" wrapText="1"/>
    </xf>
    <xf numFmtId="0" fontId="4" fillId="0" borderId="0" xfId="0" applyFont="1"/>
    <xf numFmtId="0" fontId="10" fillId="0" borderId="0" xfId="0" applyFont="1"/>
    <xf numFmtId="0" fontId="0" fillId="5" borderId="0" xfId="0" applyFill="1"/>
    <xf numFmtId="0" fontId="0" fillId="6" borderId="8" xfId="0" applyFill="1" applyBorder="1"/>
    <xf numFmtId="0" fontId="12" fillId="6" borderId="9" xfId="2" applyFont="1" applyFill="1" applyBorder="1" applyAlignment="1">
      <alignment vertical="center"/>
    </xf>
    <xf numFmtId="0" fontId="13" fillId="6" borderId="9" xfId="2" applyFont="1" applyFill="1" applyBorder="1" applyAlignment="1">
      <alignment vertical="center"/>
    </xf>
    <xf numFmtId="0" fontId="0" fillId="2" borderId="0" xfId="0" applyFill="1"/>
    <xf numFmtId="0" fontId="9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167" fontId="9" fillId="0" borderId="0" xfId="0" applyNumberFormat="1" applyFont="1" applyAlignment="1" applyProtection="1">
      <alignment horizontal="center"/>
      <protection locked="0"/>
    </xf>
    <xf numFmtId="0" fontId="14" fillId="0" borderId="0" xfId="0" applyFont="1"/>
    <xf numFmtId="0" fontId="9" fillId="2" borderId="0" xfId="0" applyFont="1" applyFill="1" applyAlignment="1" applyProtection="1">
      <alignment horizontal="center"/>
      <protection locked="0"/>
    </xf>
    <xf numFmtId="1" fontId="0" fillId="6" borderId="8" xfId="0" applyNumberFormat="1" applyFill="1" applyBorder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0" fontId="0" fillId="6" borderId="0" xfId="0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65" fontId="0" fillId="0" borderId="0" xfId="1" applyFont="1" applyProtection="1">
      <protection locked="0"/>
    </xf>
    <xf numFmtId="167" fontId="0" fillId="0" borderId="0" xfId="0" applyNumberFormat="1" applyAlignment="1" applyProtection="1">
      <alignment horizontal="center"/>
      <protection locked="0"/>
    </xf>
    <xf numFmtId="165" fontId="0" fillId="0" borderId="0" xfId="0" applyNumberFormat="1"/>
    <xf numFmtId="0" fontId="15" fillId="0" borderId="0" xfId="0" applyFont="1"/>
    <xf numFmtId="164" fontId="0" fillId="8" borderId="0" xfId="0" applyNumberFormat="1" applyFill="1"/>
    <xf numFmtId="1" fontId="0" fillId="0" borderId="0" xfId="0" applyNumberFormat="1" applyAlignment="1" applyProtection="1">
      <alignment horizontal="center"/>
      <protection locked="0"/>
    </xf>
    <xf numFmtId="0" fontId="15" fillId="0" borderId="0" xfId="0" applyFont="1" applyAlignment="1">
      <alignment horizontal="right" vertical="center" wrapText="1"/>
    </xf>
    <xf numFmtId="0" fontId="0" fillId="2" borderId="0" xfId="0" applyFill="1" applyAlignment="1" applyProtection="1">
      <alignment horizontal="center"/>
      <protection locked="0"/>
    </xf>
    <xf numFmtId="4" fontId="0" fillId="0" borderId="0" xfId="0" applyNumberFormat="1"/>
    <xf numFmtId="3" fontId="7" fillId="0" borderId="2" xfId="0" applyNumberFormat="1" applyFont="1" applyBorder="1" applyAlignment="1">
      <alignment horizontal="center" vertical="center"/>
    </xf>
    <xf numFmtId="169" fontId="9" fillId="0" borderId="6" xfId="0" applyNumberFormat="1" applyFont="1" applyBorder="1"/>
    <xf numFmtId="164" fontId="9" fillId="0" borderId="0" xfId="0" applyNumberFormat="1" applyFont="1"/>
    <xf numFmtId="166" fontId="9" fillId="0" borderId="0" xfId="0" applyNumberFormat="1" applyFont="1" applyAlignment="1" applyProtection="1">
      <alignment horizontal="center"/>
      <protection locked="0"/>
    </xf>
    <xf numFmtId="169" fontId="20" fillId="0" borderId="6" xfId="0" applyNumberFormat="1" applyFont="1" applyBorder="1"/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" fontId="21" fillId="2" borderId="6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/>
    <xf numFmtId="164" fontId="20" fillId="2" borderId="11" xfId="0" applyNumberFormat="1" applyFont="1" applyFill="1" applyBorder="1"/>
    <xf numFmtId="0" fontId="0" fillId="0" borderId="0" xfId="0" applyAlignment="1">
      <alignment horizontal="center" vertical="center"/>
    </xf>
    <xf numFmtId="164" fontId="0" fillId="2" borderId="12" xfId="0" applyNumberFormat="1" applyFill="1" applyBorder="1"/>
    <xf numFmtId="0" fontId="3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" fontId="22" fillId="0" borderId="2" xfId="0" applyNumberFormat="1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23" fillId="0" borderId="0" xfId="0" applyFont="1"/>
    <xf numFmtId="164" fontId="20" fillId="2" borderId="13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168" fontId="9" fillId="2" borderId="0" xfId="0" applyNumberFormat="1" applyFont="1" applyFill="1" applyAlignment="1">
      <alignment horizontal="center"/>
    </xf>
    <xf numFmtId="0" fontId="24" fillId="6" borderId="8" xfId="0" applyFont="1" applyFill="1" applyBorder="1" applyAlignment="1">
      <alignment horizontal="left" vertical="center"/>
    </xf>
    <xf numFmtId="0" fontId="25" fillId="6" borderId="9" xfId="2" applyFont="1" applyFill="1" applyBorder="1" applyAlignment="1">
      <alignment horizontal="right" vertical="center" wrapText="1"/>
    </xf>
    <xf numFmtId="0" fontId="24" fillId="6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26" fillId="6" borderId="9" xfId="2" applyFont="1" applyFill="1" applyBorder="1" applyAlignment="1">
      <alignment horizontal="right" vertical="center" wrapText="1"/>
    </xf>
    <xf numFmtId="0" fontId="7" fillId="0" borderId="0" xfId="0" applyFont="1"/>
    <xf numFmtId="43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4" fontId="9" fillId="0" borderId="0" xfId="1" applyNumberFormat="1" applyFont="1" applyFill="1" applyProtection="1">
      <protection locked="0"/>
    </xf>
    <xf numFmtId="165" fontId="9" fillId="0" borderId="0" xfId="0" applyNumberFormat="1" applyFont="1"/>
    <xf numFmtId="165" fontId="9" fillId="8" borderId="0" xfId="0" applyNumberFormat="1" applyFont="1" applyFill="1"/>
    <xf numFmtId="1" fontId="9" fillId="0" borderId="0" xfId="0" applyNumberFormat="1" applyFont="1"/>
    <xf numFmtId="165" fontId="3" fillId="0" borderId="0" xfId="0" applyNumberFormat="1" applyFont="1"/>
    <xf numFmtId="165" fontId="3" fillId="2" borderId="0" xfId="0" applyNumberFormat="1" applyFont="1" applyFill="1"/>
    <xf numFmtId="165" fontId="27" fillId="0" borderId="0" xfId="0" applyNumberFormat="1" applyFont="1"/>
    <xf numFmtId="0" fontId="3" fillId="0" borderId="0" xfId="0" applyFont="1"/>
    <xf numFmtId="165" fontId="9" fillId="2" borderId="0" xfId="1" applyFont="1" applyFill="1" applyAlignment="1" applyProtection="1">
      <alignment horizontal="center"/>
      <protection locked="0"/>
    </xf>
    <xf numFmtId="1" fontId="30" fillId="11" borderId="2" xfId="4" applyNumberFormat="1" applyFont="1" applyFill="1" applyAlignment="1">
      <alignment horizontal="center" vertical="center" wrapText="1"/>
    </xf>
    <xf numFmtId="1" fontId="30" fillId="12" borderId="2" xfId="4" applyNumberFormat="1" applyFont="1" applyFill="1" applyAlignment="1">
      <alignment horizontal="center" vertical="center" wrapText="1"/>
    </xf>
    <xf numFmtId="1" fontId="30" fillId="11" borderId="2" xfId="4" applyNumberFormat="1" applyFont="1" applyFill="1" applyAlignment="1">
      <alignment horizontal="left" vertical="center" wrapText="1"/>
    </xf>
    <xf numFmtId="0" fontId="30" fillId="11" borderId="2" xfId="4" applyFont="1" applyFill="1" applyAlignment="1">
      <alignment horizontal="center" wrapText="1"/>
    </xf>
    <xf numFmtId="4" fontId="30" fillId="11" borderId="2" xfId="4" applyNumberFormat="1" applyFont="1" applyFill="1" applyAlignment="1">
      <alignment horizontal="center" wrapText="1"/>
    </xf>
    <xf numFmtId="4" fontId="30" fillId="12" borderId="2" xfId="4" applyNumberFormat="1" applyFont="1" applyFill="1" applyAlignment="1">
      <alignment horizontal="right" wrapText="1"/>
    </xf>
    <xf numFmtId="165" fontId="30" fillId="11" borderId="2" xfId="5" applyFont="1" applyFill="1" applyBorder="1" applyAlignment="1">
      <alignment horizontal="center" wrapText="1"/>
    </xf>
    <xf numFmtId="165" fontId="30" fillId="12" borderId="2" xfId="1" applyFont="1" applyFill="1" applyBorder="1" applyAlignment="1">
      <alignment horizontal="center" wrapText="1"/>
    </xf>
    <xf numFmtId="165" fontId="30" fillId="13" borderId="2" xfId="1" applyFont="1" applyFill="1" applyBorder="1" applyAlignment="1">
      <alignment horizontal="center" wrapText="1"/>
    </xf>
    <xf numFmtId="0" fontId="32" fillId="0" borderId="0" xfId="0" applyFont="1" applyAlignment="1">
      <alignment horizontal="center"/>
    </xf>
    <xf numFmtId="1" fontId="32" fillId="0" borderId="0" xfId="4" applyNumberFormat="1" applyFont="1" applyBorder="1" applyAlignment="1">
      <alignment horizontal="center"/>
    </xf>
    <xf numFmtId="1" fontId="32" fillId="0" borderId="0" xfId="4" applyNumberFormat="1" applyFont="1" applyBorder="1" applyAlignment="1" applyProtection="1">
      <alignment horizontal="center"/>
      <protection locked="0"/>
    </xf>
    <xf numFmtId="0" fontId="32" fillId="0" borderId="0" xfId="0" applyFont="1"/>
    <xf numFmtId="0" fontId="32" fillId="0" borderId="0" xfId="4" applyFont="1" applyBorder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4" applyFont="1" applyBorder="1"/>
    <xf numFmtId="14" fontId="32" fillId="0" borderId="0" xfId="4" applyNumberFormat="1" applyFont="1" applyBorder="1" applyAlignment="1">
      <alignment horizontal="center"/>
    </xf>
    <xf numFmtId="4" fontId="32" fillId="0" borderId="0" xfId="0" applyNumberFormat="1" applyFont="1"/>
    <xf numFmtId="4" fontId="32" fillId="0" borderId="0" xfId="1" applyNumberFormat="1" applyFont="1" applyFill="1" applyBorder="1" applyAlignment="1">
      <alignment horizontal="center"/>
    </xf>
    <xf numFmtId="4" fontId="32" fillId="0" borderId="0" xfId="1" applyNumberFormat="1" applyFont="1" applyFill="1" applyBorder="1"/>
    <xf numFmtId="165" fontId="32" fillId="0" borderId="0" xfId="5" applyFont="1" applyFill="1" applyBorder="1"/>
    <xf numFmtId="165" fontId="32" fillId="0" borderId="0" xfId="1" applyFont="1" applyFill="1" applyBorder="1"/>
    <xf numFmtId="1" fontId="32" fillId="0" borderId="0" xfId="4" applyNumberFormat="1" applyFont="1" applyBorder="1"/>
    <xf numFmtId="0" fontId="32" fillId="0" borderId="0" xfId="6" applyFont="1" applyBorder="1" applyAlignment="1">
      <alignment horizontal="center"/>
    </xf>
    <xf numFmtId="1" fontId="32" fillId="0" borderId="0" xfId="4" applyNumberFormat="1" applyFont="1" applyBorder="1" applyAlignment="1">
      <alignment horizontal="left"/>
    </xf>
    <xf numFmtId="4" fontId="32" fillId="0" borderId="0" xfId="4" applyNumberFormat="1" applyFont="1" applyBorder="1" applyAlignment="1">
      <alignment horizontal="right"/>
    </xf>
    <xf numFmtId="0" fontId="32" fillId="0" borderId="0" xfId="4" applyFont="1" applyBorder="1" applyAlignment="1">
      <alignment horizontal="left"/>
    </xf>
    <xf numFmtId="2" fontId="32" fillId="0" borderId="0" xfId="0" applyNumberFormat="1" applyFont="1" applyAlignment="1">
      <alignment horizontal="center"/>
    </xf>
    <xf numFmtId="0" fontId="32" fillId="0" borderId="0" xfId="0" quotePrefix="1" applyFont="1"/>
    <xf numFmtId="0" fontId="32" fillId="0" borderId="0" xfId="7" applyFont="1"/>
    <xf numFmtId="0" fontId="33" fillId="0" borderId="0" xfId="0" applyFont="1"/>
    <xf numFmtId="4" fontId="32" fillId="0" borderId="0" xfId="4" applyNumberFormat="1" applyFont="1" applyBorder="1"/>
    <xf numFmtId="49" fontId="32" fillId="0" borderId="0" xfId="4" applyNumberFormat="1" applyFont="1" applyBorder="1" applyAlignment="1">
      <alignment horizontal="left"/>
    </xf>
    <xf numFmtId="14" fontId="3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4" fontId="34" fillId="2" borderId="0" xfId="0" applyNumberFormat="1" applyFont="1" applyFill="1" applyAlignment="1">
      <alignment horizontal="center"/>
    </xf>
    <xf numFmtId="0" fontId="2" fillId="14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14" fontId="14" fillId="0" borderId="0" xfId="0" applyNumberFormat="1" applyFont="1"/>
    <xf numFmtId="0" fontId="4" fillId="15" borderId="16" xfId="0" applyFont="1" applyFill="1" applyBorder="1" applyAlignment="1">
      <alignment horizontal="center" vertical="center"/>
    </xf>
    <xf numFmtId="165" fontId="4" fillId="15" borderId="16" xfId="1" applyFont="1" applyFill="1" applyBorder="1"/>
    <xf numFmtId="0" fontId="4" fillId="15" borderId="17" xfId="0" applyFont="1" applyFill="1" applyBorder="1" applyAlignment="1">
      <alignment horizontal="center" vertical="center"/>
    </xf>
    <xf numFmtId="165" fontId="4" fillId="0" borderId="0" xfId="0" applyNumberFormat="1" applyFont="1"/>
    <xf numFmtId="1" fontId="14" fillId="0" borderId="0" xfId="0" applyNumberFormat="1" applyFont="1" applyAlignment="1" applyProtection="1">
      <alignment horizontal="center"/>
      <protection locked="0"/>
    </xf>
    <xf numFmtId="3" fontId="0" fillId="0" borderId="2" xfId="0" applyNumberFormat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 vertical="center"/>
    </xf>
    <xf numFmtId="164" fontId="20" fillId="0" borderId="13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170" fontId="0" fillId="23" borderId="0" xfId="0" applyNumberFormat="1" applyFill="1" applyAlignment="1">
      <alignment horizontal="center" vertical="center"/>
    </xf>
    <xf numFmtId="171" fontId="0" fillId="0" borderId="0" xfId="0" applyNumberFormat="1" applyAlignment="1">
      <alignment horizontal="center"/>
    </xf>
    <xf numFmtId="0" fontId="2" fillId="17" borderId="0" xfId="0" applyFont="1" applyFill="1" applyAlignment="1">
      <alignment horizontal="center" vertical="center" wrapText="1"/>
    </xf>
    <xf numFmtId="0" fontId="35" fillId="18" borderId="0" xfId="0" applyFont="1" applyFill="1" applyAlignment="1" applyProtection="1">
      <alignment horizontal="center" vertical="center"/>
      <protection hidden="1"/>
    </xf>
    <xf numFmtId="0" fontId="2" fillId="19" borderId="0" xfId="0" applyFont="1" applyFill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36" fillId="10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/>
    </xf>
    <xf numFmtId="170" fontId="36" fillId="10" borderId="0" xfId="0" applyNumberFormat="1" applyFont="1" applyFill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37" fillId="0" borderId="0" xfId="0" applyFont="1"/>
    <xf numFmtId="0" fontId="2" fillId="2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22" borderId="0" xfId="0" applyFont="1" applyFill="1" applyAlignment="1">
      <alignment horizontal="center" vertical="center" wrapText="1"/>
    </xf>
    <xf numFmtId="0" fontId="11" fillId="0" borderId="0" xfId="8"/>
    <xf numFmtId="0" fontId="38" fillId="0" borderId="0" xfId="0" applyFont="1"/>
    <xf numFmtId="43" fontId="3" fillId="0" borderId="0" xfId="0" applyNumberFormat="1" applyFont="1"/>
    <xf numFmtId="0" fontId="0" fillId="9" borderId="0" xfId="0" applyFill="1" applyAlignment="1">
      <alignment horizontal="center"/>
    </xf>
    <xf numFmtId="0" fontId="0" fillId="9" borderId="10" xfId="0" applyFill="1" applyBorder="1" applyAlignment="1">
      <alignment horizontal="center"/>
    </xf>
  </cellXfs>
  <cellStyles count="9">
    <cellStyle name="A3 297 x 420 mm" xfId="6" xr:uid="{0C927C75-3921-44B9-A949-193AF66FF6D7}"/>
    <cellStyle name="Hipervínculo" xfId="8" builtinId="8"/>
    <cellStyle name="Hyperlink" xfId="3" xr:uid="{537922A0-46D6-451E-B188-6C258F064105}"/>
    <cellStyle name="Millares" xfId="1" builtinId="3"/>
    <cellStyle name="Millares_Cat_logo_Activos_Tec 1207" xfId="5" xr:uid="{7737F2C1-B29A-466A-A71F-AD649D99534E}"/>
    <cellStyle name="Normal" xfId="0" builtinId="0"/>
    <cellStyle name="Normal 2" xfId="2" xr:uid="{14D50247-FB54-4526-AB50-B017E9632164}"/>
    <cellStyle name="Normal_Catalogo Activos Dic 05 Tec" xfId="4" xr:uid="{8DDE8F8C-983D-4C05-8FA7-9855EE6FEE89}"/>
    <cellStyle name="Normal_Hoja1" xfId="7" xr:uid="{C7895E69-3408-495F-8A20-A4D6D884D704}"/>
  </cellStyles>
  <dxfs count="17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</font>
      <numFmt numFmtId="0" formatCode="General"/>
      <alignment horizontal="center" textRotation="0" wrapText="0" indent="0" justifyLastLine="0" shrinkToFit="0" readingOrder="0"/>
    </dxf>
    <dxf>
      <numFmt numFmtId="171" formatCode="0_ ;[Red]\-0\ 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</font>
      <numFmt numFmtId="0" formatCode="General"/>
      <alignment horizontal="center" textRotation="0" wrapText="0" indent="0" justifyLastLine="0" shrinkToFit="0" readingOrder="0"/>
    </dxf>
    <dxf>
      <numFmt numFmtId="171" formatCode="0_ ;[Red]\-0\ "/>
      <alignment horizontal="center" textRotation="0" wrapText="0" indent="0" justifyLastLine="0" shrinkToFit="0" readingOrder="0"/>
    </dxf>
    <dxf>
      <numFmt numFmtId="172" formatCode="d/mm/yyyy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70" formatCode="0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170" formatCode="0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170" formatCode="0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170" formatCode="0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170" formatCode="0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170" formatCode="0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sz val="8"/>
      </font>
      <numFmt numFmtId="170" formatCode="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>
          <bgColor theme="4" tint="-0.49998474074526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none"/>
      </font>
      <numFmt numFmtId="0" formatCode="General"/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19" formatCode="dd/mm/yyyy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19" formatCode="dd/mm/yyyy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66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fill>
        <patternFill patternType="none">
          <fgColor indexed="64"/>
          <bgColor auto="1"/>
        </patternFill>
      </fill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64" formatCode="[$S/-280A]\ 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4" formatCode="[$S/-280A]\ #,##0.00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69" formatCode="[$$-409]#,##0"/>
      <fill>
        <patternFill patternType="none">
          <fgColor indexed="64"/>
          <bgColor auto="1"/>
        </patternFill>
      </fill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9" formatCode="[$$-409]#,##0"/>
      <border diagonalUp="0" diagonalDown="0" outline="0">
        <left style="thin">
          <color theme="5"/>
        </left>
        <right/>
        <top style="thin">
          <color theme="5"/>
        </top>
        <bottom/>
      </border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69" formatCode="[$$-409]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66" formatCode="m/d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66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" formatCode="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5"/>
        </left>
        <right/>
        <top style="thin">
          <color theme="5"/>
        </top>
        <bottom/>
      </border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[$S/-280A]\ #,##0.00"/>
    </dxf>
    <dxf>
      <numFmt numFmtId="164" formatCode="[$S/-280A]\ #,##0.00"/>
    </dxf>
    <dxf>
      <numFmt numFmtId="164" formatCode="[$S/-280A]\ #,##0.00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0" formatCode="General"/>
    </dxf>
    <dxf>
      <numFmt numFmtId="167" formatCode="dd/mm/yyyy;@"/>
      <alignment horizontal="center" vertical="bottom" textRotation="0" wrapText="0" indent="0" justifyLastLine="0" shrinkToFit="0" readingOrder="0"/>
      <protection locked="0" hidden="0"/>
    </dxf>
    <dxf>
      <numFmt numFmtId="165" formatCode="_(* #,##0.00_);_(* \(#,##0.00\);_(* &quot;-&quot;??_);_(@_)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none"/>
      </font>
      <numFmt numFmtId="0" formatCode="General"/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67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67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w Cen MT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66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w Cen MT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w Cen MT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612588</xdr:colOff>
      <xdr:row>21</xdr:row>
      <xdr:rowOff>164352</xdr:rowOff>
    </xdr:from>
    <xdr:to>
      <xdr:col>19</xdr:col>
      <xdr:colOff>458403</xdr:colOff>
      <xdr:row>35</xdr:row>
      <xdr:rowOff>101005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FAA335-97D4-5410-9A68-82B2255AB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7294" y="4534646"/>
          <a:ext cx="8877756" cy="2438525"/>
        </a:xfrm>
        <a:prstGeom prst="rect">
          <a:avLst/>
        </a:prstGeom>
      </xdr:spPr>
    </xdr:pic>
    <xdr:clientData/>
  </xdr:twoCellAnchor>
  <xdr:twoCellAnchor editAs="oneCell">
    <xdr:from>
      <xdr:col>9</xdr:col>
      <xdr:colOff>716642</xdr:colOff>
      <xdr:row>37</xdr:row>
      <xdr:rowOff>81643</xdr:rowOff>
    </xdr:from>
    <xdr:to>
      <xdr:col>16</xdr:col>
      <xdr:colOff>518302</xdr:colOff>
      <xdr:row>58</xdr:row>
      <xdr:rowOff>138992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C6CB15-8F12-4A68-EC94-F78489E57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00142" y="7393214"/>
          <a:ext cx="6305874" cy="38673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121</xdr:row>
      <xdr:rowOff>0</xdr:rowOff>
    </xdr:from>
    <xdr:to>
      <xdr:col>36</xdr:col>
      <xdr:colOff>377949</xdr:colOff>
      <xdr:row>129</xdr:row>
      <xdr:rowOff>98051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1F0228-543B-5754-E0AD-86C9D90DD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85214" y="3084286"/>
          <a:ext cx="11227377" cy="1549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836333</xdr:colOff>
      <xdr:row>0</xdr:row>
      <xdr:rowOff>22412</xdr:rowOff>
    </xdr:from>
    <xdr:to>
      <xdr:col>23</xdr:col>
      <xdr:colOff>70080</xdr:colOff>
      <xdr:row>18</xdr:row>
      <xdr:rowOff>137328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2C8BF2A2-B91D-3F63-A8CB-4592DD60007E}"/>
            </a:ext>
          </a:extLst>
        </xdr:cNvPr>
        <xdr:cNvGrpSpPr/>
      </xdr:nvGrpSpPr>
      <xdr:grpSpPr>
        <a:xfrm>
          <a:off x="7573683" y="22412"/>
          <a:ext cx="11546397" cy="4331316"/>
          <a:chOff x="7604686" y="22412"/>
          <a:chExt cx="11530335" cy="4350740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3ACB99BB-7AF0-4502-AD41-5C4A91391A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365565" y="782545"/>
            <a:ext cx="4447105" cy="3590607"/>
          </a:xfrm>
          <a:prstGeom prst="rect">
            <a:avLst/>
          </a:prstGeom>
        </xdr:spPr>
      </xdr:pic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AF131280-F238-45B5-9677-2E8F62BD58FF}"/>
              </a:ext>
            </a:extLst>
          </xdr:cNvPr>
          <xdr:cNvSpPr/>
        </xdr:nvSpPr>
        <xdr:spPr>
          <a:xfrm>
            <a:off x="8327465" y="1268132"/>
            <a:ext cx="3873873" cy="460189"/>
          </a:xfrm>
          <a:prstGeom prst="rect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67AC47F6-1D46-4344-B394-3B79593098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604686" y="22412"/>
            <a:ext cx="11530335" cy="56076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704868</xdr:colOff>
      <xdr:row>2</xdr:row>
      <xdr:rowOff>0</xdr:rowOff>
    </xdr:from>
    <xdr:to>
      <xdr:col>79</xdr:col>
      <xdr:colOff>181430</xdr:colOff>
      <xdr:row>42</xdr:row>
      <xdr:rowOff>143000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090F1C-146E-4183-88C0-7C403E3A3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48654" y="635000"/>
          <a:ext cx="5318562" cy="7826500"/>
        </a:xfrm>
        <a:prstGeom prst="rect">
          <a:avLst/>
        </a:prstGeom>
      </xdr:spPr>
    </xdr:pic>
    <xdr:clientData/>
  </xdr:twoCellAnchor>
  <xdr:twoCellAnchor editAs="oneCell">
    <xdr:from>
      <xdr:col>61</xdr:col>
      <xdr:colOff>181428</xdr:colOff>
      <xdr:row>2</xdr:row>
      <xdr:rowOff>181430</xdr:rowOff>
    </xdr:from>
    <xdr:to>
      <xdr:col>71</xdr:col>
      <xdr:colOff>567414</xdr:colOff>
      <xdr:row>23</xdr:row>
      <xdr:rowOff>9282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F88F57-333D-7769-269E-3A6784330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10357" y="1360716"/>
          <a:ext cx="8731699" cy="4064209"/>
        </a:xfrm>
        <a:prstGeom prst="rect">
          <a:avLst/>
        </a:prstGeom>
      </xdr:spPr>
    </xdr:pic>
    <xdr:clientData/>
  </xdr:twoCellAnchor>
  <xdr:twoCellAnchor editAs="oneCell">
    <xdr:from>
      <xdr:col>61</xdr:col>
      <xdr:colOff>299357</xdr:colOff>
      <xdr:row>0</xdr:row>
      <xdr:rowOff>108858</xdr:rowOff>
    </xdr:from>
    <xdr:to>
      <xdr:col>72</xdr:col>
      <xdr:colOff>90714</xdr:colOff>
      <xdr:row>2</xdr:row>
      <xdr:rowOff>10307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7111626-14F6-5C6B-2D84-C4FD2FB04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59428" y="108858"/>
          <a:ext cx="8971643" cy="536449"/>
        </a:xfrm>
        <a:prstGeom prst="rect">
          <a:avLst/>
        </a:prstGeom>
      </xdr:spPr>
    </xdr:pic>
    <xdr:clientData/>
  </xdr:twoCellAnchor>
  <xdr:twoCellAnchor editAs="oneCell">
    <xdr:from>
      <xdr:col>62</xdr:col>
      <xdr:colOff>281214</xdr:colOff>
      <xdr:row>1</xdr:row>
      <xdr:rowOff>127001</xdr:rowOff>
    </xdr:from>
    <xdr:to>
      <xdr:col>71</xdr:col>
      <xdr:colOff>807357</xdr:colOff>
      <xdr:row>3</xdr:row>
      <xdr:rowOff>174810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43DA300-95F8-23AE-981C-4444A308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575857" y="580572"/>
          <a:ext cx="8037286" cy="474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orote\Desktop\MESTRO%20DE%20FLOTA.xlsx" TargetMode="External"/><Relationship Id="rId1" Type="http://schemas.openxmlformats.org/officeDocument/2006/relationships/externalLinkPath" Target="/Users/emorote/Desktop/MESTRO%20DE%20FLO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calderon/Desktop/Master%20de%20Control%20de%20Veh&#237;culos%20-%2013%20de%20abril%20de%202016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surpe.sharepoint.com/sites/GestinFlotaEV-Enzo/Documentos%20compartidos/Control-de-Flota-Vehicular-Tecsur%2012.xlsx" TargetMode="External"/><Relationship Id="rId1" Type="http://schemas.openxmlformats.org/officeDocument/2006/relationships/externalLinkPath" Target="Control-de-Flota-Vehicular-Tecsur%201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surpe.sharepoint.com/sites/GestinFlotaEV-Enzo/Documentos%20compartidos/2.-Documentos/Control%20Documentario/SAT/Pagos%20Impuesto_Flota/Pagos_Impuesto_Flota.xlsx" TargetMode="External"/><Relationship Id="rId1" Type="http://schemas.openxmlformats.org/officeDocument/2006/relationships/externalLinkPath" Target="2.-Documentos/Control%20Documentario/SAT/Pagos%20Impuesto_Flota/Pagos_Impuesto_Fl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L. POR TIPO DE VEHICULO"/>
      <sheetName val="Padron"/>
      <sheetName val="CLASIFICACIÓN VEHICULAR"/>
      <sheetName val="PLANTILLA"/>
      <sheetName val="UNIVERSO"/>
      <sheetName val="PADRON de GPS"/>
      <sheetName val="HUNTER"/>
      <sheetName val="NAVISAF"/>
      <sheetName val="TSO"/>
      <sheetName val="COMSATEL"/>
      <sheetName val="GOLDCAR"/>
      <sheetName val="TRACKLOG"/>
      <sheetName val="CERTISAT(RRV)"/>
      <sheetName val="Cámaras"/>
      <sheetName val="ITV MERCANCIAS"/>
      <sheetName val="ITV PELIGRO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aster Vehículos"/>
      <sheetName val="CODIFICACION"/>
      <sheetName val="UNIDADES COP"/>
      <sheetName val="RRPP"/>
      <sheetName val="RRNNPP"/>
      <sheetName val="RRPP Y RRNNPP"/>
      <sheetName val="COP"/>
      <sheetName val="Autor. Vig."/>
      <sheetName val="GPS"/>
      <sheetName val="Primas"/>
      <sheetName val="Extintores"/>
      <sheetName val="Conductores"/>
      <sheetName val="Pesos R+S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ta"/>
      <sheetName val="Combustible"/>
      <sheetName val="Resumen de Flota"/>
      <sheetName val="Conductores"/>
      <sheetName val="Rutas"/>
      <sheetName val="Multas"/>
      <sheetName val="Otras listas"/>
      <sheetName val="Costos de Mant"/>
      <sheetName val="Mantenimiento"/>
      <sheetName val="Mant Disp"/>
      <sheetName val="Imag"/>
      <sheetName val="ACTAS"/>
      <sheetName val="Entregados"/>
      <sheetName val="CR tecsur"/>
      <sheetName val="REV"/>
      <sheetName val="soatCI"/>
      <sheetName val="Reporte General"/>
      <sheetName val="Control-de-Flota-Vehicular-Tecs"/>
      <sheetName val="Ingresos y Egresos"/>
      <sheetName val="Renting"/>
      <sheetName val="Impuestos"/>
      <sheetName val="Recargas"/>
      <sheetName val="ITV"/>
      <sheetName val="GPS"/>
      <sheetName val="Depreciación"/>
      <sheetName val="Talleres"/>
      <sheetName val="Soat"/>
      <sheetName val="Pólizas"/>
      <sheetName val="Soat_detalle"/>
      <sheetName val="Impuestos_Detalle"/>
      <sheetName val="Ingresos y Gastos 2"/>
      <sheetName val="Margen y Utilidad"/>
    </sheetNames>
    <sheetDataSet>
      <sheetData sheetId="0">
        <row r="9">
          <cell r="F9" t="str">
            <v>CNL-017</v>
          </cell>
        </row>
        <row r="10">
          <cell r="F10" t="str">
            <v>CCV-877</v>
          </cell>
        </row>
        <row r="11">
          <cell r="F11" t="str">
            <v>CCV-878</v>
          </cell>
        </row>
        <row r="12">
          <cell r="F12" t="str">
            <v>CCV-938</v>
          </cell>
        </row>
        <row r="13">
          <cell r="F13" t="str">
            <v>CCX-919</v>
          </cell>
        </row>
        <row r="14">
          <cell r="F14" t="str">
            <v>CCV-757</v>
          </cell>
        </row>
        <row r="15">
          <cell r="F15" t="str">
            <v>CCU-877</v>
          </cell>
        </row>
        <row r="16">
          <cell r="F16" t="str">
            <v>CCX-883</v>
          </cell>
        </row>
        <row r="17">
          <cell r="F17" t="str">
            <v>CCV-847</v>
          </cell>
        </row>
        <row r="18">
          <cell r="F18" t="str">
            <v>CAU-746</v>
          </cell>
        </row>
        <row r="19">
          <cell r="F19" t="str">
            <v>CAT-947</v>
          </cell>
        </row>
        <row r="20">
          <cell r="F20" t="str">
            <v>CAU-745</v>
          </cell>
        </row>
        <row r="21">
          <cell r="F21" t="str">
            <v>CAT-936</v>
          </cell>
        </row>
        <row r="22">
          <cell r="F22" t="str">
            <v>CAU-729</v>
          </cell>
        </row>
        <row r="23">
          <cell r="F23" t="str">
            <v>CAU-741</v>
          </cell>
        </row>
        <row r="24">
          <cell r="F24" t="str">
            <v>CAU-732</v>
          </cell>
        </row>
        <row r="25">
          <cell r="F25" t="str">
            <v>CAU-715</v>
          </cell>
        </row>
        <row r="26">
          <cell r="F26" t="str">
            <v>CNK-688</v>
          </cell>
        </row>
        <row r="27">
          <cell r="F27" t="str">
            <v>CNK-622</v>
          </cell>
        </row>
        <row r="28">
          <cell r="F28" t="str">
            <v>CNL-074</v>
          </cell>
        </row>
        <row r="29">
          <cell r="F29" t="str">
            <v>CNK-675</v>
          </cell>
        </row>
        <row r="30">
          <cell r="F30" t="str">
            <v>CNL-091</v>
          </cell>
        </row>
        <row r="31">
          <cell r="F31" t="str">
            <v>CNK-587</v>
          </cell>
        </row>
        <row r="32">
          <cell r="F32" t="str">
            <v>CNL-010</v>
          </cell>
        </row>
        <row r="33">
          <cell r="F33" t="str">
            <v>CNL-003</v>
          </cell>
        </row>
        <row r="34">
          <cell r="F34" t="str">
            <v>CNL-013</v>
          </cell>
        </row>
        <row r="35">
          <cell r="F35" t="str">
            <v>CNK-530</v>
          </cell>
        </row>
        <row r="36">
          <cell r="F36" t="str">
            <v>CNL-135</v>
          </cell>
        </row>
        <row r="37">
          <cell r="F37" t="str">
            <v>CNK-646</v>
          </cell>
        </row>
        <row r="38">
          <cell r="F38" t="str">
            <v>CNL-072</v>
          </cell>
        </row>
        <row r="39">
          <cell r="F39" t="str">
            <v>CNK-615</v>
          </cell>
        </row>
        <row r="40">
          <cell r="F40" t="str">
            <v>CNK-504</v>
          </cell>
        </row>
        <row r="41">
          <cell r="F41" t="str">
            <v>CNK-644</v>
          </cell>
        </row>
        <row r="42">
          <cell r="F42" t="str">
            <v>CNL-165</v>
          </cell>
        </row>
        <row r="43">
          <cell r="F43" t="str">
            <v>CNL-033</v>
          </cell>
        </row>
        <row r="44">
          <cell r="F44" t="str">
            <v>CNL-075</v>
          </cell>
        </row>
        <row r="45">
          <cell r="F45" t="str">
            <v>CNL-076</v>
          </cell>
        </row>
        <row r="46">
          <cell r="F46" t="str">
            <v>CNK-542</v>
          </cell>
        </row>
        <row r="47">
          <cell r="F47" t="str">
            <v>CNL-009</v>
          </cell>
        </row>
        <row r="48">
          <cell r="F48" t="str">
            <v>CNK-503</v>
          </cell>
        </row>
        <row r="49">
          <cell r="F49" t="str">
            <v>CNK-263</v>
          </cell>
        </row>
        <row r="50">
          <cell r="F50" t="str">
            <v>CNL-121</v>
          </cell>
        </row>
        <row r="51">
          <cell r="F51" t="str">
            <v>CNK-485</v>
          </cell>
        </row>
        <row r="52">
          <cell r="F52" t="str">
            <v>CNK-505</v>
          </cell>
        </row>
        <row r="53">
          <cell r="F53" t="str">
            <v>CNK-573</v>
          </cell>
        </row>
        <row r="54">
          <cell r="F54" t="str">
            <v>CNK-533</v>
          </cell>
        </row>
        <row r="55">
          <cell r="F55" t="str">
            <v>CNL-689</v>
          </cell>
        </row>
        <row r="56">
          <cell r="F56" t="str">
            <v>CNK-690</v>
          </cell>
        </row>
        <row r="57">
          <cell r="F57" t="str">
            <v>CNL-494</v>
          </cell>
        </row>
        <row r="58">
          <cell r="F58" t="str">
            <v>CNL-012</v>
          </cell>
        </row>
        <row r="59">
          <cell r="F59" t="str">
            <v>CNK-641</v>
          </cell>
        </row>
        <row r="60">
          <cell r="F60" t="str">
            <v>CNK-639</v>
          </cell>
        </row>
        <row r="61">
          <cell r="F61" t="str">
            <v>CNK-471</v>
          </cell>
        </row>
        <row r="62">
          <cell r="F62" t="str">
            <v>CNL-632</v>
          </cell>
        </row>
        <row r="63">
          <cell r="F63" t="str">
            <v>CFG-023</v>
          </cell>
        </row>
        <row r="64">
          <cell r="F64" t="str">
            <v>CFF-503</v>
          </cell>
        </row>
        <row r="65">
          <cell r="F65" t="str">
            <v>CDR-948</v>
          </cell>
        </row>
        <row r="66">
          <cell r="F66" t="str">
            <v>BZJ-850</v>
          </cell>
        </row>
        <row r="67">
          <cell r="F67" t="str">
            <v>BZJ-853</v>
          </cell>
        </row>
        <row r="68">
          <cell r="F68" t="str">
            <v>BZJ-885</v>
          </cell>
        </row>
        <row r="69">
          <cell r="F69" t="str">
            <v>BZK-709</v>
          </cell>
        </row>
        <row r="70">
          <cell r="F70" t="str">
            <v>BZK-712</v>
          </cell>
        </row>
        <row r="71">
          <cell r="F71" t="str">
            <v>BZK-713</v>
          </cell>
        </row>
        <row r="72">
          <cell r="F72" t="str">
            <v>BZO-888</v>
          </cell>
        </row>
        <row r="73">
          <cell r="F73" t="str">
            <v>BZK-798</v>
          </cell>
        </row>
        <row r="74">
          <cell r="F74" t="str">
            <v>BZO-799</v>
          </cell>
        </row>
        <row r="75">
          <cell r="F75" t="str">
            <v>BZO-755</v>
          </cell>
        </row>
        <row r="76">
          <cell r="F76" t="str">
            <v>BZO-937</v>
          </cell>
        </row>
        <row r="77">
          <cell r="F77" t="str">
            <v>BZT-725</v>
          </cell>
        </row>
        <row r="78">
          <cell r="F78" t="str">
            <v>BUR-920</v>
          </cell>
        </row>
        <row r="79">
          <cell r="F79" t="str">
            <v>BUR-928</v>
          </cell>
        </row>
        <row r="80">
          <cell r="F80" t="str">
            <v>BUR-944</v>
          </cell>
        </row>
        <row r="81">
          <cell r="F81" t="str">
            <v>BUR-946</v>
          </cell>
        </row>
        <row r="82">
          <cell r="F82" t="str">
            <v>BUS-735</v>
          </cell>
        </row>
        <row r="83">
          <cell r="F83" t="str">
            <v>BUR-921</v>
          </cell>
        </row>
        <row r="84">
          <cell r="F84" t="str">
            <v>BUR-929</v>
          </cell>
        </row>
        <row r="85">
          <cell r="F85" t="str">
            <v>BUR-945</v>
          </cell>
        </row>
        <row r="86">
          <cell r="F86" t="str">
            <v>BUS-728</v>
          </cell>
        </row>
        <row r="87">
          <cell r="F87" t="str">
            <v>BUS-777</v>
          </cell>
        </row>
        <row r="88">
          <cell r="F88" t="str">
            <v>BUS-778</v>
          </cell>
        </row>
        <row r="89">
          <cell r="F89" t="str">
            <v>BUS-779</v>
          </cell>
        </row>
        <row r="90">
          <cell r="F90" t="str">
            <v>BUS-782</v>
          </cell>
        </row>
        <row r="91">
          <cell r="F91" t="str">
            <v>BUS-801</v>
          </cell>
        </row>
        <row r="92">
          <cell r="F92" t="str">
            <v>BUS-802</v>
          </cell>
        </row>
        <row r="93">
          <cell r="F93" t="str">
            <v>BUS-727</v>
          </cell>
        </row>
        <row r="94">
          <cell r="F94" t="str">
            <v>BUS-816</v>
          </cell>
        </row>
        <row r="95">
          <cell r="F95" t="str">
            <v>BUS-862</v>
          </cell>
        </row>
        <row r="96">
          <cell r="F96" t="str">
            <v>BUS-863</v>
          </cell>
        </row>
        <row r="97">
          <cell r="F97" t="str">
            <v>BUS-718</v>
          </cell>
        </row>
        <row r="98">
          <cell r="F98" t="str">
            <v>BYR-944</v>
          </cell>
        </row>
        <row r="99">
          <cell r="F99" t="str">
            <v>BYR-948</v>
          </cell>
        </row>
        <row r="100">
          <cell r="F100" t="str">
            <v>BYS-764</v>
          </cell>
        </row>
        <row r="101">
          <cell r="F101" t="str">
            <v>BYS-793</v>
          </cell>
        </row>
        <row r="102">
          <cell r="F102" t="str">
            <v>BYS-799</v>
          </cell>
        </row>
        <row r="103">
          <cell r="F103" t="str">
            <v>BYS-800</v>
          </cell>
        </row>
        <row r="104">
          <cell r="F104" t="str">
            <v>BYS-845</v>
          </cell>
        </row>
        <row r="105">
          <cell r="F105" t="str">
            <v>BYR-943</v>
          </cell>
        </row>
        <row r="106">
          <cell r="F106" t="str">
            <v>BYR-945</v>
          </cell>
        </row>
        <row r="107">
          <cell r="F107" t="str">
            <v>BYR-946</v>
          </cell>
        </row>
        <row r="108">
          <cell r="F108" t="str">
            <v>BYS-767</v>
          </cell>
        </row>
        <row r="109">
          <cell r="F109" t="str">
            <v>BYS-790</v>
          </cell>
        </row>
        <row r="110">
          <cell r="F110" t="str">
            <v>BYS-839</v>
          </cell>
        </row>
        <row r="111">
          <cell r="F111" t="str">
            <v>BYS-848</v>
          </cell>
        </row>
        <row r="112">
          <cell r="F112" t="str">
            <v>BYS-854</v>
          </cell>
        </row>
        <row r="113">
          <cell r="F113" t="str">
            <v>BYS-881</v>
          </cell>
        </row>
        <row r="114">
          <cell r="F114" t="str">
            <v>BYS-886</v>
          </cell>
        </row>
        <row r="115">
          <cell r="F115" t="str">
            <v>BYS-888</v>
          </cell>
        </row>
        <row r="116">
          <cell r="F116" t="str">
            <v>CPB-054</v>
          </cell>
        </row>
        <row r="117">
          <cell r="F117" t="str">
            <v>BXG-218</v>
          </cell>
        </row>
        <row r="118">
          <cell r="F118" t="str">
            <v>BXI-863</v>
          </cell>
        </row>
        <row r="119">
          <cell r="F119" t="str">
            <v>BXI-854</v>
          </cell>
        </row>
        <row r="120">
          <cell r="F120" t="str">
            <v>BXI-787</v>
          </cell>
        </row>
        <row r="121">
          <cell r="F121" t="str">
            <v>BXI-879</v>
          </cell>
        </row>
        <row r="122">
          <cell r="F122" t="str">
            <v>BXI-843</v>
          </cell>
        </row>
        <row r="123">
          <cell r="F123" t="str">
            <v>BXI-899</v>
          </cell>
        </row>
        <row r="124">
          <cell r="F124" t="str">
            <v>BXI-865</v>
          </cell>
        </row>
        <row r="125">
          <cell r="F125" t="str">
            <v>BXI-831</v>
          </cell>
        </row>
        <row r="126">
          <cell r="F126" t="str">
            <v>BXI-803</v>
          </cell>
        </row>
        <row r="127">
          <cell r="F127" t="str">
            <v>BXI-802</v>
          </cell>
        </row>
        <row r="128">
          <cell r="F128" t="str">
            <v>BXI-830</v>
          </cell>
        </row>
        <row r="129">
          <cell r="F129" t="str">
            <v>BXI-857</v>
          </cell>
        </row>
        <row r="130">
          <cell r="F130" t="str">
            <v>BXI-785</v>
          </cell>
        </row>
        <row r="131">
          <cell r="F131" t="str">
            <v>BTJ-860</v>
          </cell>
        </row>
        <row r="132">
          <cell r="F132" t="str">
            <v>CAC-805</v>
          </cell>
        </row>
        <row r="133">
          <cell r="F133" t="str">
            <v>CAC-802</v>
          </cell>
        </row>
        <row r="134">
          <cell r="F134" t="str">
            <v>CAC-921</v>
          </cell>
        </row>
        <row r="135">
          <cell r="F135" t="str">
            <v>CBE-701</v>
          </cell>
        </row>
        <row r="136">
          <cell r="F136" t="str">
            <v>CAT-923</v>
          </cell>
        </row>
        <row r="137">
          <cell r="F137" t="str">
            <v>CAT-892</v>
          </cell>
        </row>
        <row r="138">
          <cell r="F138" t="str">
            <v>AHL-505</v>
          </cell>
        </row>
        <row r="139">
          <cell r="F139" t="str">
            <v>AHP-031</v>
          </cell>
        </row>
        <row r="140">
          <cell r="F140" t="str">
            <v>B4J-799</v>
          </cell>
        </row>
        <row r="141">
          <cell r="F141" t="str">
            <v>BMD-779</v>
          </cell>
        </row>
        <row r="142">
          <cell r="F142" t="str">
            <v>BMD-886</v>
          </cell>
        </row>
        <row r="143">
          <cell r="F143" t="str">
            <v>BMD-887</v>
          </cell>
        </row>
        <row r="144">
          <cell r="F144" t="str">
            <v>BMD-931</v>
          </cell>
        </row>
        <row r="145">
          <cell r="F145" t="str">
            <v>BMD-932</v>
          </cell>
        </row>
        <row r="146">
          <cell r="F146" t="str">
            <v>BME-702</v>
          </cell>
        </row>
        <row r="147">
          <cell r="F147" t="str">
            <v>BME-703</v>
          </cell>
        </row>
        <row r="148">
          <cell r="F148" t="str">
            <v>BME-733</v>
          </cell>
        </row>
        <row r="149">
          <cell r="F149" t="str">
            <v>BME-734</v>
          </cell>
        </row>
        <row r="150">
          <cell r="F150" t="str">
            <v>BME-848</v>
          </cell>
        </row>
        <row r="151">
          <cell r="F151" t="str">
            <v>BME-849</v>
          </cell>
        </row>
        <row r="152">
          <cell r="F152" t="str">
            <v>BMF-742</v>
          </cell>
        </row>
        <row r="153">
          <cell r="F153" t="str">
            <v>BMF-744</v>
          </cell>
        </row>
        <row r="154">
          <cell r="F154" t="str">
            <v>BMF-779</v>
          </cell>
        </row>
        <row r="155">
          <cell r="F155" t="str">
            <v>BMF-780</v>
          </cell>
        </row>
        <row r="156">
          <cell r="F156" t="str">
            <v>F1H-807</v>
          </cell>
        </row>
        <row r="157">
          <cell r="F157" t="str">
            <v>AMI-916</v>
          </cell>
        </row>
        <row r="158">
          <cell r="F158" t="str">
            <v>BMG-786</v>
          </cell>
        </row>
        <row r="159">
          <cell r="F159" t="str">
            <v>BMG-834</v>
          </cell>
        </row>
        <row r="160">
          <cell r="F160" t="str">
            <v>BMH-850</v>
          </cell>
        </row>
        <row r="161">
          <cell r="F161" t="str">
            <v>BMI-759</v>
          </cell>
        </row>
        <row r="162">
          <cell r="F162" t="str">
            <v>AHL-676</v>
          </cell>
        </row>
        <row r="163">
          <cell r="F163" t="str">
            <v>BTB-903</v>
          </cell>
        </row>
        <row r="164">
          <cell r="F164" t="str">
            <v>BTD-712</v>
          </cell>
        </row>
      </sheetData>
      <sheetData sheetId="1"/>
      <sheetData sheetId="2"/>
      <sheetData sheetId="3"/>
      <sheetData sheetId="4"/>
      <sheetData sheetId="5"/>
      <sheetData sheetId="6">
        <row r="6">
          <cell r="L6" t="str">
            <v>Diesel</v>
          </cell>
          <cell r="P6" t="str">
            <v>Preventivo 01</v>
          </cell>
          <cell r="U6" t="str">
            <v>Accidente imprudencial</v>
          </cell>
        </row>
        <row r="7">
          <cell r="L7" t="str">
            <v>GLP</v>
          </cell>
          <cell r="P7" t="str">
            <v>Preventivo 02</v>
          </cell>
          <cell r="U7" t="str">
            <v>Alta velocidad</v>
          </cell>
        </row>
        <row r="8">
          <cell r="L8" t="str">
            <v>GNV</v>
          </cell>
          <cell r="P8" t="str">
            <v>Preventivo 03</v>
          </cell>
          <cell r="U8" t="str">
            <v>Conductor alcoholizado</v>
          </cell>
        </row>
        <row r="9">
          <cell r="L9" t="str">
            <v>Premium</v>
          </cell>
          <cell r="P9" t="str">
            <v>Preventivo 04</v>
          </cell>
          <cell r="U9" t="str">
            <v>Conductor temerario</v>
          </cell>
        </row>
        <row r="10">
          <cell r="L10" t="str">
            <v>Regular</v>
          </cell>
          <cell r="P10" t="str">
            <v>Preventivo 05</v>
          </cell>
          <cell r="U10" t="str">
            <v>Mal estacionado</v>
          </cell>
        </row>
        <row r="11">
          <cell r="L11" t="str">
            <v>Eléctrico</v>
          </cell>
          <cell r="P11" t="str">
            <v>Correctivo 01</v>
          </cell>
          <cell r="U11" t="str">
            <v>Se pasó la luz roja</v>
          </cell>
        </row>
        <row r="12">
          <cell r="P12" t="str">
            <v>Correctivo 02</v>
          </cell>
          <cell r="U12" t="str">
            <v>Arrojar desperdicios a la vía</v>
          </cell>
        </row>
        <row r="13">
          <cell r="P13" t="str">
            <v>Correctivo 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EPKCzys3UWaVtiFW24qPzPWxxr05BhOtSc61dR1SOVPQtT8pMVAToYz_GrTuu5C" itemId="01SUIADRKTU2MVKVPOTNHYSJIRGJKRTJPF">
      <xxl21:absoluteUrl r:id="rId2"/>
    </xxl21:alternateUrls>
    <sheetNames>
      <sheetName val="Consolidado"/>
      <sheetName val="Placas"/>
    </sheetNames>
    <sheetDataSet>
      <sheetData sheetId="0"/>
      <sheetData sheetId="1">
        <row r="1">
          <cell r="A1" t="str">
            <v>Id</v>
          </cell>
          <cell r="B1" t="str">
            <v>Placa</v>
          </cell>
          <cell r="C1" t="str">
            <v>Comprobante</v>
          </cell>
          <cell r="D1" t="str">
            <v>Link</v>
          </cell>
        </row>
        <row r="2">
          <cell r="A2" t="str">
            <v>BUR-7181 Vales</v>
          </cell>
          <cell r="B2" t="str">
            <v>BUR-718</v>
          </cell>
          <cell r="C2" t="str">
            <v>1 Vales</v>
          </cell>
          <cell r="D2" t="str">
            <v>1 Vales Caja 2025021349.pdf</v>
          </cell>
        </row>
        <row r="3">
          <cell r="A3" t="str">
            <v>BUR-7271 Vales</v>
          </cell>
          <cell r="B3" t="str">
            <v>BUR-727</v>
          </cell>
          <cell r="C3" t="str">
            <v>1 Vales</v>
          </cell>
          <cell r="D3" t="str">
            <v>1 Vales Caja 2025021349.pdf</v>
          </cell>
        </row>
        <row r="4">
          <cell r="A4" t="str">
            <v>BUR-7281 Vales</v>
          </cell>
          <cell r="B4" t="str">
            <v>BUR-728</v>
          </cell>
          <cell r="C4" t="str">
            <v>1 Vales</v>
          </cell>
          <cell r="D4" t="str">
            <v>1 Vales Caja 2025021349.pdf</v>
          </cell>
        </row>
        <row r="5">
          <cell r="A5" t="str">
            <v>BUR-7351 Vales</v>
          </cell>
          <cell r="B5" t="str">
            <v>BUR-735</v>
          </cell>
          <cell r="C5" t="str">
            <v>1 Vales</v>
          </cell>
          <cell r="D5" t="str">
            <v>1 Vales Caja 2025021349.pdf</v>
          </cell>
        </row>
        <row r="6">
          <cell r="A6" t="str">
            <v>BUR-7771 Vales</v>
          </cell>
          <cell r="B6" t="str">
            <v>BUR-777</v>
          </cell>
          <cell r="C6" t="str">
            <v>1 Vales</v>
          </cell>
          <cell r="D6" t="str">
            <v>1 Vales Caja 2025021349.pdf</v>
          </cell>
        </row>
        <row r="7">
          <cell r="A7" t="str">
            <v>BUR-7781 Vales</v>
          </cell>
          <cell r="B7" t="str">
            <v>BUR-778</v>
          </cell>
          <cell r="C7" t="str">
            <v>1 Vales</v>
          </cell>
          <cell r="D7" t="str">
            <v>1 Vales Caja 2025021349.pdf</v>
          </cell>
        </row>
        <row r="8">
          <cell r="A8" t="str">
            <v>BUR-7791 Vales</v>
          </cell>
          <cell r="B8" t="str">
            <v>BUR-779</v>
          </cell>
          <cell r="C8" t="str">
            <v>1 Vales</v>
          </cell>
          <cell r="D8" t="str">
            <v>1 Vales Caja 2025021349.pdf</v>
          </cell>
        </row>
        <row r="9">
          <cell r="A9" t="str">
            <v>BUR-7821 Vales</v>
          </cell>
          <cell r="B9" t="str">
            <v>BUR-782</v>
          </cell>
          <cell r="C9" t="str">
            <v>1 Vales</v>
          </cell>
          <cell r="D9" t="str">
            <v>1 Vales Caja 2025021349.pdf</v>
          </cell>
        </row>
        <row r="10">
          <cell r="A10" t="str">
            <v>BUR-8011 Vales</v>
          </cell>
          <cell r="B10" t="str">
            <v>BUR-801</v>
          </cell>
          <cell r="C10" t="str">
            <v>1 Vales</v>
          </cell>
          <cell r="D10" t="str">
            <v>1 Vales Caja 2025021349.pdf</v>
          </cell>
        </row>
        <row r="11">
          <cell r="A11" t="str">
            <v>BUR-8021 Vales</v>
          </cell>
          <cell r="B11" t="str">
            <v>BUR-802</v>
          </cell>
          <cell r="C11" t="str">
            <v>1 Vales</v>
          </cell>
          <cell r="D11" t="str">
            <v>1 Vales Caja 2025021349.pdf</v>
          </cell>
        </row>
        <row r="12">
          <cell r="A12" t="str">
            <v>BUR-8161 Vales</v>
          </cell>
          <cell r="B12" t="str">
            <v>BUR-816</v>
          </cell>
          <cell r="C12" t="str">
            <v>1 Vales</v>
          </cell>
          <cell r="D12" t="str">
            <v>1 Vales Caja 2025021349.pdf</v>
          </cell>
        </row>
        <row r="13">
          <cell r="A13" t="str">
            <v>BUR-8621 Vales</v>
          </cell>
          <cell r="B13" t="str">
            <v>BUR-862</v>
          </cell>
          <cell r="C13" t="str">
            <v>1 Vales</v>
          </cell>
          <cell r="D13" t="str">
            <v>1 Vales Caja 2025021349.pdf</v>
          </cell>
        </row>
        <row r="14">
          <cell r="A14" t="str">
            <v>BUR-8631 Vales</v>
          </cell>
          <cell r="B14" t="str">
            <v>BUR-863</v>
          </cell>
          <cell r="C14" t="str">
            <v>1 Vales</v>
          </cell>
          <cell r="D14" t="str">
            <v>1 Vales Caja 2025021349.pdf</v>
          </cell>
        </row>
        <row r="15">
          <cell r="A15" t="str">
            <v>BUR-9201 Vales</v>
          </cell>
          <cell r="B15" t="str">
            <v>BUR-920</v>
          </cell>
          <cell r="C15" t="str">
            <v>1 Vales</v>
          </cell>
          <cell r="D15" t="str">
            <v>1 Vales Caja 2025021349.pdf</v>
          </cell>
        </row>
        <row r="16">
          <cell r="A16" t="str">
            <v>BUR-9202 Vales</v>
          </cell>
          <cell r="B16" t="str">
            <v>BUR-920</v>
          </cell>
          <cell r="C16" t="str">
            <v>2 Vales</v>
          </cell>
          <cell r="D16" t="str">
            <v>2 Vales Caja 2025050955.pdf</v>
          </cell>
        </row>
        <row r="17">
          <cell r="A17" t="str">
            <v>BUR-9203 Vales</v>
          </cell>
          <cell r="B17" t="str">
            <v>BUR-920</v>
          </cell>
          <cell r="C17" t="str">
            <v>3 Vales</v>
          </cell>
          <cell r="D17" t="str">
            <v>3 Vales Caja 2025080398.pdf</v>
          </cell>
        </row>
        <row r="18">
          <cell r="A18" t="str">
            <v>BUR-9211 Vales</v>
          </cell>
          <cell r="B18" t="str">
            <v>BUR-921</v>
          </cell>
          <cell r="C18" t="str">
            <v>1 Vales</v>
          </cell>
          <cell r="D18" t="str">
            <v>1 Vales Caja 2025021349.pdf</v>
          </cell>
        </row>
        <row r="19">
          <cell r="A19" t="str">
            <v>BUR-9212 Vales</v>
          </cell>
          <cell r="B19" t="str">
            <v>BUR-921</v>
          </cell>
          <cell r="C19" t="str">
            <v>2 Vales</v>
          </cell>
          <cell r="D19" t="str">
            <v>2 Vales Caja 2025050955.pdf</v>
          </cell>
        </row>
        <row r="20">
          <cell r="A20" t="str">
            <v>BUR-9213 Vales</v>
          </cell>
          <cell r="B20" t="str">
            <v>BUR-921</v>
          </cell>
          <cell r="C20" t="str">
            <v>3 Vales</v>
          </cell>
          <cell r="D20" t="str">
            <v>3 Vales Caja 2025080398.pdf</v>
          </cell>
        </row>
        <row r="21">
          <cell r="A21" t="str">
            <v>BUR-9281 Vales</v>
          </cell>
          <cell r="B21" t="str">
            <v>BUR-928</v>
          </cell>
          <cell r="C21" t="str">
            <v>1 Vales</v>
          </cell>
          <cell r="D21" t="str">
            <v>1 Vales Caja 2025021349.pdf</v>
          </cell>
        </row>
        <row r="22">
          <cell r="A22" t="str">
            <v>BUR-9282 Vales</v>
          </cell>
          <cell r="B22" t="str">
            <v>BUR-928</v>
          </cell>
          <cell r="C22" t="str">
            <v>2 Vales</v>
          </cell>
          <cell r="D22" t="str">
            <v>2 Vales Caja 2025050955.pdf</v>
          </cell>
        </row>
        <row r="23">
          <cell r="A23" t="str">
            <v>BUR-9283 Vales</v>
          </cell>
          <cell r="B23" t="str">
            <v>BUR-928</v>
          </cell>
          <cell r="C23" t="str">
            <v>3 Vales</v>
          </cell>
          <cell r="D23" t="str">
            <v>3 Vales Caja 2025080398.pdf</v>
          </cell>
        </row>
        <row r="24">
          <cell r="A24" t="str">
            <v>BUR-9291 Vales</v>
          </cell>
          <cell r="B24" t="str">
            <v>BUR-929</v>
          </cell>
          <cell r="C24" t="str">
            <v>1 Vales</v>
          </cell>
          <cell r="D24" t="str">
            <v>1 Vales Caja 2025021349.pdf</v>
          </cell>
        </row>
        <row r="25">
          <cell r="A25" t="str">
            <v>BUR-9292 Vales</v>
          </cell>
          <cell r="B25" t="str">
            <v>BUR-929</v>
          </cell>
          <cell r="C25" t="str">
            <v>2 Vales</v>
          </cell>
          <cell r="D25" t="str">
            <v>2 Vales Caja 2025050955.pdf</v>
          </cell>
        </row>
        <row r="26">
          <cell r="A26" t="str">
            <v>BUR-9293 Vales</v>
          </cell>
          <cell r="B26" t="str">
            <v>BUR-929</v>
          </cell>
          <cell r="C26" t="str">
            <v>3 Vales</v>
          </cell>
          <cell r="D26" t="str">
            <v>3 Vales Caja 2025080398.pdf</v>
          </cell>
        </row>
        <row r="27">
          <cell r="A27" t="str">
            <v>BUR-9441 Vales</v>
          </cell>
          <cell r="B27" t="str">
            <v>BUR-944</v>
          </cell>
          <cell r="C27" t="str">
            <v>1 Vales</v>
          </cell>
          <cell r="D27" t="str">
            <v>1 Vales Caja 2025021349.pdf</v>
          </cell>
        </row>
        <row r="28">
          <cell r="A28" t="str">
            <v>BUR-9442 Vales</v>
          </cell>
          <cell r="B28" t="str">
            <v>BUR-944</v>
          </cell>
          <cell r="C28" t="str">
            <v>2 Vales</v>
          </cell>
          <cell r="D28" t="str">
            <v>2 Vales Caja 2025050955.pdf</v>
          </cell>
        </row>
        <row r="29">
          <cell r="A29" t="str">
            <v>BUR-9443 Vales</v>
          </cell>
          <cell r="B29" t="str">
            <v>BUR-944</v>
          </cell>
          <cell r="C29" t="str">
            <v>3 Vales</v>
          </cell>
          <cell r="D29" t="str">
            <v>3 Vales Caja 2025080398.pdf</v>
          </cell>
        </row>
        <row r="30">
          <cell r="A30" t="str">
            <v>BUR-9451 Vales</v>
          </cell>
          <cell r="B30" t="str">
            <v>BUR-945</v>
          </cell>
          <cell r="C30" t="str">
            <v>1 Vales</v>
          </cell>
          <cell r="D30" t="str">
            <v>1 Vales Caja 2025021349.pdf</v>
          </cell>
        </row>
        <row r="31">
          <cell r="A31" t="str">
            <v>BUR-9452 Vales</v>
          </cell>
          <cell r="B31" t="str">
            <v>BUR-945</v>
          </cell>
          <cell r="C31" t="str">
            <v>2 Vales</v>
          </cell>
          <cell r="D31" t="str">
            <v>2 Vales Caja 2025050955.pdf</v>
          </cell>
        </row>
        <row r="32">
          <cell r="A32" t="str">
            <v>BUR-9453 Vales</v>
          </cell>
          <cell r="B32" t="str">
            <v>BUR-945</v>
          </cell>
          <cell r="C32" t="str">
            <v>3 Vales</v>
          </cell>
          <cell r="D32" t="str">
            <v>3 Vales Caja 2025080398.pdf</v>
          </cell>
        </row>
        <row r="33">
          <cell r="A33" t="str">
            <v>BUR-9461 Vales</v>
          </cell>
          <cell r="B33" t="str">
            <v>BUR-946</v>
          </cell>
          <cell r="C33" t="str">
            <v>1 Vales</v>
          </cell>
          <cell r="D33" t="str">
            <v>1 Vales Caja 2025021349.pdf</v>
          </cell>
        </row>
        <row r="34">
          <cell r="A34" t="str">
            <v>BUR-9462 Vales</v>
          </cell>
          <cell r="B34" t="str">
            <v>BUR-946</v>
          </cell>
          <cell r="C34" t="str">
            <v>2 Vales</v>
          </cell>
          <cell r="D34" t="str">
            <v>2 Vales Caja 2025050955.pdf</v>
          </cell>
        </row>
        <row r="35">
          <cell r="A35" t="str">
            <v>BUR-9463 Vales</v>
          </cell>
          <cell r="B35" t="str">
            <v>BUR-946</v>
          </cell>
          <cell r="C35" t="str">
            <v>3 Vales</v>
          </cell>
          <cell r="D35" t="str">
            <v>3 Vales Caja 2025080398.pdf</v>
          </cell>
        </row>
        <row r="36">
          <cell r="A36" t="str">
            <v>BUS-7182 Vales</v>
          </cell>
          <cell r="B36" t="str">
            <v>BUS-718</v>
          </cell>
          <cell r="C36" t="str">
            <v>2 Vales</v>
          </cell>
          <cell r="D36" t="str">
            <v>2 Vales Caja 2025050955.pdf</v>
          </cell>
        </row>
        <row r="37">
          <cell r="A37" t="str">
            <v>BUS-7183 Vales</v>
          </cell>
          <cell r="B37" t="str">
            <v>BUS-718</v>
          </cell>
          <cell r="C37" t="str">
            <v>3 Vales</v>
          </cell>
          <cell r="D37" t="str">
            <v>3 Vales Caja 2025080398.pdf</v>
          </cell>
        </row>
        <row r="38">
          <cell r="A38" t="str">
            <v>BUS-7273 Vales</v>
          </cell>
          <cell r="B38" t="str">
            <v>BUS-727</v>
          </cell>
          <cell r="C38" t="str">
            <v>3 Vales</v>
          </cell>
          <cell r="D38" t="str">
            <v>3 Vales Caja 2025080398.pdf</v>
          </cell>
        </row>
        <row r="39">
          <cell r="A39" t="str">
            <v>BUS-7282 Vales</v>
          </cell>
          <cell r="B39" t="str">
            <v>BUS-728</v>
          </cell>
          <cell r="C39" t="str">
            <v>2 Vales</v>
          </cell>
          <cell r="D39" t="str">
            <v>2 Vales Caja 2025050955.pdf</v>
          </cell>
        </row>
        <row r="40">
          <cell r="A40" t="str">
            <v>BUS-7283 Vales</v>
          </cell>
          <cell r="B40" t="str">
            <v>BUS-728</v>
          </cell>
          <cell r="C40" t="str">
            <v>3 Vales</v>
          </cell>
          <cell r="D40" t="str">
            <v>3 Vales Caja 2025080398.pdf</v>
          </cell>
        </row>
        <row r="41">
          <cell r="A41" t="str">
            <v>BUS-7352 Vales</v>
          </cell>
          <cell r="B41" t="str">
            <v>BUS-735</v>
          </cell>
          <cell r="C41" t="str">
            <v>2 Vales</v>
          </cell>
          <cell r="D41" t="str">
            <v>2 Vales Caja 2025050955.pdf</v>
          </cell>
        </row>
        <row r="42">
          <cell r="A42" t="str">
            <v>BUS-7353 Vales</v>
          </cell>
          <cell r="B42" t="str">
            <v>BUS-735</v>
          </cell>
          <cell r="C42" t="str">
            <v>3 Vales</v>
          </cell>
          <cell r="D42" t="str">
            <v>3 Vales Caja 2025080398.pdf</v>
          </cell>
        </row>
        <row r="43">
          <cell r="A43" t="str">
            <v>BUS-7772 Vales</v>
          </cell>
          <cell r="B43" t="str">
            <v>BUS-777</v>
          </cell>
          <cell r="C43" t="str">
            <v>2 Vales</v>
          </cell>
          <cell r="D43" t="str">
            <v>2 Vales Caja 2025050955.pdf</v>
          </cell>
        </row>
        <row r="44">
          <cell r="A44" t="str">
            <v>BUS-7773 Vales</v>
          </cell>
          <cell r="B44" t="str">
            <v>BUS-777</v>
          </cell>
          <cell r="C44" t="str">
            <v>3 Vales</v>
          </cell>
          <cell r="D44" t="str">
            <v>3 Vales Caja 2025080398.pdf</v>
          </cell>
        </row>
        <row r="45">
          <cell r="A45" t="str">
            <v>BUS-7782 Vales</v>
          </cell>
          <cell r="B45" t="str">
            <v>BUS-778</v>
          </cell>
          <cell r="C45" t="str">
            <v>2 Vales</v>
          </cell>
          <cell r="D45" t="str">
            <v>2 Vales Caja 2025050955.pdf</v>
          </cell>
        </row>
        <row r="46">
          <cell r="A46" t="str">
            <v>BUS-7783 Vales</v>
          </cell>
          <cell r="B46" t="str">
            <v>BUS-778</v>
          </cell>
          <cell r="C46" t="str">
            <v>3 Vales</v>
          </cell>
          <cell r="D46" t="str">
            <v>3 Vales Caja 2025080398.pdf</v>
          </cell>
        </row>
        <row r="47">
          <cell r="A47" t="str">
            <v>BUS-7792 Vales</v>
          </cell>
          <cell r="B47" t="str">
            <v>BUS-779</v>
          </cell>
          <cell r="C47" t="str">
            <v>2 Vales</v>
          </cell>
          <cell r="D47" t="str">
            <v>2 Vales Caja 2025050955.pdf</v>
          </cell>
        </row>
        <row r="48">
          <cell r="A48" t="str">
            <v>BUS-7793 Vales</v>
          </cell>
          <cell r="B48" t="str">
            <v>BUS-779</v>
          </cell>
          <cell r="C48" t="str">
            <v>3 Vales</v>
          </cell>
          <cell r="D48" t="str">
            <v>3 Vales Caja 2025080398.pdf</v>
          </cell>
        </row>
        <row r="49">
          <cell r="A49" t="str">
            <v>BUS-7822 Vales</v>
          </cell>
          <cell r="B49" t="str">
            <v>BUS-782</v>
          </cell>
          <cell r="C49" t="str">
            <v>2 Vales</v>
          </cell>
          <cell r="D49" t="str">
            <v>2 Vales Caja 2025050955.pdf</v>
          </cell>
        </row>
        <row r="50">
          <cell r="A50" t="str">
            <v>BUS-7823 Vales</v>
          </cell>
          <cell r="B50" t="str">
            <v>BUS-782</v>
          </cell>
          <cell r="C50" t="str">
            <v>3 Vales</v>
          </cell>
          <cell r="D50" t="str">
            <v>3 Vales Caja 2025080398.pdf</v>
          </cell>
        </row>
        <row r="51">
          <cell r="A51" t="str">
            <v>BUS-8012 Vales</v>
          </cell>
          <cell r="B51" t="str">
            <v>BUS-801</v>
          </cell>
          <cell r="C51" t="str">
            <v>2 Vales</v>
          </cell>
          <cell r="D51" t="str">
            <v>2 Vales Caja 2025050955.pdf</v>
          </cell>
        </row>
        <row r="52">
          <cell r="A52" t="str">
            <v>BUS-8013 Vales</v>
          </cell>
          <cell r="B52" t="str">
            <v>BUS-801</v>
          </cell>
          <cell r="C52" t="str">
            <v>3 Vales</v>
          </cell>
          <cell r="D52" t="str">
            <v>3 Vales Caja 2025080398.pdf</v>
          </cell>
        </row>
        <row r="53">
          <cell r="A53" t="str">
            <v>BUS-8022 Vales</v>
          </cell>
          <cell r="B53" t="str">
            <v>BUS-802</v>
          </cell>
          <cell r="C53" t="str">
            <v>2 Vales</v>
          </cell>
          <cell r="D53" t="str">
            <v>2 Vales Caja 2025050955.pdf</v>
          </cell>
        </row>
        <row r="54">
          <cell r="A54" t="str">
            <v>BUS-8023 Vales</v>
          </cell>
          <cell r="B54" t="str">
            <v>BUS-802</v>
          </cell>
          <cell r="C54" t="str">
            <v>3 Vales</v>
          </cell>
          <cell r="D54" t="str">
            <v>3 Vales Caja 2025080398.pdf</v>
          </cell>
        </row>
        <row r="55">
          <cell r="A55" t="str">
            <v>BUS-8162 Vales</v>
          </cell>
          <cell r="B55" t="str">
            <v>BUS-816</v>
          </cell>
          <cell r="C55" t="str">
            <v>2 Vales</v>
          </cell>
          <cell r="D55" t="str">
            <v>2 Vales Caja 2025050955.pdf</v>
          </cell>
        </row>
        <row r="56">
          <cell r="A56" t="str">
            <v>BUS-8163 Vales</v>
          </cell>
          <cell r="B56" t="str">
            <v>BUS-816</v>
          </cell>
          <cell r="C56" t="str">
            <v>3 Vales</v>
          </cell>
          <cell r="D56" t="str">
            <v>3 Vales Caja 2025080398.pdf</v>
          </cell>
        </row>
        <row r="57">
          <cell r="A57" t="str">
            <v>BUS-8622 Vales</v>
          </cell>
          <cell r="B57" t="str">
            <v>BUS-862</v>
          </cell>
          <cell r="C57" t="str">
            <v>2 Vales</v>
          </cell>
          <cell r="D57" t="str">
            <v>2 Vales Caja 2025050955.pdf</v>
          </cell>
        </row>
        <row r="58">
          <cell r="A58" t="str">
            <v>BUS-8623 Vales</v>
          </cell>
          <cell r="B58" t="str">
            <v>BUS-862</v>
          </cell>
          <cell r="C58" t="str">
            <v>3 Vales</v>
          </cell>
          <cell r="D58" t="str">
            <v>3 Vales Caja 2025080398.pdf</v>
          </cell>
        </row>
        <row r="59">
          <cell r="A59" t="str">
            <v>BUS-8632 Vales</v>
          </cell>
          <cell r="B59" t="str">
            <v>BUS-863</v>
          </cell>
          <cell r="C59" t="str">
            <v>2 Vales</v>
          </cell>
          <cell r="D59" t="str">
            <v>2 Vales Caja 2025050955.pdf</v>
          </cell>
        </row>
        <row r="60">
          <cell r="A60" t="str">
            <v>BUS-8633 Vales</v>
          </cell>
          <cell r="B60" t="str">
            <v>BUS-863</v>
          </cell>
          <cell r="C60" t="str">
            <v>3 Vales</v>
          </cell>
          <cell r="D60" t="str">
            <v>3 Vales Caja 2025080398.pdf</v>
          </cell>
        </row>
        <row r="61">
          <cell r="A61" t="str">
            <v>BYR-9431 Vales</v>
          </cell>
          <cell r="B61" t="str">
            <v>BYR-943</v>
          </cell>
          <cell r="C61" t="str">
            <v>1 Vales</v>
          </cell>
          <cell r="D61" t="str">
            <v>1 Vales Caja 2025021349.pdf</v>
          </cell>
        </row>
        <row r="62">
          <cell r="A62" t="str">
            <v>BYR-9432 Vales</v>
          </cell>
          <cell r="B62" t="str">
            <v>BYR-943</v>
          </cell>
          <cell r="C62" t="str">
            <v>2 Vales</v>
          </cell>
          <cell r="D62" t="str">
            <v>2 Vales Caja 2025050955.pdf</v>
          </cell>
        </row>
        <row r="63">
          <cell r="A63" t="str">
            <v>BYR-9433 Vales</v>
          </cell>
          <cell r="B63" t="str">
            <v>BYR-943</v>
          </cell>
          <cell r="C63" t="str">
            <v>3 Vales</v>
          </cell>
          <cell r="D63" t="str">
            <v>3 Vales Caja 2025080398.pdf</v>
          </cell>
        </row>
        <row r="64">
          <cell r="A64" t="str">
            <v>BYR-9441 Vales</v>
          </cell>
          <cell r="B64" t="str">
            <v>BYR-944</v>
          </cell>
          <cell r="C64" t="str">
            <v>1 Vales</v>
          </cell>
          <cell r="D64" t="str">
            <v>1 Vales Caja 2025021349.pdf</v>
          </cell>
        </row>
        <row r="65">
          <cell r="A65" t="str">
            <v>BYR-9442 Vales</v>
          </cell>
          <cell r="B65" t="str">
            <v>BYR-944</v>
          </cell>
          <cell r="C65" t="str">
            <v>2 Vales</v>
          </cell>
          <cell r="D65" t="str">
            <v>2 Vales Caja 2025050955.pdf</v>
          </cell>
        </row>
        <row r="66">
          <cell r="A66" t="str">
            <v>BYR-9443 Vales</v>
          </cell>
          <cell r="B66" t="str">
            <v>BYR-944</v>
          </cell>
          <cell r="C66" t="str">
            <v>3 Vales</v>
          </cell>
          <cell r="D66" t="str">
            <v>3 Vales Caja 2025080398.pdf</v>
          </cell>
        </row>
        <row r="67">
          <cell r="A67" t="str">
            <v>BYR-9451 Vales</v>
          </cell>
          <cell r="B67" t="str">
            <v>BYR-945</v>
          </cell>
          <cell r="C67" t="str">
            <v>1 Vales</v>
          </cell>
          <cell r="D67" t="str">
            <v>1 Vales Caja 2025021349.pdf</v>
          </cell>
        </row>
        <row r="68">
          <cell r="A68" t="str">
            <v>BYR-9452 Vales</v>
          </cell>
          <cell r="B68" t="str">
            <v>BYR-945</v>
          </cell>
          <cell r="C68" t="str">
            <v>2 Vales</v>
          </cell>
          <cell r="D68" t="str">
            <v>2 Vales Caja 2025050955.pdf</v>
          </cell>
        </row>
        <row r="69">
          <cell r="A69" t="str">
            <v>BYR-9453 Vales</v>
          </cell>
          <cell r="B69" t="str">
            <v>BYR-945</v>
          </cell>
          <cell r="C69" t="str">
            <v>3 Vales</v>
          </cell>
          <cell r="D69" t="str">
            <v>3 Vales Caja 2025080398.pdf</v>
          </cell>
        </row>
        <row r="70">
          <cell r="A70" t="str">
            <v>BYR-9461 Vales</v>
          </cell>
          <cell r="B70" t="str">
            <v>BYR-946</v>
          </cell>
          <cell r="C70" t="str">
            <v>1 Vales</v>
          </cell>
          <cell r="D70" t="str">
            <v>1 Vales Caja 2025021349.pdf</v>
          </cell>
        </row>
        <row r="71">
          <cell r="A71" t="str">
            <v>BYR-9462 Vales</v>
          </cell>
          <cell r="B71" t="str">
            <v>BYR-946</v>
          </cell>
          <cell r="C71" t="str">
            <v>2 Vales</v>
          </cell>
          <cell r="D71" t="str">
            <v>2 Vales Caja 2025050955.pdf</v>
          </cell>
        </row>
        <row r="72">
          <cell r="A72" t="str">
            <v>BYR-9463 Vales</v>
          </cell>
          <cell r="B72" t="str">
            <v>BYR-946</v>
          </cell>
          <cell r="C72" t="str">
            <v>3 Vales</v>
          </cell>
          <cell r="D72" t="str">
            <v>3 Vales Caja 2025080398.pdf</v>
          </cell>
        </row>
        <row r="73">
          <cell r="A73" t="str">
            <v>BYR-9481 Vales</v>
          </cell>
          <cell r="B73" t="str">
            <v>BYR-948</v>
          </cell>
          <cell r="C73" t="str">
            <v>1 Vales</v>
          </cell>
          <cell r="D73" t="str">
            <v>1 Vales Caja 2025021349.pdf</v>
          </cell>
        </row>
        <row r="74">
          <cell r="A74" t="str">
            <v>BYR-9482 Vales</v>
          </cell>
          <cell r="B74" t="str">
            <v>BYR-948</v>
          </cell>
          <cell r="C74" t="str">
            <v>2 Vales</v>
          </cell>
          <cell r="D74" t="str">
            <v>2 Vales Caja 2025050955.pdf</v>
          </cell>
        </row>
        <row r="75">
          <cell r="A75" t="str">
            <v>BYR-9483 Vales</v>
          </cell>
          <cell r="B75" t="str">
            <v>BYR-948</v>
          </cell>
          <cell r="C75" t="str">
            <v>3 Vales</v>
          </cell>
          <cell r="D75" t="str">
            <v>3 Vales Caja 2025080398.pdf</v>
          </cell>
        </row>
        <row r="76">
          <cell r="A76" t="str">
            <v>BYS-7641 Vales</v>
          </cell>
          <cell r="B76" t="str">
            <v>BYS-764</v>
          </cell>
          <cell r="C76" t="str">
            <v>1 Vales</v>
          </cell>
          <cell r="D76" t="str">
            <v>1 Vales Caja 2025021349.pdf</v>
          </cell>
        </row>
        <row r="77">
          <cell r="A77" t="str">
            <v>BYS-7642 Vales</v>
          </cell>
          <cell r="B77" t="str">
            <v>BYS-764</v>
          </cell>
          <cell r="C77" t="str">
            <v>2 Vales</v>
          </cell>
          <cell r="D77" t="str">
            <v>2 Vales Caja 2025050955.pdf</v>
          </cell>
        </row>
        <row r="78">
          <cell r="A78" t="str">
            <v>BYS-7643 Vales</v>
          </cell>
          <cell r="B78" t="str">
            <v>BYS-764</v>
          </cell>
          <cell r="C78" t="str">
            <v>3 Vales</v>
          </cell>
          <cell r="D78" t="str">
            <v>3 Vales Caja 2025080398.pdf</v>
          </cell>
        </row>
        <row r="79">
          <cell r="A79" t="str">
            <v>BYS-7671 Vales</v>
          </cell>
          <cell r="B79" t="str">
            <v>BYS-767</v>
          </cell>
          <cell r="C79" t="str">
            <v>1 Vales</v>
          </cell>
          <cell r="D79" t="str">
            <v>1 Vales Caja 2025021349.pdf</v>
          </cell>
        </row>
        <row r="80">
          <cell r="A80" t="str">
            <v>BYS-7672 Vales</v>
          </cell>
          <cell r="B80" t="str">
            <v>BYS-767</v>
          </cell>
          <cell r="C80" t="str">
            <v>2 Vales</v>
          </cell>
          <cell r="D80" t="str">
            <v>2 Vales Caja 2025050955.pdf</v>
          </cell>
        </row>
        <row r="81">
          <cell r="A81" t="str">
            <v>BYS-7673 Vales</v>
          </cell>
          <cell r="B81" t="str">
            <v>BYS-767</v>
          </cell>
          <cell r="C81" t="str">
            <v>3 Vales</v>
          </cell>
          <cell r="D81" t="str">
            <v>3 Vales Caja 2025080398.pdf</v>
          </cell>
        </row>
        <row r="82">
          <cell r="A82" t="str">
            <v>BYS-7901 Vales</v>
          </cell>
          <cell r="B82" t="str">
            <v>BYS-790</v>
          </cell>
          <cell r="C82" t="str">
            <v>1 Vales</v>
          </cell>
          <cell r="D82" t="str">
            <v>1 Vales Caja 2025021349.pdf</v>
          </cell>
        </row>
        <row r="83">
          <cell r="A83" t="str">
            <v>BYS-7902 Vales</v>
          </cell>
          <cell r="B83" t="str">
            <v>BYS-790</v>
          </cell>
          <cell r="C83" t="str">
            <v>2 Vales</v>
          </cell>
          <cell r="D83" t="str">
            <v>2 Vales Caja 2025050955.pdf</v>
          </cell>
        </row>
        <row r="84">
          <cell r="A84" t="str">
            <v>BYS-7903 Vales</v>
          </cell>
          <cell r="B84" t="str">
            <v>BYS-790</v>
          </cell>
          <cell r="C84" t="str">
            <v>3 Vales</v>
          </cell>
          <cell r="D84" t="str">
            <v>3 Vales Caja 2025080398.pdf</v>
          </cell>
        </row>
        <row r="85">
          <cell r="A85" t="str">
            <v>BYS-7932 Vales</v>
          </cell>
          <cell r="B85" t="str">
            <v>BYS-793</v>
          </cell>
          <cell r="C85" t="str">
            <v>2 Vales</v>
          </cell>
          <cell r="D85" t="str">
            <v>2 Vales Caja 2025050955.pdf</v>
          </cell>
        </row>
        <row r="86">
          <cell r="A86" t="str">
            <v>BYS-7933 Vales</v>
          </cell>
          <cell r="B86" t="str">
            <v>BYS-793</v>
          </cell>
          <cell r="C86" t="str">
            <v>3 Vales</v>
          </cell>
          <cell r="D86" t="str">
            <v>3 Vales Caja 2025080398.pdf</v>
          </cell>
        </row>
        <row r="87">
          <cell r="A87" t="str">
            <v>BYS-7992 Vales</v>
          </cell>
          <cell r="B87" t="str">
            <v>BYS-799</v>
          </cell>
          <cell r="C87" t="str">
            <v>2 Vales</v>
          </cell>
          <cell r="D87" t="str">
            <v>2 Vales Caja 2025050955.pdf</v>
          </cell>
        </row>
        <row r="88">
          <cell r="A88" t="str">
            <v>BYS-7993 Vales</v>
          </cell>
          <cell r="B88" t="str">
            <v>BYS-799</v>
          </cell>
          <cell r="C88" t="str">
            <v>3 Vales</v>
          </cell>
          <cell r="D88" t="str">
            <v>3 Vales Caja 2025080398.pdf</v>
          </cell>
        </row>
        <row r="89">
          <cell r="A89" t="str">
            <v>BYS-8002 Vales</v>
          </cell>
          <cell r="B89" t="str">
            <v>BYS-800</v>
          </cell>
          <cell r="C89" t="str">
            <v>2 Vales</v>
          </cell>
          <cell r="D89" t="str">
            <v>2 Vales Caja 2025050955.pdf</v>
          </cell>
        </row>
        <row r="90">
          <cell r="A90" t="str">
            <v>BYS-8003 Vales</v>
          </cell>
          <cell r="B90" t="str">
            <v>BYS-800</v>
          </cell>
          <cell r="C90" t="str">
            <v>3 Vales</v>
          </cell>
          <cell r="D90" t="str">
            <v>3 Vales Caja 2025080398.pdf</v>
          </cell>
        </row>
        <row r="91">
          <cell r="A91" t="str">
            <v>BYS-8392 Vales</v>
          </cell>
          <cell r="B91" t="str">
            <v>BYS-839</v>
          </cell>
          <cell r="C91" t="str">
            <v>2 Vales</v>
          </cell>
          <cell r="D91" t="str">
            <v>2 Vales Caja 2025050955.pdf</v>
          </cell>
        </row>
        <row r="92">
          <cell r="A92" t="str">
            <v>BYS-8393 Vales</v>
          </cell>
          <cell r="B92" t="str">
            <v>BYS-839</v>
          </cell>
          <cell r="C92" t="str">
            <v>3 Vales</v>
          </cell>
          <cell r="D92" t="str">
            <v>3 Vales Caja 2025080398.pdf</v>
          </cell>
        </row>
        <row r="93">
          <cell r="A93" t="str">
            <v>BYS-8452 Vales</v>
          </cell>
          <cell r="B93" t="str">
            <v>BYS-845</v>
          </cell>
          <cell r="C93" t="str">
            <v>2 Vales</v>
          </cell>
          <cell r="D93" t="str">
            <v>2 Vales Caja 2025050955.pdf</v>
          </cell>
        </row>
        <row r="94">
          <cell r="A94" t="str">
            <v>BYS-8453 Vales</v>
          </cell>
          <cell r="B94" t="str">
            <v>BYS-845</v>
          </cell>
          <cell r="C94" t="str">
            <v>3 Vales</v>
          </cell>
          <cell r="D94" t="str">
            <v>3 Vales Caja 2025080398.pdf</v>
          </cell>
        </row>
        <row r="95">
          <cell r="A95" t="str">
            <v>BYS-8482 Vales</v>
          </cell>
          <cell r="B95" t="str">
            <v>BYS-848</v>
          </cell>
          <cell r="C95" t="str">
            <v>2 Vales</v>
          </cell>
          <cell r="D95" t="str">
            <v>2 Vales Caja 2025050955.pdf</v>
          </cell>
        </row>
        <row r="96">
          <cell r="A96" t="str">
            <v>BYS-8483 Vales</v>
          </cell>
          <cell r="B96" t="str">
            <v>BYS-848</v>
          </cell>
          <cell r="C96" t="str">
            <v>3 Vales</v>
          </cell>
          <cell r="D96" t="str">
            <v>3 Vales Caja 2025080398.pdf</v>
          </cell>
        </row>
        <row r="97">
          <cell r="A97" t="str">
            <v>BYS-8542 Vales</v>
          </cell>
          <cell r="B97" t="str">
            <v>BYS-854</v>
          </cell>
          <cell r="C97" t="str">
            <v>2 Vales</v>
          </cell>
          <cell r="D97" t="str">
            <v>2 Vales Caja 2025050955.pdf</v>
          </cell>
        </row>
        <row r="98">
          <cell r="A98" t="str">
            <v>BYS-8543 Vales</v>
          </cell>
          <cell r="B98" t="str">
            <v>BYS-854</v>
          </cell>
          <cell r="C98" t="str">
            <v>3 Vales</v>
          </cell>
          <cell r="D98" t="str">
            <v>3 Vales Caja 2025080398.pdf</v>
          </cell>
        </row>
        <row r="99">
          <cell r="A99" t="str">
            <v>BYS-8812 Vales</v>
          </cell>
          <cell r="B99" t="str">
            <v>BYS-881</v>
          </cell>
          <cell r="C99" t="str">
            <v>2 Vales</v>
          </cell>
          <cell r="D99" t="str">
            <v>2 Vales Caja 2025050955.pdf</v>
          </cell>
        </row>
        <row r="100">
          <cell r="A100" t="str">
            <v>BYS-8813 Vales</v>
          </cell>
          <cell r="B100" t="str">
            <v>BYS-881</v>
          </cell>
          <cell r="C100" t="str">
            <v>3 Vales</v>
          </cell>
          <cell r="D100" t="str">
            <v>3 Vales Caja 2025080398.pdf</v>
          </cell>
        </row>
        <row r="101">
          <cell r="A101" t="str">
            <v>BYS-8862 Vales</v>
          </cell>
          <cell r="B101" t="str">
            <v>BYS-886</v>
          </cell>
          <cell r="C101" t="str">
            <v>2 Vales</v>
          </cell>
          <cell r="D101" t="str">
            <v>2 Vales Caja 2025050955.pdf</v>
          </cell>
        </row>
        <row r="102">
          <cell r="A102" t="str">
            <v>BYS-8863 Vales</v>
          </cell>
          <cell r="B102" t="str">
            <v>BYS-886</v>
          </cell>
          <cell r="C102" t="str">
            <v>3 Vales</v>
          </cell>
          <cell r="D102" t="str">
            <v>3 Vales Caja 2025080398.pdf</v>
          </cell>
        </row>
        <row r="103">
          <cell r="A103" t="str">
            <v>BYS-8882 Vales</v>
          </cell>
          <cell r="B103" t="str">
            <v>BYS-888</v>
          </cell>
          <cell r="C103" t="str">
            <v>2 Vales</v>
          </cell>
          <cell r="D103" t="str">
            <v>2 Vales Caja 2025050955.pdf</v>
          </cell>
        </row>
        <row r="104">
          <cell r="A104" t="str">
            <v>BYS-8883 Vales</v>
          </cell>
          <cell r="B104" t="str">
            <v>BYS-888</v>
          </cell>
          <cell r="C104" t="str">
            <v>3 Vales</v>
          </cell>
          <cell r="D104" t="str">
            <v>3 Vales Caja 2025080398.pdf</v>
          </cell>
        </row>
        <row r="105">
          <cell r="A105" t="str">
            <v>BZJ-8501 Vales</v>
          </cell>
          <cell r="B105" t="str">
            <v>BZJ-850</v>
          </cell>
          <cell r="C105" t="str">
            <v>1 Vales</v>
          </cell>
          <cell r="D105" t="str">
            <v>1 Vales Caja 2025021346.pdf</v>
          </cell>
        </row>
        <row r="106">
          <cell r="A106" t="str">
            <v>BZJ-8503 Vales</v>
          </cell>
          <cell r="B106" t="str">
            <v>BZJ-850</v>
          </cell>
          <cell r="C106" t="str">
            <v>3 Vales</v>
          </cell>
          <cell r="D106" t="str">
            <v>3 Vales Caja 2025080335.pdf</v>
          </cell>
        </row>
        <row r="107">
          <cell r="A107" t="str">
            <v>BZJ-8531 Vales</v>
          </cell>
          <cell r="B107" t="str">
            <v>BZJ-853</v>
          </cell>
          <cell r="C107" t="str">
            <v>1 Vales</v>
          </cell>
          <cell r="D107" t="str">
            <v>1 Vales Caja 2025021346.pdf</v>
          </cell>
        </row>
        <row r="108">
          <cell r="A108" t="str">
            <v>BZJ-8533 Vales</v>
          </cell>
          <cell r="B108" t="str">
            <v>BZJ-853</v>
          </cell>
          <cell r="C108" t="str">
            <v>3 Vales</v>
          </cell>
          <cell r="D108" t="str">
            <v>3 Vales Caja 2025080335.pdf</v>
          </cell>
        </row>
        <row r="109">
          <cell r="A109" t="str">
            <v>BZJ-8851 Vales</v>
          </cell>
          <cell r="B109" t="str">
            <v>BZJ-885</v>
          </cell>
          <cell r="C109" t="str">
            <v>1 Vales</v>
          </cell>
          <cell r="D109" t="str">
            <v>1 Vales Caja 2025021346.pdf</v>
          </cell>
        </row>
        <row r="110">
          <cell r="A110" t="str">
            <v>BZJ-8852 Vales</v>
          </cell>
          <cell r="B110" t="str">
            <v>BZJ-885</v>
          </cell>
          <cell r="C110" t="str">
            <v>2 Vales</v>
          </cell>
          <cell r="D110" t="str">
            <v>2 Vales Caja 2025050953.pdf</v>
          </cell>
        </row>
        <row r="111">
          <cell r="A111" t="str">
            <v>BZJ-8853 Vales</v>
          </cell>
          <cell r="B111" t="str">
            <v>BZJ-885</v>
          </cell>
          <cell r="C111" t="str">
            <v>3 Vales</v>
          </cell>
          <cell r="D111" t="str">
            <v>3 Vales Caja 2025080335.pdf</v>
          </cell>
        </row>
        <row r="112">
          <cell r="A112" t="str">
            <v>BZK-7091 Vales</v>
          </cell>
          <cell r="B112" t="str">
            <v>BZK-709</v>
          </cell>
          <cell r="C112" t="str">
            <v>1 Vales</v>
          </cell>
          <cell r="D112" t="str">
            <v>1 Vales Caja 2025021346.pdf</v>
          </cell>
        </row>
        <row r="113">
          <cell r="A113" t="str">
            <v>BZK-7092 Vales</v>
          </cell>
          <cell r="B113" t="str">
            <v>BZK-709</v>
          </cell>
          <cell r="C113" t="str">
            <v>2 Vales</v>
          </cell>
          <cell r="D113" t="str">
            <v>2 Vales Caja 2025050953.pdf</v>
          </cell>
        </row>
        <row r="114">
          <cell r="A114" t="str">
            <v>BZK-7093 Vales</v>
          </cell>
          <cell r="B114" t="str">
            <v>BZK-709</v>
          </cell>
          <cell r="C114" t="str">
            <v>3 Vales</v>
          </cell>
          <cell r="D114" t="str">
            <v>3 Vales Caja 2025080335.pdf</v>
          </cell>
        </row>
        <row r="115">
          <cell r="A115" t="str">
            <v>BZK-7121 Vales</v>
          </cell>
          <cell r="B115" t="str">
            <v>BZK-712</v>
          </cell>
          <cell r="C115" t="str">
            <v>1 Vales</v>
          </cell>
          <cell r="D115" t="str">
            <v>1 Vales Caja 2025021346.pdf</v>
          </cell>
        </row>
        <row r="116">
          <cell r="A116" t="str">
            <v>BZK-7122 Vales</v>
          </cell>
          <cell r="B116" t="str">
            <v>BZK-712</v>
          </cell>
          <cell r="C116" t="str">
            <v>2 Vales</v>
          </cell>
          <cell r="D116" t="str">
            <v>2 Vales Caja 2025050953.pdf</v>
          </cell>
        </row>
        <row r="117">
          <cell r="A117" t="str">
            <v>BZK-7123 Vales</v>
          </cell>
          <cell r="B117" t="str">
            <v>BZK-712</v>
          </cell>
          <cell r="C117" t="str">
            <v>3 Vales</v>
          </cell>
          <cell r="D117" t="str">
            <v>3 Vales Caja 2025080335.pdf</v>
          </cell>
        </row>
        <row r="118">
          <cell r="A118" t="str">
            <v>BZK-7131 Vales</v>
          </cell>
          <cell r="B118" t="str">
            <v>BZK-713</v>
          </cell>
          <cell r="C118" t="str">
            <v>1 Vales</v>
          </cell>
          <cell r="D118" t="str">
            <v>1 Vales Caja 2025021346.pdf</v>
          </cell>
        </row>
        <row r="119">
          <cell r="A119" t="str">
            <v>BZK-7132 Vales</v>
          </cell>
          <cell r="B119" t="str">
            <v>BZK-713</v>
          </cell>
          <cell r="C119" t="str">
            <v>2 Vales</v>
          </cell>
          <cell r="D119" t="str">
            <v>2 Vales Caja 2025050953.pdf</v>
          </cell>
        </row>
        <row r="120">
          <cell r="A120" t="str">
            <v>BZK-7133 Vales</v>
          </cell>
          <cell r="B120" t="str">
            <v>BZK-713</v>
          </cell>
          <cell r="C120" t="str">
            <v>3 Vales</v>
          </cell>
          <cell r="D120" t="str">
            <v>3 Vales Caja 2025080335.pdf</v>
          </cell>
        </row>
        <row r="121">
          <cell r="A121" t="str">
            <v>BZK-7981 Vales</v>
          </cell>
          <cell r="B121" t="str">
            <v>BZK-798</v>
          </cell>
          <cell r="C121" t="str">
            <v>1 Vales</v>
          </cell>
          <cell r="D121" t="str">
            <v>1 Vales Caja 2025021346.pdf</v>
          </cell>
        </row>
        <row r="122">
          <cell r="A122" t="str">
            <v>BZK-7982 Vales</v>
          </cell>
          <cell r="B122" t="str">
            <v>BZK-798</v>
          </cell>
          <cell r="C122" t="str">
            <v>2 Vales</v>
          </cell>
          <cell r="D122" t="str">
            <v>2 Vales Caja 2025050953.pdf</v>
          </cell>
        </row>
        <row r="123">
          <cell r="A123" t="str">
            <v>BZK-7983 Vales</v>
          </cell>
          <cell r="B123" t="str">
            <v>BZK-798</v>
          </cell>
          <cell r="C123" t="str">
            <v>3 Vales</v>
          </cell>
          <cell r="D123" t="str">
            <v>3 Vales Caja 2025080335.pdf</v>
          </cell>
        </row>
        <row r="124">
          <cell r="A124" t="str">
            <v>BZO-7551 Vales</v>
          </cell>
          <cell r="B124" t="str">
            <v>BZO-755</v>
          </cell>
          <cell r="C124" t="str">
            <v>1 Vales</v>
          </cell>
          <cell r="D124" t="str">
            <v>1 Vales Caja 2025021346.pdf</v>
          </cell>
        </row>
        <row r="125">
          <cell r="A125" t="str">
            <v>BZO-7552 Vales</v>
          </cell>
          <cell r="B125" t="str">
            <v>BZO-755</v>
          </cell>
          <cell r="C125" t="str">
            <v>2 Vales</v>
          </cell>
          <cell r="D125" t="str">
            <v>2 Vales Caja 2025050953.pdf</v>
          </cell>
        </row>
        <row r="126">
          <cell r="A126" t="str">
            <v>BZO-7553 Vales</v>
          </cell>
          <cell r="B126" t="str">
            <v>BZO-755</v>
          </cell>
          <cell r="C126" t="str">
            <v>3 Vales</v>
          </cell>
          <cell r="D126" t="str">
            <v>3 Vales Caja 2025080335.pdf</v>
          </cell>
        </row>
        <row r="127">
          <cell r="A127" t="str">
            <v>BZO-7991 Vales</v>
          </cell>
          <cell r="B127" t="str">
            <v>BZO-799</v>
          </cell>
          <cell r="C127" t="str">
            <v>1 Vales</v>
          </cell>
          <cell r="D127" t="str">
            <v>1 Vales Caja 2025021346.pdf</v>
          </cell>
        </row>
        <row r="128">
          <cell r="A128" t="str">
            <v>BZO-7992 Vales</v>
          </cell>
          <cell r="B128" t="str">
            <v>BZO-799</v>
          </cell>
          <cell r="C128" t="str">
            <v>2 Vales</v>
          </cell>
          <cell r="D128" t="str">
            <v>2 Vales Caja 2025050953.pdf</v>
          </cell>
        </row>
        <row r="129">
          <cell r="A129" t="str">
            <v>BZO-7993 Vales</v>
          </cell>
          <cell r="B129" t="str">
            <v>BZO-799</v>
          </cell>
          <cell r="C129" t="str">
            <v>3 Vales</v>
          </cell>
          <cell r="D129" t="str">
            <v>3 Vales Caja 2025080335.pdf</v>
          </cell>
        </row>
        <row r="130">
          <cell r="A130" t="str">
            <v>BZO-8881 Vales</v>
          </cell>
          <cell r="B130" t="str">
            <v>BZO-888</v>
          </cell>
          <cell r="C130" t="str">
            <v>1 Vales</v>
          </cell>
          <cell r="D130" t="str">
            <v>1 Vales Caja 2025021346.pdf</v>
          </cell>
        </row>
        <row r="131">
          <cell r="A131" t="str">
            <v>BZO-8882 Vales</v>
          </cell>
          <cell r="B131" t="str">
            <v>BZO-888</v>
          </cell>
          <cell r="C131" t="str">
            <v>2 Vales</v>
          </cell>
          <cell r="D131" t="str">
            <v>2 Vales Caja 2025050953.pdf</v>
          </cell>
        </row>
        <row r="132">
          <cell r="A132" t="str">
            <v>BZO-8883 Vales</v>
          </cell>
          <cell r="B132" t="str">
            <v>BZO-888</v>
          </cell>
          <cell r="C132" t="str">
            <v>3 Vales</v>
          </cell>
          <cell r="D132" t="str">
            <v>3 Vales Caja 2025080335.pdf</v>
          </cell>
        </row>
        <row r="133">
          <cell r="A133" t="str">
            <v>BZO-9371 Vales</v>
          </cell>
          <cell r="B133" t="str">
            <v>BZO-937</v>
          </cell>
          <cell r="C133" t="str">
            <v>1 Vales</v>
          </cell>
          <cell r="D133" t="str">
            <v>1 Vales Caja 2025021346.pdf</v>
          </cell>
        </row>
        <row r="134">
          <cell r="A134" t="str">
            <v>BZO-9372 Vales</v>
          </cell>
          <cell r="B134" t="str">
            <v>BZO-937</v>
          </cell>
          <cell r="C134" t="str">
            <v>2 Vales</v>
          </cell>
          <cell r="D134" t="str">
            <v>2 Vales Caja 2025050953.pdf</v>
          </cell>
        </row>
        <row r="135">
          <cell r="A135" t="str">
            <v>BZO-9373 Vales</v>
          </cell>
          <cell r="B135" t="str">
            <v>BZO-937</v>
          </cell>
          <cell r="C135" t="str">
            <v>3 Vales</v>
          </cell>
          <cell r="D135" t="str">
            <v>3 Vales Caja 2025080335.pdf</v>
          </cell>
        </row>
        <row r="136">
          <cell r="A136" t="str">
            <v>BZT-7251 Vales</v>
          </cell>
          <cell r="B136" t="str">
            <v>BZT-725</v>
          </cell>
          <cell r="C136" t="str">
            <v>1 Vales</v>
          </cell>
          <cell r="D136" t="str">
            <v>1 Vales Caja 2025021346.pdf</v>
          </cell>
        </row>
        <row r="137">
          <cell r="A137" t="str">
            <v>BZT-7252 Vales</v>
          </cell>
          <cell r="B137" t="str">
            <v>BZT-725</v>
          </cell>
          <cell r="C137" t="str">
            <v>2 Vales</v>
          </cell>
          <cell r="D137" t="str">
            <v>2 Vales Caja 2025050953.pdf</v>
          </cell>
        </row>
        <row r="138">
          <cell r="A138" t="str">
            <v>BZT-7253 Vales</v>
          </cell>
          <cell r="B138" t="str">
            <v>BZT-725</v>
          </cell>
          <cell r="C138" t="str">
            <v>3 Vales</v>
          </cell>
          <cell r="D138" t="str">
            <v>3 Vales Caja 2025080335.pdf</v>
          </cell>
        </row>
        <row r="139">
          <cell r="A139" t="str">
            <v>CAC-8021 Vales</v>
          </cell>
          <cell r="B139" t="str">
            <v>CAC-802</v>
          </cell>
          <cell r="C139" t="str">
            <v>1 Vales</v>
          </cell>
          <cell r="D139" t="str">
            <v>1 Vales Caja 2025032097.pdf</v>
          </cell>
        </row>
        <row r="140">
          <cell r="A140" t="str">
            <v>CAC-8023 Vales</v>
          </cell>
          <cell r="B140" t="str">
            <v>CAC-802</v>
          </cell>
          <cell r="C140" t="str">
            <v>3 Vales</v>
          </cell>
          <cell r="D140" t="str">
            <v>3 Vales Caja 2025080421.pdf</v>
          </cell>
        </row>
        <row r="141">
          <cell r="A141" t="str">
            <v>CAC-8051 Vales</v>
          </cell>
          <cell r="B141" t="str">
            <v>CAC-805</v>
          </cell>
          <cell r="C141" t="str">
            <v>1 Vales</v>
          </cell>
          <cell r="D141" t="str">
            <v>1 Vales Caja 2025032098.pdf</v>
          </cell>
        </row>
        <row r="142">
          <cell r="A142" t="str">
            <v>CAC-8053 Vales</v>
          </cell>
          <cell r="B142" t="str">
            <v>CAC-805</v>
          </cell>
          <cell r="C142" t="str">
            <v>3 Vales</v>
          </cell>
          <cell r="D142" t="str">
            <v>3 Vales Caja 2025080421.pdf</v>
          </cell>
        </row>
        <row r="143">
          <cell r="A143" t="str">
            <v>CAC-9211 Vales</v>
          </cell>
          <cell r="B143" t="str">
            <v>CAC-921</v>
          </cell>
          <cell r="C143" t="str">
            <v>1 Vales</v>
          </cell>
          <cell r="D143" t="str">
            <v>1 Vales Caja 2025032099.pdf</v>
          </cell>
        </row>
        <row r="144">
          <cell r="A144" t="str">
            <v>CAT-9231 Vales</v>
          </cell>
          <cell r="B144" t="str">
            <v>CAT-923</v>
          </cell>
          <cell r="C144" t="str">
            <v>1 Vales</v>
          </cell>
          <cell r="D144" t="str">
            <v>1 Vales Caja 2025032100.pdf</v>
          </cell>
        </row>
        <row r="145">
          <cell r="A145" t="str">
            <v>CAT-9361 Vales</v>
          </cell>
          <cell r="B145" t="str">
            <v>CAT-936</v>
          </cell>
          <cell r="C145" t="str">
            <v>1 Vales</v>
          </cell>
          <cell r="D145" t="str">
            <v>1 Vales Caja 2025021360.pdf</v>
          </cell>
        </row>
        <row r="146">
          <cell r="A146" t="str">
            <v>CAT-9362 Vales</v>
          </cell>
          <cell r="B146" t="str">
            <v>CAT-936</v>
          </cell>
          <cell r="C146" t="str">
            <v>2 Vales</v>
          </cell>
          <cell r="D146" t="str">
            <v>2 Vales Caja 2025050960.pdf</v>
          </cell>
        </row>
        <row r="147">
          <cell r="A147" t="str">
            <v>CAT-9363 Vales</v>
          </cell>
          <cell r="B147" t="str">
            <v>CAT-936</v>
          </cell>
          <cell r="C147" t="str">
            <v>3 Vales</v>
          </cell>
          <cell r="D147" t="str">
            <v>3 Vales Caja 2025080420.pdf</v>
          </cell>
        </row>
        <row r="148">
          <cell r="A148" t="str">
            <v>CAT-9471 Vales</v>
          </cell>
          <cell r="B148" t="str">
            <v>CAT-947</v>
          </cell>
          <cell r="C148" t="str">
            <v>1 Vales</v>
          </cell>
          <cell r="D148" t="str">
            <v>1 Vales Caja 2025021360.pdf</v>
          </cell>
        </row>
        <row r="149">
          <cell r="A149" t="str">
            <v>CAT-9472 Vales</v>
          </cell>
          <cell r="B149" t="str">
            <v>CAT-947</v>
          </cell>
          <cell r="C149" t="str">
            <v>2 Vales</v>
          </cell>
          <cell r="D149" t="str">
            <v>2 Vales Caja 2025050960.pdf</v>
          </cell>
        </row>
        <row r="150">
          <cell r="A150" t="str">
            <v>CAT-9473 Vales</v>
          </cell>
          <cell r="B150" t="str">
            <v>CAT-947</v>
          </cell>
          <cell r="C150" t="str">
            <v>3 Vales</v>
          </cell>
          <cell r="D150" t="str">
            <v>3 Vales Caja 2025080420.pdf</v>
          </cell>
        </row>
        <row r="151">
          <cell r="A151" t="str">
            <v>CAU-7151 Vales</v>
          </cell>
          <cell r="B151" t="str">
            <v>CAU-715</v>
          </cell>
          <cell r="C151" t="str">
            <v>1 Vales</v>
          </cell>
          <cell r="D151" t="str">
            <v>1 Vales Caja 2025021360.pdf</v>
          </cell>
        </row>
        <row r="152">
          <cell r="A152" t="str">
            <v>CAU-7152 Vales</v>
          </cell>
          <cell r="B152" t="str">
            <v>CAU-715</v>
          </cell>
          <cell r="C152" t="str">
            <v>2 Vales</v>
          </cell>
          <cell r="D152" t="str">
            <v>2 Vales Caja 2025050960.pdf</v>
          </cell>
        </row>
        <row r="153">
          <cell r="A153" t="str">
            <v>CAU-7153 Vales</v>
          </cell>
          <cell r="B153" t="str">
            <v>CAU-715</v>
          </cell>
          <cell r="C153" t="str">
            <v>3 Vales</v>
          </cell>
          <cell r="D153" t="str">
            <v>3 Vales Caja 2025080420.pdf</v>
          </cell>
        </row>
        <row r="154">
          <cell r="A154" t="str">
            <v>CAU-7291 Vales</v>
          </cell>
          <cell r="B154" t="str">
            <v>CAU-729</v>
          </cell>
          <cell r="C154" t="str">
            <v>1 Vales</v>
          </cell>
          <cell r="D154" t="str">
            <v>1 Vales Caja 2025021360.pdf</v>
          </cell>
        </row>
        <row r="155">
          <cell r="A155" t="str">
            <v>CAU-7292 Vales</v>
          </cell>
          <cell r="B155" t="str">
            <v>CAU-729</v>
          </cell>
          <cell r="C155" t="str">
            <v>2 Vales</v>
          </cell>
          <cell r="D155" t="str">
            <v>2 Vales Caja 2025050960.pdf</v>
          </cell>
        </row>
        <row r="156">
          <cell r="A156" t="str">
            <v>CAU-7293 Vales</v>
          </cell>
          <cell r="B156" t="str">
            <v>CAU-729</v>
          </cell>
          <cell r="C156" t="str">
            <v>3 Vales</v>
          </cell>
          <cell r="D156" t="str">
            <v>3 Vales Caja 2025080420.pdf</v>
          </cell>
        </row>
        <row r="157">
          <cell r="A157" t="str">
            <v>CAU-7321 Vales</v>
          </cell>
          <cell r="B157" t="str">
            <v>CAU-732</v>
          </cell>
          <cell r="C157" t="str">
            <v>1 Vales</v>
          </cell>
          <cell r="D157" t="str">
            <v>1 Vales Caja 2025021360.pdf</v>
          </cell>
        </row>
        <row r="158">
          <cell r="A158" t="str">
            <v>CAU-7322 Vales</v>
          </cell>
          <cell r="B158" t="str">
            <v>CAU-732</v>
          </cell>
          <cell r="C158" t="str">
            <v>2 Vales</v>
          </cell>
          <cell r="D158" t="str">
            <v>2 Vales Caja 2025050960.pdf</v>
          </cell>
        </row>
        <row r="159">
          <cell r="A159" t="str">
            <v>CAU-7323 Vales</v>
          </cell>
          <cell r="B159" t="str">
            <v>CAU-732</v>
          </cell>
          <cell r="C159" t="str">
            <v>3 Vales</v>
          </cell>
          <cell r="D159" t="str">
            <v>3 Vales Caja 2025080420.pdf</v>
          </cell>
        </row>
        <row r="160">
          <cell r="A160" t="str">
            <v>CAU-7411 Vales</v>
          </cell>
          <cell r="B160" t="str">
            <v>CAU-741</v>
          </cell>
          <cell r="C160" t="str">
            <v>1 Vales</v>
          </cell>
          <cell r="D160" t="str">
            <v>1 Vales Caja 2025021360.pdf</v>
          </cell>
        </row>
        <row r="161">
          <cell r="A161" t="str">
            <v>CAU-7412 Vales</v>
          </cell>
          <cell r="B161" t="str">
            <v>CAU-741</v>
          </cell>
          <cell r="C161" t="str">
            <v>2 Vales</v>
          </cell>
          <cell r="D161" t="str">
            <v>2 Vales Caja 2025050960.pdf</v>
          </cell>
        </row>
        <row r="162">
          <cell r="A162" t="str">
            <v>CAU-7413 Vales</v>
          </cell>
          <cell r="B162" t="str">
            <v>CAU-741</v>
          </cell>
          <cell r="C162" t="str">
            <v>3 Vales</v>
          </cell>
          <cell r="D162" t="str">
            <v>3 Vales Caja 2025080420.pdf</v>
          </cell>
        </row>
        <row r="163">
          <cell r="A163" t="str">
            <v>CAU-7451 Vales</v>
          </cell>
          <cell r="B163" t="str">
            <v>CAU-745</v>
          </cell>
          <cell r="C163" t="str">
            <v>1 Vales</v>
          </cell>
          <cell r="D163" t="str">
            <v>1 Vales Caja 2025021360.pdf</v>
          </cell>
        </row>
        <row r="164">
          <cell r="A164" t="str">
            <v>CAU-7451 Vales</v>
          </cell>
          <cell r="B164" t="str">
            <v>CAU-745</v>
          </cell>
          <cell r="C164" t="str">
            <v>1 Vales</v>
          </cell>
          <cell r="D164" t="str">
            <v>1 Vales Caja 2025032101.pdf</v>
          </cell>
        </row>
        <row r="165">
          <cell r="A165" t="str">
            <v>CAU-7452 Vales</v>
          </cell>
          <cell r="B165" t="str">
            <v>CAU-745</v>
          </cell>
          <cell r="C165" t="str">
            <v>2 Vales</v>
          </cell>
          <cell r="D165" t="str">
            <v>2 Vales Caja 2025050960.pdf</v>
          </cell>
        </row>
        <row r="166">
          <cell r="A166" t="str">
            <v>CAU-7453 Vales</v>
          </cell>
          <cell r="B166" t="str">
            <v>CAU-745</v>
          </cell>
          <cell r="C166" t="str">
            <v>3 Vales</v>
          </cell>
          <cell r="D166" t="str">
            <v>3 Vales Caja 2025080420.pdf</v>
          </cell>
        </row>
        <row r="167">
          <cell r="A167" t="str">
            <v>CAU-7461 Vales</v>
          </cell>
          <cell r="B167" t="str">
            <v>CAU-746</v>
          </cell>
          <cell r="C167" t="str">
            <v>1 Vales</v>
          </cell>
          <cell r="D167" t="str">
            <v>1 Vales Caja 2025021360.pdf</v>
          </cell>
        </row>
        <row r="168">
          <cell r="A168" t="str">
            <v>CAU-7462 Vales</v>
          </cell>
          <cell r="B168" t="str">
            <v>CAU-746</v>
          </cell>
          <cell r="C168" t="str">
            <v>2 Vales</v>
          </cell>
          <cell r="D168" t="str">
            <v>2 Vales Caja 2025050960.pdf</v>
          </cell>
        </row>
        <row r="169">
          <cell r="A169" t="str">
            <v>CAU-7463 Vales</v>
          </cell>
          <cell r="B169" t="str">
            <v>CAU-746</v>
          </cell>
          <cell r="C169" t="str">
            <v>3 Vales</v>
          </cell>
          <cell r="D169" t="str">
            <v>3 Vales Caja 2025080420.pdf</v>
          </cell>
        </row>
        <row r="170">
          <cell r="A170" t="str">
            <v>CBE-7011 Vales</v>
          </cell>
          <cell r="B170" t="str">
            <v>CBE-701</v>
          </cell>
          <cell r="C170" t="str">
            <v>1 Vales</v>
          </cell>
          <cell r="D170" t="str">
            <v>1 Vales Caja 2025021348.pdf</v>
          </cell>
        </row>
        <row r="171">
          <cell r="A171" t="str">
            <v>CBE-7012 Vales</v>
          </cell>
          <cell r="B171" t="str">
            <v>CBE-701</v>
          </cell>
          <cell r="C171" t="str">
            <v>2 Vales</v>
          </cell>
          <cell r="D171" t="str">
            <v>2 Vales Caja 2025050954.pdf</v>
          </cell>
        </row>
        <row r="172">
          <cell r="A172" t="str">
            <v>CBE-7013 Vales</v>
          </cell>
          <cell r="B172" t="str">
            <v>CBE-701</v>
          </cell>
          <cell r="C172" t="str">
            <v>3 Vales</v>
          </cell>
          <cell r="D172" t="str">
            <v>3 Vales Caja 2025080336.pdf</v>
          </cell>
        </row>
        <row r="173">
          <cell r="A173" t="str">
            <v>CFF-5031 Vales</v>
          </cell>
          <cell r="B173" t="str">
            <v>CFF-503</v>
          </cell>
          <cell r="C173" t="str">
            <v>1 Vales</v>
          </cell>
          <cell r="D173" t="str">
            <v>1 Vales Caja 2025021350.pdf</v>
          </cell>
        </row>
        <row r="174">
          <cell r="A174" t="str">
            <v>CFF-5033 Vales</v>
          </cell>
          <cell r="B174" t="str">
            <v>CFF-503</v>
          </cell>
          <cell r="C174" t="str">
            <v>3 Vales</v>
          </cell>
          <cell r="D174" t="str">
            <v>3 Vales Caja 2025080401.pdf</v>
          </cell>
        </row>
        <row r="175">
          <cell r="A175" t="str">
            <v>CFG-0231 Vales</v>
          </cell>
          <cell r="B175" t="str">
            <v>CFG-023</v>
          </cell>
          <cell r="C175" t="str">
            <v>1 Vales</v>
          </cell>
          <cell r="D175" t="str">
            <v>1 Vales Caja 2025021350.pdf</v>
          </cell>
        </row>
        <row r="176">
          <cell r="A176" t="str">
            <v>CFG-0233 Vales</v>
          </cell>
          <cell r="B176" t="str">
            <v>CFG-023</v>
          </cell>
          <cell r="C176" t="str">
            <v>3 Vales</v>
          </cell>
          <cell r="D176" t="str">
            <v>3 Vales Caja 2025080401.pdf</v>
          </cell>
        </row>
        <row r="177">
          <cell r="A177" t="str">
            <v>CNK-2631 Vales</v>
          </cell>
          <cell r="B177" t="str">
            <v>CNK-263</v>
          </cell>
          <cell r="C177" t="str">
            <v>1 Vales</v>
          </cell>
          <cell r="D177" t="str">
            <v>1 Vales Caja 2025021353.pdf</v>
          </cell>
        </row>
        <row r="178">
          <cell r="A178" t="str">
            <v>CNK-2632 Vales</v>
          </cell>
          <cell r="B178" t="str">
            <v>CNK-263</v>
          </cell>
          <cell r="C178" t="str">
            <v>2 Vales</v>
          </cell>
          <cell r="D178" t="str">
            <v>2 Vales Caja 2025050959.pdf</v>
          </cell>
        </row>
        <row r="179">
          <cell r="A179" t="str">
            <v>CNK-2633 Vales</v>
          </cell>
          <cell r="B179" t="str">
            <v>CNK-263</v>
          </cell>
          <cell r="C179" t="str">
            <v>3 Vales</v>
          </cell>
          <cell r="D179" t="str">
            <v>3 Vales Caja 2025080417.pdf</v>
          </cell>
        </row>
        <row r="180">
          <cell r="A180" t="str">
            <v>CNK-4711 Vales</v>
          </cell>
          <cell r="B180" t="str">
            <v>CNK-471</v>
          </cell>
          <cell r="C180" t="str">
            <v>1 Vales</v>
          </cell>
          <cell r="D180" t="str">
            <v>1 Vales Caja 2025021353.pdf</v>
          </cell>
        </row>
        <row r="181">
          <cell r="A181" t="str">
            <v>CNK-4712 Vales</v>
          </cell>
          <cell r="B181" t="str">
            <v>CNK-471</v>
          </cell>
          <cell r="C181" t="str">
            <v>2 Vales</v>
          </cell>
          <cell r="D181" t="str">
            <v>2 Vales Caja 2025050959.pdf</v>
          </cell>
        </row>
        <row r="182">
          <cell r="A182" t="str">
            <v>CNK-4713 Vales</v>
          </cell>
          <cell r="B182" t="str">
            <v>CNK-471</v>
          </cell>
          <cell r="C182" t="str">
            <v>3 Vales</v>
          </cell>
          <cell r="D182" t="str">
            <v>3 Vales Caja 2025080417.pdf</v>
          </cell>
        </row>
        <row r="183">
          <cell r="A183" t="str">
            <v>CNK-4851 Vales</v>
          </cell>
          <cell r="B183" t="str">
            <v>CNK-485</v>
          </cell>
          <cell r="C183" t="str">
            <v>1 Vales</v>
          </cell>
          <cell r="D183" t="str">
            <v>1 Vales Caja 2025021353.pdf</v>
          </cell>
        </row>
        <row r="184">
          <cell r="A184" t="str">
            <v>CNK-4852 Vales</v>
          </cell>
          <cell r="B184" t="str">
            <v>CNK-485</v>
          </cell>
          <cell r="C184" t="str">
            <v>2 Vales</v>
          </cell>
          <cell r="D184" t="str">
            <v>2 Vales Caja 2025050959.pdf</v>
          </cell>
        </row>
        <row r="185">
          <cell r="A185" t="str">
            <v>CNK-4853 Vales</v>
          </cell>
          <cell r="B185" t="str">
            <v>CNK-485</v>
          </cell>
          <cell r="C185" t="str">
            <v>3 Vales</v>
          </cell>
          <cell r="D185" t="str">
            <v>3 Vales Caja 2025080417.pdf</v>
          </cell>
        </row>
        <row r="186">
          <cell r="A186" t="str">
            <v>CNK-5031 Vales</v>
          </cell>
          <cell r="B186" t="str">
            <v>CNK-503</v>
          </cell>
          <cell r="C186" t="str">
            <v>1 Vales</v>
          </cell>
          <cell r="D186" t="str">
            <v>1 Vales Caja 2025021353.pdf</v>
          </cell>
        </row>
        <row r="187">
          <cell r="A187" t="str">
            <v>CNK-5032 Vales</v>
          </cell>
          <cell r="B187" t="str">
            <v>CNK-503</v>
          </cell>
          <cell r="C187" t="str">
            <v>2 Vales</v>
          </cell>
          <cell r="D187" t="str">
            <v>2 Vales Caja 2025050959.pdf</v>
          </cell>
        </row>
        <row r="188">
          <cell r="A188" t="str">
            <v>CNK-5033 Vales</v>
          </cell>
          <cell r="B188" t="str">
            <v>CNK-503</v>
          </cell>
          <cell r="C188" t="str">
            <v>3 Vales</v>
          </cell>
          <cell r="D188" t="str">
            <v>3 Vales Caja 2025080417.pdf</v>
          </cell>
        </row>
        <row r="189">
          <cell r="A189" t="str">
            <v>CNK-5041 Vales</v>
          </cell>
          <cell r="B189" t="str">
            <v>CNK-504</v>
          </cell>
          <cell r="C189" t="str">
            <v>1 Vales</v>
          </cell>
          <cell r="D189" t="str">
            <v>1 Vales Caja 2025021352.pdf</v>
          </cell>
        </row>
        <row r="190">
          <cell r="A190" t="str">
            <v>CNK-5042 Vales</v>
          </cell>
          <cell r="B190" t="str">
            <v>CNK-504</v>
          </cell>
          <cell r="C190" t="str">
            <v>2 Vales</v>
          </cell>
          <cell r="D190" t="str">
            <v>2 Vales Caja 2025050958.pdf</v>
          </cell>
        </row>
        <row r="191">
          <cell r="A191" t="str">
            <v>CNK-5043 Vales</v>
          </cell>
          <cell r="B191" t="str">
            <v>CNK-504</v>
          </cell>
          <cell r="C191" t="str">
            <v>3 Vales</v>
          </cell>
          <cell r="D191" t="str">
            <v>3 Vales Caja 2025080415.pdf</v>
          </cell>
        </row>
        <row r="192">
          <cell r="A192" t="str">
            <v>CNK-5051 Vales</v>
          </cell>
          <cell r="B192" t="str">
            <v>CNK-505</v>
          </cell>
          <cell r="C192" t="str">
            <v>1 Vales</v>
          </cell>
          <cell r="D192" t="str">
            <v>1 Vales Caja 2025021353.pdf</v>
          </cell>
        </row>
        <row r="193">
          <cell r="A193" t="str">
            <v>CNK-5052 Vales</v>
          </cell>
          <cell r="B193" t="str">
            <v>CNK-505</v>
          </cell>
          <cell r="C193" t="str">
            <v>2 Vales</v>
          </cell>
          <cell r="D193" t="str">
            <v>2 Vales Caja 2025050959.pdf</v>
          </cell>
        </row>
        <row r="194">
          <cell r="A194" t="str">
            <v>CNK-5053 Vales</v>
          </cell>
          <cell r="B194" t="str">
            <v>CNK-505</v>
          </cell>
          <cell r="C194" t="str">
            <v>3 Vales</v>
          </cell>
          <cell r="D194" t="str">
            <v>3 Vales Caja 2025080417.pdf</v>
          </cell>
        </row>
        <row r="195">
          <cell r="A195" t="str">
            <v>CNK-5301 Vales</v>
          </cell>
          <cell r="B195" t="str">
            <v>CNK-530</v>
          </cell>
          <cell r="C195" t="str">
            <v>1 Vales</v>
          </cell>
          <cell r="D195" t="str">
            <v>1 Vales Caja 2025021352.pdf</v>
          </cell>
        </row>
        <row r="196">
          <cell r="A196" t="str">
            <v>CNK-5302 Vales</v>
          </cell>
          <cell r="B196" t="str">
            <v>CNK-530</v>
          </cell>
          <cell r="C196" t="str">
            <v>2 Vales</v>
          </cell>
          <cell r="D196" t="str">
            <v>2 Vales Caja 2025050958.pdf</v>
          </cell>
        </row>
        <row r="197">
          <cell r="A197" t="str">
            <v>CNK-5303 Vales</v>
          </cell>
          <cell r="B197" t="str">
            <v>CNK-530</v>
          </cell>
          <cell r="C197" t="str">
            <v>3 Vales</v>
          </cell>
          <cell r="D197" t="str">
            <v>3 Vales Caja 2025080415.pdf</v>
          </cell>
        </row>
        <row r="198">
          <cell r="A198" t="str">
            <v>CNK-5331 Vales</v>
          </cell>
          <cell r="B198" t="str">
            <v>CNK-533</v>
          </cell>
          <cell r="C198" t="str">
            <v>1 Vales</v>
          </cell>
          <cell r="D198" t="str">
            <v>1 Vales Caja 2025021353.pdf</v>
          </cell>
        </row>
        <row r="199">
          <cell r="A199" t="str">
            <v>CNK-5332 Vales</v>
          </cell>
          <cell r="B199" t="str">
            <v>CNK-533</v>
          </cell>
          <cell r="C199" t="str">
            <v>2 Vales</v>
          </cell>
          <cell r="D199" t="str">
            <v>2 Vales Caja 2025050959.pdf</v>
          </cell>
        </row>
        <row r="200">
          <cell r="A200" t="str">
            <v>CNK-5333 Vales</v>
          </cell>
          <cell r="B200" t="str">
            <v>CNK-533</v>
          </cell>
          <cell r="C200" t="str">
            <v>3 Vales</v>
          </cell>
          <cell r="D200" t="str">
            <v>3 Vales Caja 2025080417.pdf</v>
          </cell>
        </row>
        <row r="201">
          <cell r="A201" t="str">
            <v>CNK-5421 Vales</v>
          </cell>
          <cell r="B201" t="str">
            <v>CNK-542</v>
          </cell>
          <cell r="C201" t="str">
            <v>1 Vales</v>
          </cell>
          <cell r="D201" t="str">
            <v>1 Vales Caja 2025021353.pdf</v>
          </cell>
        </row>
        <row r="202">
          <cell r="A202" t="str">
            <v>CNK-5422 Vales</v>
          </cell>
          <cell r="B202" t="str">
            <v>CNK-542</v>
          </cell>
          <cell r="C202" t="str">
            <v>2 Vales</v>
          </cell>
          <cell r="D202" t="str">
            <v>2 Vales Caja 2025050959.pdf</v>
          </cell>
        </row>
        <row r="203">
          <cell r="A203" t="str">
            <v>CNK-5423 Vales</v>
          </cell>
          <cell r="B203" t="str">
            <v>CNK-542</v>
          </cell>
          <cell r="C203" t="str">
            <v>3 Vales</v>
          </cell>
          <cell r="D203" t="str">
            <v>3 Vales Caja 2025080417.pdf</v>
          </cell>
        </row>
        <row r="204">
          <cell r="A204" t="str">
            <v>CNK-5731 Vales</v>
          </cell>
          <cell r="B204" t="str">
            <v>CNK-573</v>
          </cell>
          <cell r="C204" t="str">
            <v>1 Vales</v>
          </cell>
          <cell r="D204" t="str">
            <v>1 Vales Caja 2025021353.pdf</v>
          </cell>
        </row>
        <row r="205">
          <cell r="A205" t="str">
            <v>CNK-5732 Vales</v>
          </cell>
          <cell r="B205" t="str">
            <v>CNK-573</v>
          </cell>
          <cell r="C205" t="str">
            <v>2 Vales</v>
          </cell>
          <cell r="D205" t="str">
            <v>2 Vales Caja 2025050959.pdf</v>
          </cell>
        </row>
        <row r="206">
          <cell r="A206" t="str">
            <v>CNK-5733 Vales</v>
          </cell>
          <cell r="B206" t="str">
            <v>CNK-573</v>
          </cell>
          <cell r="C206" t="str">
            <v>3 Vales</v>
          </cell>
          <cell r="D206" t="str">
            <v>3 Vales Caja 2025080417.pdf</v>
          </cell>
        </row>
        <row r="207">
          <cell r="A207" t="str">
            <v>CNK-5871 Vales</v>
          </cell>
          <cell r="B207" t="str">
            <v>CNK-587</v>
          </cell>
          <cell r="C207" t="str">
            <v>1 Vales</v>
          </cell>
          <cell r="D207" t="str">
            <v>1 Vales Caja 2025021352.pdf</v>
          </cell>
        </row>
        <row r="208">
          <cell r="A208" t="str">
            <v>CNK-5872 Vales</v>
          </cell>
          <cell r="B208" t="str">
            <v>CNK-587</v>
          </cell>
          <cell r="C208" t="str">
            <v>2 Vales</v>
          </cell>
          <cell r="D208" t="str">
            <v>2 Vales Caja 2025050958.pdf</v>
          </cell>
        </row>
        <row r="209">
          <cell r="A209" t="str">
            <v>CNK-5873 Vales</v>
          </cell>
          <cell r="B209" t="str">
            <v>CNK-587</v>
          </cell>
          <cell r="C209" t="str">
            <v>3 Vales</v>
          </cell>
          <cell r="D209" t="str">
            <v>3 Vales Caja 2025080415.pdf</v>
          </cell>
        </row>
        <row r="210">
          <cell r="A210" t="str">
            <v>CNK-6151 Vales</v>
          </cell>
          <cell r="B210" t="str">
            <v>CNK-615</v>
          </cell>
          <cell r="C210" t="str">
            <v>1 Vales</v>
          </cell>
          <cell r="D210" t="str">
            <v>1 Vales Caja 2025021352.pdf</v>
          </cell>
        </row>
        <row r="211">
          <cell r="A211" t="str">
            <v>CNK-6152 Vales</v>
          </cell>
          <cell r="B211" t="str">
            <v>CNK-615</v>
          </cell>
          <cell r="C211" t="str">
            <v>2 Vales</v>
          </cell>
          <cell r="D211" t="str">
            <v>2 Vales Caja 2025050958.pdf</v>
          </cell>
        </row>
        <row r="212">
          <cell r="A212" t="str">
            <v>CNK-6153 Vales</v>
          </cell>
          <cell r="B212" t="str">
            <v>CNK-615</v>
          </cell>
          <cell r="C212" t="str">
            <v>3 Vales</v>
          </cell>
          <cell r="D212" t="str">
            <v>3 Vales Caja 2025080415.pdf</v>
          </cell>
        </row>
        <row r="213">
          <cell r="A213" t="str">
            <v>CNK-6221 Vales</v>
          </cell>
          <cell r="B213" t="str">
            <v>CNK-622</v>
          </cell>
          <cell r="C213" t="str">
            <v>1 Vales</v>
          </cell>
          <cell r="D213" t="str">
            <v>1 Vales Caja 2025021352.pdf</v>
          </cell>
        </row>
        <row r="214">
          <cell r="A214" t="str">
            <v>CNK-6222 Vales</v>
          </cell>
          <cell r="B214" t="str">
            <v>CNK-622</v>
          </cell>
          <cell r="C214" t="str">
            <v>2 Vales</v>
          </cell>
          <cell r="D214" t="str">
            <v>2 Vales Caja 2025050958.pdf</v>
          </cell>
        </row>
        <row r="215">
          <cell r="A215" t="str">
            <v>CNK-6223 Vales</v>
          </cell>
          <cell r="B215" t="str">
            <v>CNK-622</v>
          </cell>
          <cell r="C215" t="str">
            <v>3 Vales</v>
          </cell>
          <cell r="D215" t="str">
            <v>3 Vales Caja 2025080415.pdf</v>
          </cell>
        </row>
        <row r="216">
          <cell r="A216" t="str">
            <v>CNK-6391 Vales</v>
          </cell>
          <cell r="B216" t="str">
            <v>CNK-639</v>
          </cell>
          <cell r="C216" t="str">
            <v>1 Vales</v>
          </cell>
          <cell r="D216" t="str">
            <v>1 Vales Caja 2025021353.pdf</v>
          </cell>
        </row>
        <row r="217">
          <cell r="A217" t="str">
            <v>CNK-6392 Vales</v>
          </cell>
          <cell r="B217" t="str">
            <v>CNK-639</v>
          </cell>
          <cell r="C217" t="str">
            <v>2 Vales</v>
          </cell>
          <cell r="D217" t="str">
            <v>2 Vales Caja 2025050959.pdf</v>
          </cell>
        </row>
        <row r="218">
          <cell r="A218" t="str">
            <v>CNK-6393 Vales</v>
          </cell>
          <cell r="B218" t="str">
            <v>CNK-639</v>
          </cell>
          <cell r="C218" t="str">
            <v>3 Vales</v>
          </cell>
          <cell r="D218" t="str">
            <v>3 Vales Caja 2025080417.pdf</v>
          </cell>
        </row>
        <row r="219">
          <cell r="A219" t="str">
            <v>CNK-6411 Vales</v>
          </cell>
          <cell r="B219" t="str">
            <v>CNK-641</v>
          </cell>
          <cell r="C219" t="str">
            <v>1 Vales</v>
          </cell>
          <cell r="D219" t="str">
            <v>1 Vales Caja 2025021353.pdf</v>
          </cell>
        </row>
        <row r="220">
          <cell r="A220" t="str">
            <v>CNK-6412 Vales</v>
          </cell>
          <cell r="B220" t="str">
            <v>CNK-641</v>
          </cell>
          <cell r="C220" t="str">
            <v>2 Vales</v>
          </cell>
          <cell r="D220" t="str">
            <v>2 Vales Caja 2025050959.pdf</v>
          </cell>
        </row>
        <row r="221">
          <cell r="A221" t="str">
            <v>CNK-6413 Vales</v>
          </cell>
          <cell r="B221" t="str">
            <v>CNK-641</v>
          </cell>
          <cell r="C221" t="str">
            <v>3 Vales</v>
          </cell>
          <cell r="D221" t="str">
            <v>3 Vales Caja 2025080417.pdf</v>
          </cell>
        </row>
        <row r="222">
          <cell r="A222" t="str">
            <v>CNK-6441 Vales</v>
          </cell>
          <cell r="B222" t="str">
            <v>CNK-644</v>
          </cell>
          <cell r="C222" t="str">
            <v>1 Vales</v>
          </cell>
          <cell r="D222" t="str">
            <v>1 Vales Caja 2025021352.pdf</v>
          </cell>
        </row>
        <row r="223">
          <cell r="A223" t="str">
            <v>CNK-6442 Vales</v>
          </cell>
          <cell r="B223" t="str">
            <v>CNK-644</v>
          </cell>
          <cell r="C223" t="str">
            <v>2 Vales</v>
          </cell>
          <cell r="D223" t="str">
            <v>2 Vales Caja 2025050958.pdf</v>
          </cell>
        </row>
        <row r="224">
          <cell r="A224" t="str">
            <v>CNK-6443 Vales</v>
          </cell>
          <cell r="B224" t="str">
            <v>CNK-644</v>
          </cell>
          <cell r="C224" t="str">
            <v>3 Vales</v>
          </cell>
          <cell r="D224" t="str">
            <v>3 Vales Caja 2025080415.pdf</v>
          </cell>
        </row>
        <row r="225">
          <cell r="A225" t="str">
            <v>CNK-6461 Vales</v>
          </cell>
          <cell r="B225" t="str">
            <v>CNK-646</v>
          </cell>
          <cell r="C225" t="str">
            <v>1 Vales</v>
          </cell>
          <cell r="D225" t="str">
            <v>1 Vales Caja 2025021352.pdf</v>
          </cell>
        </row>
        <row r="226">
          <cell r="A226" t="str">
            <v>CNK-6462 Vales</v>
          </cell>
          <cell r="B226" t="str">
            <v>CNK-646</v>
          </cell>
          <cell r="C226" t="str">
            <v>2 Vales</v>
          </cell>
          <cell r="D226" t="str">
            <v>2 Vales Caja 2025050958.pdf</v>
          </cell>
        </row>
        <row r="227">
          <cell r="A227" t="str">
            <v>CNK-6463 Vales</v>
          </cell>
          <cell r="B227" t="str">
            <v>CNK-646</v>
          </cell>
          <cell r="C227" t="str">
            <v>3 Vales</v>
          </cell>
          <cell r="D227" t="str">
            <v>3 Vales Caja 2025080415.pdf</v>
          </cell>
        </row>
        <row r="228">
          <cell r="A228" t="str">
            <v>CNK-6751 Vales</v>
          </cell>
          <cell r="B228" t="str">
            <v>CNK-675</v>
          </cell>
          <cell r="C228" t="str">
            <v>1 Vales</v>
          </cell>
          <cell r="D228" t="str">
            <v>1 Vales Caja 2025021352.pdf</v>
          </cell>
        </row>
        <row r="229">
          <cell r="A229" t="str">
            <v>CNK-6752 Vales</v>
          </cell>
          <cell r="B229" t="str">
            <v>CNK-675</v>
          </cell>
          <cell r="C229" t="str">
            <v>2 Vales</v>
          </cell>
          <cell r="D229" t="str">
            <v>2 Vales Caja 2025050958.pdf</v>
          </cell>
        </row>
        <row r="230">
          <cell r="A230" t="str">
            <v>CNK-6753 Vales</v>
          </cell>
          <cell r="B230" t="str">
            <v>CNK-675</v>
          </cell>
          <cell r="C230" t="str">
            <v>3 Vales</v>
          </cell>
          <cell r="D230" t="str">
            <v>3 Vales Caja 2025080415.pdf</v>
          </cell>
        </row>
        <row r="231">
          <cell r="A231" t="str">
            <v>CNK-6881 Vales</v>
          </cell>
          <cell r="B231" t="str">
            <v>CNK-688</v>
          </cell>
          <cell r="C231" t="str">
            <v>1 Vales</v>
          </cell>
          <cell r="D231" t="str">
            <v>1 Vales Caja 2025021351.pdf</v>
          </cell>
        </row>
        <row r="232">
          <cell r="A232" t="str">
            <v>CNK-6882 Vales</v>
          </cell>
          <cell r="B232" t="str">
            <v>CNK-688</v>
          </cell>
          <cell r="C232" t="str">
            <v>2 Vales</v>
          </cell>
          <cell r="D232" t="str">
            <v>2 Vales Caja 2025050957.pdf</v>
          </cell>
        </row>
        <row r="233">
          <cell r="A233" t="str">
            <v>CNK-6883 Vales</v>
          </cell>
          <cell r="B233" t="str">
            <v>CNK-688</v>
          </cell>
          <cell r="C233" t="str">
            <v>3 Vales</v>
          </cell>
          <cell r="D233" t="str">
            <v>3 Vales Caja 2025080402.pdf</v>
          </cell>
        </row>
        <row r="234">
          <cell r="A234" t="str">
            <v>CNK-6901 Vales</v>
          </cell>
          <cell r="B234" t="str">
            <v>CNK-690</v>
          </cell>
          <cell r="C234" t="str">
            <v>1 Vales</v>
          </cell>
          <cell r="D234" t="str">
            <v>1 Vales Caja 2025021353.pdf</v>
          </cell>
        </row>
        <row r="235">
          <cell r="A235" t="str">
            <v>CNK-6902 Vales</v>
          </cell>
          <cell r="B235" t="str">
            <v>CNK-690</v>
          </cell>
          <cell r="C235" t="str">
            <v>2 Vales</v>
          </cell>
          <cell r="D235" t="str">
            <v>2 Vales Caja 2025050959.pdf</v>
          </cell>
        </row>
        <row r="236">
          <cell r="A236" t="str">
            <v>CNK-6903 Vales</v>
          </cell>
          <cell r="B236" t="str">
            <v>CNK-690</v>
          </cell>
          <cell r="C236" t="str">
            <v>3 Vales</v>
          </cell>
          <cell r="D236" t="str">
            <v>3 Vales Caja 2025080417.pdf</v>
          </cell>
        </row>
        <row r="237">
          <cell r="A237" t="str">
            <v>CNL-0031 Vales</v>
          </cell>
          <cell r="B237" t="str">
            <v>CNL-003</v>
          </cell>
          <cell r="C237" t="str">
            <v>1 Vales</v>
          </cell>
          <cell r="D237" t="str">
            <v>1 Vales Caja 2025021352.pdf</v>
          </cell>
        </row>
        <row r="238">
          <cell r="A238" t="str">
            <v>CNL-0032 Vales</v>
          </cell>
          <cell r="B238" t="str">
            <v>CNL-003</v>
          </cell>
          <cell r="C238" t="str">
            <v>2 Vales</v>
          </cell>
          <cell r="D238" t="str">
            <v>2 Vales Caja 2025050958.pdf</v>
          </cell>
        </row>
        <row r="239">
          <cell r="A239" t="str">
            <v>CNL-0033 Vales</v>
          </cell>
          <cell r="B239" t="str">
            <v>CNL-003</v>
          </cell>
          <cell r="C239" t="str">
            <v>3 Vales</v>
          </cell>
          <cell r="D239" t="str">
            <v>3 Vales Caja 2025080415.pdf</v>
          </cell>
        </row>
        <row r="240">
          <cell r="A240" t="str">
            <v>CNL-0091 Vales</v>
          </cell>
          <cell r="B240" t="str">
            <v>CNL-009</v>
          </cell>
          <cell r="C240" t="str">
            <v>1 Vales</v>
          </cell>
          <cell r="D240" t="str">
            <v>1 Vales Caja 2025021353.pdf</v>
          </cell>
        </row>
        <row r="241">
          <cell r="A241" t="str">
            <v>CNL-0092 Vales</v>
          </cell>
          <cell r="B241" t="str">
            <v>CNL-009</v>
          </cell>
          <cell r="C241" t="str">
            <v>2 Vales</v>
          </cell>
          <cell r="D241" t="str">
            <v>2 Vales Caja 2025050959.pdf</v>
          </cell>
        </row>
        <row r="242">
          <cell r="A242" t="str">
            <v>CNL-0093 Vales</v>
          </cell>
          <cell r="B242" t="str">
            <v>CNL-009</v>
          </cell>
          <cell r="C242" t="str">
            <v>3 Vales</v>
          </cell>
          <cell r="D242" t="str">
            <v>3 Vales Caja 2025080417.pdf</v>
          </cell>
        </row>
        <row r="243">
          <cell r="A243" t="str">
            <v>CNL-0101 Vales</v>
          </cell>
          <cell r="B243" t="str">
            <v>CNL-010</v>
          </cell>
          <cell r="C243" t="str">
            <v>1 Vales</v>
          </cell>
          <cell r="D243" t="str">
            <v>1 Vales Caja 2025021352.pdf</v>
          </cell>
        </row>
        <row r="244">
          <cell r="A244" t="str">
            <v>CNL-0102 Vales</v>
          </cell>
          <cell r="B244" t="str">
            <v>CNL-010</v>
          </cell>
          <cell r="C244" t="str">
            <v>2 Vales</v>
          </cell>
          <cell r="D244" t="str">
            <v>2 Vales Caja 2025050958.pdf</v>
          </cell>
        </row>
        <row r="245">
          <cell r="A245" t="str">
            <v>CNL-0103 Vales</v>
          </cell>
          <cell r="B245" t="str">
            <v>CNL-010</v>
          </cell>
          <cell r="C245" t="str">
            <v>3 Vales</v>
          </cell>
          <cell r="D245" t="str">
            <v>3 Vales Caja 2025080415.pdf</v>
          </cell>
        </row>
        <row r="246">
          <cell r="A246" t="str">
            <v>CNL-0121 Vales</v>
          </cell>
          <cell r="B246" t="str">
            <v>CNL-012</v>
          </cell>
          <cell r="C246" t="str">
            <v>1 Vales</v>
          </cell>
          <cell r="D246" t="str">
            <v>1 Vales Caja 2025021353.pdf</v>
          </cell>
        </row>
        <row r="247">
          <cell r="A247" t="str">
            <v>CNL-0122 Vales</v>
          </cell>
          <cell r="B247" t="str">
            <v>CNL-012</v>
          </cell>
          <cell r="C247" t="str">
            <v>2 Vales</v>
          </cell>
          <cell r="D247" t="str">
            <v>2 Vales Caja 2025050959.pdf</v>
          </cell>
        </row>
        <row r="248">
          <cell r="A248" t="str">
            <v>CNL-0123 Vales</v>
          </cell>
          <cell r="B248" t="str">
            <v>CNL-012</v>
          </cell>
          <cell r="C248" t="str">
            <v>3 Vales</v>
          </cell>
          <cell r="D248" t="str">
            <v>3 Vales Caja 2025080417.pdf</v>
          </cell>
        </row>
        <row r="249">
          <cell r="A249" t="str">
            <v>CNL-0131 Vales</v>
          </cell>
          <cell r="B249" t="str">
            <v>CNL-013</v>
          </cell>
          <cell r="C249" t="str">
            <v>1 Vales</v>
          </cell>
          <cell r="D249" t="str">
            <v>1 Vales Caja 2025021352.pdf</v>
          </cell>
        </row>
        <row r="250">
          <cell r="A250" t="str">
            <v>CNL-0132 Vales</v>
          </cell>
          <cell r="B250" t="str">
            <v>CNL-013</v>
          </cell>
          <cell r="C250" t="str">
            <v>2 Vales</v>
          </cell>
          <cell r="D250" t="str">
            <v>2 Vales Caja 2025050958.pdf</v>
          </cell>
        </row>
        <row r="251">
          <cell r="A251" t="str">
            <v>CNL-0133 Vales</v>
          </cell>
          <cell r="B251" t="str">
            <v>CNL-013</v>
          </cell>
          <cell r="C251" t="str">
            <v>3 Vales</v>
          </cell>
          <cell r="D251" t="str">
            <v>3 Vales Caja 2025080415.pdf</v>
          </cell>
        </row>
        <row r="252">
          <cell r="A252" t="str">
            <v>CNL-0171 Vales</v>
          </cell>
          <cell r="B252" t="str">
            <v>CNL-017</v>
          </cell>
          <cell r="C252" t="str">
            <v>1 Vales</v>
          </cell>
          <cell r="D252" t="str">
            <v>1 Vales Caja 2025021345.pdf</v>
          </cell>
        </row>
        <row r="253">
          <cell r="A253" t="str">
            <v>CNL-0172 Vales</v>
          </cell>
          <cell r="B253" t="str">
            <v>CNL-017</v>
          </cell>
          <cell r="C253" t="str">
            <v>2 Vales</v>
          </cell>
          <cell r="D253" t="str">
            <v>2 Vales Caja 2025050952.pdf</v>
          </cell>
        </row>
        <row r="254">
          <cell r="A254" t="str">
            <v>CNL-0173 Vales</v>
          </cell>
          <cell r="B254" t="str">
            <v>CNL-017</v>
          </cell>
          <cell r="C254" t="str">
            <v>3 Vales</v>
          </cell>
          <cell r="D254" t="str">
            <v>3 Vales Caja 2025080330.pdf</v>
          </cell>
        </row>
        <row r="255">
          <cell r="A255" t="str">
            <v>CNL-0331 Vales</v>
          </cell>
          <cell r="B255" t="str">
            <v>CNL-033</v>
          </cell>
          <cell r="C255" t="str">
            <v>1 Vales</v>
          </cell>
          <cell r="D255" t="str">
            <v>1 Vales Caja 2025021352.pdf</v>
          </cell>
        </row>
        <row r="256">
          <cell r="A256" t="str">
            <v>CNL-0332 Vales</v>
          </cell>
          <cell r="B256" t="str">
            <v>CNL-033</v>
          </cell>
          <cell r="C256" t="str">
            <v>2 Vales</v>
          </cell>
          <cell r="D256" t="str">
            <v>2 Vales Caja 2025050958.pdf</v>
          </cell>
        </row>
        <row r="257">
          <cell r="A257" t="str">
            <v>CNL-0333 Vales</v>
          </cell>
          <cell r="B257" t="str">
            <v>CNL-033</v>
          </cell>
          <cell r="C257" t="str">
            <v>3 Vales</v>
          </cell>
          <cell r="D257" t="str">
            <v>3 Vales Caja 2025080415.pdf</v>
          </cell>
        </row>
        <row r="258">
          <cell r="A258" t="str">
            <v>CNL-0722 Vales</v>
          </cell>
          <cell r="B258" t="str">
            <v>CNL-072</v>
          </cell>
          <cell r="C258" t="str">
            <v>2 Vales</v>
          </cell>
          <cell r="D258" t="str">
            <v>2 Vales Caja 2025050958.pdf</v>
          </cell>
        </row>
        <row r="259">
          <cell r="A259" t="str">
            <v>CNL-0723 Vales</v>
          </cell>
          <cell r="B259" t="str">
            <v>CNL-072</v>
          </cell>
          <cell r="C259" t="str">
            <v>3 Vales</v>
          </cell>
          <cell r="D259" t="str">
            <v>3 Vales Caja 2025080415.pdf</v>
          </cell>
        </row>
        <row r="260">
          <cell r="A260" t="str">
            <v>CNL-0741 Vales</v>
          </cell>
          <cell r="B260" t="str">
            <v>CNL-074</v>
          </cell>
          <cell r="C260" t="str">
            <v>1 Vales</v>
          </cell>
          <cell r="D260" t="str">
            <v>1 Vales Caja 2025021352.pdf</v>
          </cell>
        </row>
        <row r="261">
          <cell r="A261" t="str">
            <v>CNL-0742 Vales</v>
          </cell>
          <cell r="B261" t="str">
            <v>CNL-074</v>
          </cell>
          <cell r="C261" t="str">
            <v>2 Vales</v>
          </cell>
          <cell r="D261" t="str">
            <v>2 Vales Caja 2025050958.pdf</v>
          </cell>
        </row>
        <row r="262">
          <cell r="A262" t="str">
            <v>CNL-0743 Vales</v>
          </cell>
          <cell r="B262" t="str">
            <v>CNL-074</v>
          </cell>
          <cell r="C262" t="str">
            <v>3 Vales</v>
          </cell>
          <cell r="D262" t="str">
            <v>3 Vales Caja 2025080415.pdf</v>
          </cell>
        </row>
        <row r="263">
          <cell r="A263" t="str">
            <v>CNL-0751 Vales</v>
          </cell>
          <cell r="B263" t="str">
            <v>CNL-075</v>
          </cell>
          <cell r="C263" t="str">
            <v>1 Vales</v>
          </cell>
          <cell r="D263" t="str">
            <v>1 Vales Caja 2025021352.pdf</v>
          </cell>
        </row>
        <row r="264">
          <cell r="A264" t="str">
            <v>CNL-0752 Vales</v>
          </cell>
          <cell r="B264" t="str">
            <v>CNL-075</v>
          </cell>
          <cell r="C264" t="str">
            <v>2 Vales</v>
          </cell>
          <cell r="D264" t="str">
            <v>2 Vales Caja 2025050958.pdf</v>
          </cell>
        </row>
        <row r="265">
          <cell r="A265" t="str">
            <v>CNL-0753 Vales</v>
          </cell>
          <cell r="B265" t="str">
            <v>CNL-075</v>
          </cell>
          <cell r="C265" t="str">
            <v>3 Vales</v>
          </cell>
          <cell r="D265" t="str">
            <v>3 Vales Caja 2025080415.pdf</v>
          </cell>
        </row>
        <row r="266">
          <cell r="A266" t="str">
            <v>CNL-0761 Vales</v>
          </cell>
          <cell r="B266" t="str">
            <v>CNL-076</v>
          </cell>
          <cell r="C266" t="str">
            <v>1 Vales</v>
          </cell>
          <cell r="D266" t="str">
            <v>1 Vales Caja 2025021353.pdf</v>
          </cell>
        </row>
        <row r="267">
          <cell r="A267" t="str">
            <v>CNL-0762 Vales</v>
          </cell>
          <cell r="B267" t="str">
            <v>CNL-076</v>
          </cell>
          <cell r="C267" t="str">
            <v>2 Vales</v>
          </cell>
          <cell r="D267" t="str">
            <v>2 Vales Caja 2025050959.pdf</v>
          </cell>
        </row>
        <row r="268">
          <cell r="A268" t="str">
            <v>CNL-0763 Vales</v>
          </cell>
          <cell r="B268" t="str">
            <v>CNL-076</v>
          </cell>
          <cell r="C268" t="str">
            <v>3 Vales</v>
          </cell>
          <cell r="D268" t="str">
            <v>3 Vales Caja 2025080417.pdf</v>
          </cell>
        </row>
        <row r="269">
          <cell r="A269" t="str">
            <v>CNL-0911 Vales</v>
          </cell>
          <cell r="B269" t="str">
            <v>CNL-091</v>
          </cell>
          <cell r="C269" t="str">
            <v>1 Vales</v>
          </cell>
          <cell r="D269" t="str">
            <v>1 Vales Caja 2025021352.pdf</v>
          </cell>
        </row>
        <row r="270">
          <cell r="A270" t="str">
            <v>CNL-0912 Vales</v>
          </cell>
          <cell r="B270" t="str">
            <v>CNL-091</v>
          </cell>
          <cell r="C270" t="str">
            <v>2 Vales</v>
          </cell>
          <cell r="D270" t="str">
            <v>2 Vales Caja 2025050958.pdf</v>
          </cell>
        </row>
        <row r="271">
          <cell r="A271" t="str">
            <v>CNL-0913 Vales</v>
          </cell>
          <cell r="B271" t="str">
            <v>CNL-091</v>
          </cell>
          <cell r="C271" t="str">
            <v>3 Vales</v>
          </cell>
          <cell r="D271" t="str">
            <v>3 Vales Caja 2025080415.pdf</v>
          </cell>
        </row>
        <row r="272">
          <cell r="A272" t="str">
            <v>CNL-1211 Vales</v>
          </cell>
          <cell r="B272" t="str">
            <v>CNL-121</v>
          </cell>
          <cell r="C272" t="str">
            <v>1 Vales</v>
          </cell>
          <cell r="D272" t="str">
            <v>1 Vales Caja 2025021353.pdf</v>
          </cell>
        </row>
        <row r="273">
          <cell r="A273" t="str">
            <v>CNL-1212 Vales</v>
          </cell>
          <cell r="B273" t="str">
            <v>CNL-121</v>
          </cell>
          <cell r="C273" t="str">
            <v>2 Vales</v>
          </cell>
          <cell r="D273" t="str">
            <v>2 Vales Caja 2025050959.pdf</v>
          </cell>
        </row>
        <row r="274">
          <cell r="A274" t="str">
            <v>CNL-1213 Vales</v>
          </cell>
          <cell r="B274" t="str">
            <v>CNL-121</v>
          </cell>
          <cell r="C274" t="str">
            <v>3 Vales</v>
          </cell>
          <cell r="D274" t="str">
            <v>3 Vales Caja 2025080417.pdf</v>
          </cell>
        </row>
        <row r="275">
          <cell r="A275" t="str">
            <v>CNL-1351 Vales</v>
          </cell>
          <cell r="B275" t="str">
            <v>CNL-135</v>
          </cell>
          <cell r="C275" t="str">
            <v>1 Vales</v>
          </cell>
          <cell r="D275" t="str">
            <v>1 Vales Caja 2025021352.pdf</v>
          </cell>
        </row>
        <row r="276">
          <cell r="A276" t="str">
            <v>CNL-1352 Vales</v>
          </cell>
          <cell r="B276" t="str">
            <v>CNL-135</v>
          </cell>
          <cell r="C276" t="str">
            <v>2 Vales</v>
          </cell>
          <cell r="D276" t="str">
            <v>2 Vales Caja 2025050958.pdf</v>
          </cell>
        </row>
        <row r="277">
          <cell r="A277" t="str">
            <v>CNL-1353 Vales</v>
          </cell>
          <cell r="B277" t="str">
            <v>CNL-135</v>
          </cell>
          <cell r="C277" t="str">
            <v>3 Vales</v>
          </cell>
          <cell r="D277" t="str">
            <v>3 Vales Caja 2025080415.pdf</v>
          </cell>
        </row>
        <row r="278">
          <cell r="A278" t="str">
            <v>CNL-1651 Vales</v>
          </cell>
          <cell r="B278" t="str">
            <v>CNL-165</v>
          </cell>
          <cell r="C278" t="str">
            <v>1 Vales</v>
          </cell>
          <cell r="D278" t="str">
            <v>1 Vales Caja 2025021352.pdf</v>
          </cell>
        </row>
        <row r="279">
          <cell r="A279" t="str">
            <v>CNL-1652 Vales</v>
          </cell>
          <cell r="B279" t="str">
            <v>CNL-165</v>
          </cell>
          <cell r="C279" t="str">
            <v>2 Vales</v>
          </cell>
          <cell r="D279" t="str">
            <v>2 Vales Caja 2025050958.pdf</v>
          </cell>
        </row>
        <row r="280">
          <cell r="A280" t="str">
            <v>CNL-1653 Vales</v>
          </cell>
          <cell r="B280" t="str">
            <v>CNL-165</v>
          </cell>
          <cell r="C280" t="str">
            <v>3 Vales</v>
          </cell>
          <cell r="D280" t="str">
            <v>3 Vales Caja 2025080415.pdf</v>
          </cell>
        </row>
        <row r="281">
          <cell r="A281" t="str">
            <v>CNL-4941 Vales</v>
          </cell>
          <cell r="B281" t="str">
            <v>CNL-494</v>
          </cell>
          <cell r="C281" t="str">
            <v>1 Vales</v>
          </cell>
          <cell r="D281" t="str">
            <v>1 Vales Caja 2025021353.pdf</v>
          </cell>
        </row>
        <row r="282">
          <cell r="A282" t="str">
            <v>CNL-4942 Vales</v>
          </cell>
          <cell r="B282" t="str">
            <v>CNL-494</v>
          </cell>
          <cell r="C282" t="str">
            <v>2 Vales</v>
          </cell>
          <cell r="D282" t="str">
            <v>2 Vales Caja 2025050959.pdf</v>
          </cell>
        </row>
        <row r="283">
          <cell r="A283" t="str">
            <v>CNL-4943 Vales</v>
          </cell>
          <cell r="B283" t="str">
            <v>CNL-494</v>
          </cell>
          <cell r="C283" t="str">
            <v>3 Vales</v>
          </cell>
          <cell r="D283" t="str">
            <v>3 Vales Caja 2025080417.pdf</v>
          </cell>
        </row>
        <row r="284">
          <cell r="A284" t="str">
            <v>CNL-6321 Vales</v>
          </cell>
          <cell r="B284" t="str">
            <v>CNL-632</v>
          </cell>
          <cell r="C284" t="str">
            <v>1 Vales</v>
          </cell>
          <cell r="D284" t="str">
            <v>1 Vales Caja 2025021353.pdf</v>
          </cell>
        </row>
        <row r="285">
          <cell r="A285" t="str">
            <v>CNL-6322 Vales</v>
          </cell>
          <cell r="B285" t="str">
            <v>CNL-632</v>
          </cell>
          <cell r="C285" t="str">
            <v>2 Vales</v>
          </cell>
          <cell r="D285" t="str">
            <v>2 Vales Caja 2025050959.pdf</v>
          </cell>
        </row>
        <row r="286">
          <cell r="A286" t="str">
            <v>CNL-6323 Vales</v>
          </cell>
          <cell r="B286" t="str">
            <v>CNL-632</v>
          </cell>
          <cell r="C286" t="str">
            <v>3 Vales</v>
          </cell>
          <cell r="D286" t="str">
            <v>3 Vales Caja 2025080417.pdf</v>
          </cell>
        </row>
        <row r="287">
          <cell r="A287" t="str">
            <v>CNL-6891 Vales</v>
          </cell>
          <cell r="B287" t="str">
            <v>CNL-689</v>
          </cell>
          <cell r="C287" t="str">
            <v>1 Vales</v>
          </cell>
          <cell r="D287" t="str">
            <v>1 Vales Caja 2025021353.pdf</v>
          </cell>
        </row>
        <row r="288">
          <cell r="A288" t="str">
            <v>CNL-6892 Vales</v>
          </cell>
          <cell r="B288" t="str">
            <v>CNL-689</v>
          </cell>
          <cell r="C288" t="str">
            <v>2 Vales</v>
          </cell>
          <cell r="D288" t="str">
            <v>2 Vales Caja 2025050959.pdf</v>
          </cell>
        </row>
        <row r="289">
          <cell r="A289" t="str">
            <v>CNL-6893 Vales</v>
          </cell>
          <cell r="B289" t="str">
            <v>CNL-689</v>
          </cell>
          <cell r="C289" t="str">
            <v>3 Vales</v>
          </cell>
          <cell r="D289" t="str">
            <v>3 Vales Caja 2025080417.pdf</v>
          </cell>
        </row>
        <row r="290">
          <cell r="A290" t="str">
            <v>CPB-0541 Vales</v>
          </cell>
          <cell r="B290" t="str">
            <v>CPB-054</v>
          </cell>
          <cell r="C290" t="str">
            <v>1 Vales</v>
          </cell>
          <cell r="D290" t="str">
            <v>1 Vales Caja 2025032102.pdf</v>
          </cell>
        </row>
        <row r="291">
          <cell r="A291" t="str">
            <v>CPB-0543 Vales</v>
          </cell>
          <cell r="B291" t="str">
            <v>CPB-054</v>
          </cell>
          <cell r="C291" t="str">
            <v>3 Vales</v>
          </cell>
          <cell r="D291" t="str">
            <v>3 Vales Caja 2025080421.pdf</v>
          </cell>
        </row>
        <row r="292">
          <cell r="A292" t="str">
            <v>FG-0232 Vales</v>
          </cell>
          <cell r="B292" t="str">
            <v>FG-023</v>
          </cell>
          <cell r="C292" t="str">
            <v>2 Vales</v>
          </cell>
          <cell r="D292" t="str">
            <v>2 Vales Caja 2025050956.pdf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9F4EF-608A-4D2E-9021-BAA31C887DE4}" name="Pólizas43" displayName="Pólizas43" ref="B7:I163" totalsRowShown="0" headerRowDxfId="177" dataDxfId="176">
  <autoFilter ref="B7:I163" xr:uid="{2F39F4EF-608A-4D2E-9021-BAA31C887DE4}"/>
  <tableColumns count="8">
    <tableColumn id="1" xr3:uid="{DAF591D9-1DCA-4E75-9CB7-2846795DED47}" name="Placa Vehiculo" dataDxfId="175"/>
    <tableColumn id="4" xr3:uid="{DE9807EA-0D90-4DE9-994C-82A6BDF30F2F}" name="Marca" dataDxfId="174"/>
    <tableColumn id="8" xr3:uid="{04961945-BA6E-4522-9E80-936CA5E9522A}" name="Modelo" dataDxfId="173" dataCellStyle="Millares"/>
    <tableColumn id="2" xr3:uid="{DA452AFE-9061-491F-BCA4-08009A9FC142}" name="Combustible" dataDxfId="172"/>
    <tableColumn id="5" xr3:uid="{2AC0CEDF-8018-4206-AAA4-237C7DFAE106}" name="Motorización" dataDxfId="171"/>
    <tableColumn id="11" xr3:uid="{F9962196-170A-4B36-A7A6-4B48118D4AB4}" name="Tipo 2" dataDxfId="170"/>
    <tableColumn id="12" xr3:uid="{5E4EE3D5-172B-4FBC-A420-556C7A007885}" name="S/ GPS" dataDxfId="169"/>
    <tableColumn id="3" xr3:uid="{14836CFB-EB1C-4B73-B428-B39D5CB966B9}" name="Familia" dataDxfId="168"/>
  </tableColumns>
  <tableStyleInfo name="TableStyleLight10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A2065E-FE07-4470-BBAA-71F1933F5027}" name="Soat" displayName="Soat" ref="C7:V115" totalsRowShown="0" headerRowDxfId="167" dataDxfId="166">
  <tableColumns count="20">
    <tableColumn id="1" xr3:uid="{01875C8C-72E3-4FD1-A264-99F760E346A1}" name="Nro" dataDxfId="165">
      <calculatedColumnFormula>ROW(A1)</calculatedColumnFormula>
    </tableColumn>
    <tableColumn id="2" xr3:uid="{B94C5757-5B56-47F3-9D7A-37C382A45BE7}" name="Placa" dataDxfId="164"/>
    <tableColumn id="3" xr3:uid="{42C46CD7-85AA-4B8B-A80D-536FFF3994B7}" name="Aseguradora" dataDxfId="163"/>
    <tableColumn id="4" xr3:uid="{90C3D4CF-0F74-4B17-B11F-2A35C5E7C22E}" name="Póliza" dataDxfId="162"/>
    <tableColumn id="5" xr3:uid="{0589AF5B-B0D3-483D-977F-2D8175A88A1D}" name="Fecha inicio" dataDxfId="161"/>
    <tableColumn id="6" xr3:uid="{75EAAF82-B4FD-4FB0-91C9-C21996EEE656}" name="Fecha fin" dataDxfId="160"/>
    <tableColumn id="8" xr3:uid="{7263858C-F0D1-49D4-98B2-F2839A120503}" name="Monto Final" dataDxfId="159" dataCellStyle="Millares"/>
    <tableColumn id="21" xr3:uid="{73C65045-2918-4D40-BF94-A5A37A55549E}" name="Dias Faltantes" dataDxfId="158" dataCellStyle="Millares"/>
    <tableColumn id="7" xr3:uid="{FD39D909-0BBB-4945-A248-AA7340441704}" name="Estado Poliza" dataDxfId="157">
      <calculatedColumnFormula>IF(H8="","",IF(H8&lt;TODAY(),"Vencido","Vigente"))</calculatedColumnFormula>
    </tableColumn>
    <tableColumn id="16" xr3:uid="{4470F406-3BB0-46C6-9A16-95F0ECE3731C}" name="Modelo" dataDxfId="156"/>
    <tableColumn id="18" xr3:uid="{06236209-8500-4A56-A30F-0341F3474D62}" name="Familia" dataDxfId="155"/>
    <tableColumn id="14" xr3:uid="{082E1387-1F3E-48E7-B22B-F23C1E509880}" name="Link" dataDxfId="154">
      <calculatedColumnFormula>HYPERLINK("https://tecsurpe.sharepoint.com/sites/GestinFlotaEV-Enzo/Documentos%20compartidos/2.-Documentos/Control%20Documentario/SOAT/BZJ-885.pdf","Ver Soat")</calculatedColumnFormula>
    </tableColumn>
    <tableColumn id="10" xr3:uid="{B9E3015B-3F97-4828-9E00-FA64C763AAD5}" name="Póliza_soat" dataDxfId="153"/>
    <tableColumn id="17" xr3:uid="{76F2D6EE-B2D5-475E-A6AE-C63510C29A16}" name="Fecha inicio_soat" dataDxfId="152"/>
    <tableColumn id="15" xr3:uid="{BE2E0483-E2C6-43AC-8642-0A6271C3C9DB}" name="Fecha fin_soat" dataDxfId="151"/>
    <tableColumn id="20" xr3:uid="{DDD1A7E0-4F6F-4F85-BF71-D2AE5C4142C7}" name="Monto_Soat" dataDxfId="150"/>
    <tableColumn id="9" xr3:uid="{47E762F7-5B77-43C7-84DC-8AF87D8F3A1F}" name="Enviado xFinanzas" dataDxfId="149"/>
    <tableColumn id="11" xr3:uid="{FC7B282C-4B62-4FB5-AD0B-3D9A9896309E}" name="Enviado x Seguros" dataDxfId="148"/>
    <tableColumn id="12" xr3:uid="{074FF365-95B2-4AB6-A375-1A80E951E027}" name="Monto S/" dataDxfId="147"/>
    <tableColumn id="13" xr3:uid="{4EBB398D-91F7-45BE-B1F5-4C997292A831}" name="Obs" dataDxfId="146"/>
  </tableColumns>
  <tableStyleInfo name="TableStyleLight10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B913AC-7FBC-4272-8C58-753343DCDEC0}" name="Impuestos44" displayName="Impuestos44" ref="C4:O436" totalsRowShown="0" headerRowDxfId="145">
  <tableColumns count="13">
    <tableColumn id="1" xr3:uid="{C8FE3EEE-30F5-4905-8DD2-A7739255A4C0}" name="Nro" dataDxfId="144">
      <calculatedColumnFormula>CONCATENATE(Impuestos44[[#This Row],[Placa Vehiculo]],Impuestos44[[#This Row],[Vales]])</calculatedColumnFormula>
    </tableColumn>
    <tableColumn id="2" xr3:uid="{A044C32E-A8BB-4DA6-904F-32D63DE0C71D}" name="Placa Vehiculo" dataDxfId="143"/>
    <tableColumn id="3" xr3:uid="{09F37748-D8E0-4CB4-93E2-E82A9FCB0351}" name="Tipo Impuesto" dataDxfId="142"/>
    <tableColumn id="4" xr3:uid="{B67C874D-215C-4D4B-BD1E-BD7776556C9E}" name="Año Impuesto" dataDxfId="141"/>
    <tableColumn id="5" xr3:uid="{5D435EEF-A306-4479-BD76-C7D523A944BB}" name="Impuesto (S/)" dataDxfId="140" dataCellStyle="Millares"/>
    <tableColumn id="6" xr3:uid="{2B2C1CB3-DB16-4225-9533-F996CB3E31A0}" name="Fecha" dataDxfId="139"/>
    <tableColumn id="7" xr3:uid="{F19CD12F-8194-4407-9949-2E22088E4F17}" name="Mes" dataDxfId="138">
      <calculatedColumnFormula>IF(Impuestos44[[#This Row],[Fecha]]="","",MONTH(Impuestos44[[#This Row],[Fecha]]))</calculatedColumnFormula>
    </tableColumn>
    <tableColumn id="8" xr3:uid="{DE48BA8F-7AB8-4557-B99C-CDCDFBA51771}" name="Trimestre" dataDxfId="137"/>
    <tableColumn id="9" xr3:uid="{7DEBA6FF-6B68-424E-99D7-03B5089EDC4A}" name="Motorización" dataDxfId="136"/>
    <tableColumn id="10" xr3:uid="{7591E4E6-E7A9-4449-A1E1-4997D4F1C5F3}" name="Estatus"/>
    <tableColumn id="11" xr3:uid="{8ACD5F6E-4A10-4AF6-8024-344CBBCE5F54}" name="Familia" dataDxfId="135"/>
    <tableColumn id="12" xr3:uid="{87E7FF23-0511-48B3-8142-8FE2926D58D5}" name="Vales" dataDxfId="134"/>
    <tableColumn id="13" xr3:uid="{CECA6EB1-DEF1-4147-8838-3570485327D4}" name="Comprobante" dataDxfId="133">
      <calculatedColumnFormula>IFERROR(VLOOKUP(Impuestos44[[#This Row],[Nro]],[4]Placas!$A:$D,4,0),"")</calculatedColumnFormula>
    </tableColumn>
  </tableColumns>
  <tableStyleInfo name="TableStyleLight10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413E69-9CFD-437A-AB21-1C3B7DBD6E2E}" name="Pólizas" displayName="Pólizas" ref="C7:I10" totalsRowCount="1" headerRowDxfId="132" dataDxfId="131">
  <tableColumns count="7">
    <tableColumn id="1" xr3:uid="{76C33E6A-1245-414B-B686-77CAED9E99AC}" name="c" dataDxfId="130" totalsRowDxfId="129">
      <calculatedColumnFormula>ROW(A1)</calculatedColumnFormula>
    </tableColumn>
    <tableColumn id="3" xr3:uid="{1AA86330-5B15-4984-83E1-B8F3C3672EEF}" name="Detalle" totalsRowLabel="Toda la Flota" dataDxfId="128" totalsRowDxfId="127"/>
    <tableColumn id="4" xr3:uid="{792D8EE8-6898-44C1-A14B-FB6F487DBCC7}" name="Nro de recibo / cuota" dataDxfId="126" totalsRowDxfId="125"/>
    <tableColumn id="8" xr3:uid="{0AB9916B-55BC-430D-83BA-4817564D434B}" name="Fecha de pago" dataDxfId="124" totalsRowDxfId="123" dataCellStyle="Millares"/>
    <tableColumn id="14" xr3:uid="{E52414EA-0C5F-4CF4-8E03-159529100861}" name="Monto a pagar USD (incluye IGV)" totalsRowFunction="custom" dataDxfId="122" totalsRowDxfId="121">
      <calculatedColumnFormula>TEXT(#REF!,"mmmm")</calculatedColumnFormula>
      <totalsRowFormula>SUM(Pólizas[Monto a pagar USD (incluye IGV)])</totalsRowFormula>
    </tableColumn>
    <tableColumn id="20" xr3:uid="{51E5CD41-E7DC-41B6-8DD9-236D03A6A81D}" name="Monto a pagar S/ " totalsRowFunction="custom" dataDxfId="120" totalsRowDxfId="119">
      <calculatedColumnFormula>Pólizas[[#This Row],[Monto a pagar USD (incluye IGV)]]*$F$5</calculatedColumnFormula>
      <totalsRowFormula>SUM(Pólizas[Monto a pagar S/ ])</totalsRowFormula>
    </tableColumn>
    <tableColumn id="2" xr3:uid="{DFE7D407-C212-4111-B754-92D884CBE11D}" name="Obs" dataDxfId="118" totalsRowDxfId="117"/>
  </tableColumns>
  <tableStyleInfo name="TableStyleLight10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B603F3-9C65-49C8-8983-3D0047BCF3BB}" name="Impuestos3225" displayName="Impuestos3225" ref="D6:V161" totalsRowShown="0" headerRowDxfId="116" dataDxfId="115">
  <tableColumns count="19">
    <tableColumn id="1" xr3:uid="{931B6FD4-C12F-4E16-9BB9-B99AAECFF171}" name="Nro" dataDxfId="114">
      <calculatedColumnFormula>ROW(A1)</calculatedColumnFormula>
    </tableColumn>
    <tableColumn id="2" xr3:uid="{55039A17-CBE8-43C5-BE6D-984AB0354898}" name="Placa Vehiculo" dataDxfId="113"/>
    <tableColumn id="15" xr3:uid="{06C0373C-862E-49CE-9850-20F3B4BBFBD8}" name="Motorización" dataDxfId="112"/>
    <tableColumn id="3" xr3:uid="{34FAB2FF-5948-4AB8-92D7-4D5693162016}" name="Marca" dataDxfId="111"/>
    <tableColumn id="4" xr3:uid="{C51E23A4-34B0-4509-80CA-3EF63B66671D}" name="CR" dataDxfId="110"/>
    <tableColumn id="5" xr3:uid="{7ECAC5CF-6C3A-4B90-A582-BE96BDAE9571}" name="Fecha de Activación Ingreso" dataDxfId="109" dataCellStyle="Millares"/>
    <tableColumn id="6" xr3:uid="{57DA231B-825D-4C9D-8EBB-0AEE070E604D}" name="Vida Útil" dataDxfId="108"/>
    <tableColumn id="7" xr3:uid="{98021ECD-5FED-4DEA-9E3B-EE25B3B1B0D3}" name="Tasa  % " dataDxfId="107"/>
    <tableColumn id="8" xr3:uid="{F8EB9B3A-A3A0-4583-B36C-9E1EE6DC735F}" name="Valor Adquisición (S/)" dataDxfId="106"/>
    <tableColumn id="9" xr3:uid="{AD03DB83-5198-4101-AF53-D5B3AE78184A}" name="Depreciación Anual" dataDxfId="105">
      <calculatedColumnFormula>Impuestos3225[[#This Row],[Valor Adquisición (S/)]]*Impuestos3225[[#This Row],[Tasa  % ]]/100</calculatedColumnFormula>
    </tableColumn>
    <tableColumn id="14" xr3:uid="{129C24DB-C564-4AA5-B68A-4035DEB05F94}" name="Depreciación Mensual" dataDxfId="104">
      <calculatedColumnFormula>Impuestos3225[[#This Row],[Depreciación Anual]]/12</calculatedColumnFormula>
    </tableColumn>
    <tableColumn id="10" xr3:uid="{6E3B091A-2DFA-47BC-AE4F-EE25284EFF48}" name="Años Transcurridos" dataDxfId="103">
      <calculatedColumnFormula>ROUNDDOWN((TODAY()-Impuestos3225[[#This Row],[Fecha de Activación Ingreso]])/365, 0)</calculatedColumnFormula>
    </tableColumn>
    <tableColumn id="11" xr3:uid="{FBB01722-47B8-45FE-AB6B-98C7E3992683}" name="Depreciación Acumulada" dataDxfId="102">
      <calculatedColumnFormula>MIN(Impuestos3225[[#This Row],[Depreciación Anual]] * Impuestos3225[[#This Row],[Años Transcurridos]], Impuestos3225[[#This Row],[Valor Adquisición (S/)]])</calculatedColumnFormula>
    </tableColumn>
    <tableColumn id="12" xr3:uid="{128DAA1F-73C8-4167-A4EC-D07BB6D3CB03}" name="Valor Neto Actual" dataDxfId="101">
      <calculatedColumnFormula>MAX(Impuestos3225[[#This Row],[Valor Adquisición (S/)]]-Impuestos3225[[#This Row],[Depreciación Acumulada]], 0)</calculatedColumnFormula>
    </tableColumn>
    <tableColumn id="13" xr3:uid="{6DB198D4-7DD5-40D5-8D4D-6548DB1FA188}" name="Observación" dataDxfId="100">
      <calculatedColumnFormula>IF(Impuestos3225[[#This Row],[Valor Adquisición (S/)]]="","", IF(Impuestos3225[[#This Row],[Valor Neto Actual]]=0,"Veh. Ya no deprecia",""))</calculatedColumnFormula>
    </tableColumn>
    <tableColumn id="16" xr3:uid="{EC74291B-214C-4D1A-8219-CEB09FBDA990}" name="Familia" dataDxfId="99"/>
    <tableColumn id="17" xr3:uid="{90B4237E-1BD0-4DAF-A538-631C5A4765FE}" name="Buscar Monto" dataDxfId="98">
      <calculatedColumnFormula>IFERROR(VLOOKUP(Impuestos3225[[#This Row],[Placa Vehiculo]],$AR$6:$CA$159,26,0),"")</calculatedColumnFormula>
    </tableColumn>
    <tableColumn id="18" xr3:uid="{EEAE2912-F11D-4673-9E0B-9B32E4A1991B}" name="Val" dataDxfId="97">
      <calculatedColumnFormula>IF(Impuestos3225[[#This Row],[Buscar Monto]]=Impuestos3225[[#This Row],[Valor Adquisición (S/)]],"ok","mal")</calculatedColumnFormula>
    </tableColumn>
    <tableColumn id="19" xr3:uid="{CB4CC438-9411-405F-A05A-E16DA7D64FD9}" name="Comentario" dataDxfId="96"/>
  </tableColumns>
  <tableStyleInfo name="TableStyleLight10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10383C-6071-460F-95A9-924BAFC46655}" name="Pólizas48" displayName="Pólizas48" ref="C4:R112" totalsRowShown="0" headerRowDxfId="95" dataDxfId="94">
  <autoFilter ref="C4:R112" xr:uid="{8010383C-6071-460F-95A9-924BAFC46655}"/>
  <tableColumns count="16">
    <tableColumn id="1" xr3:uid="{9BEF46D6-802F-454D-A039-CF27BCF38AFF}" name="ITEM" dataDxfId="93"/>
    <tableColumn id="3" xr3:uid="{CFD1C95D-8127-4969-B39F-1232143B0818}" name="PLACA" dataDxfId="92"/>
    <tableColumn id="4" xr3:uid="{359774A6-8365-44E1-80EF-F4D086BA6999}" name="TIPO" dataDxfId="91"/>
    <tableColumn id="8" xr3:uid="{5123EC13-DF91-445E-B481-938F2594FBA5}" name="PROPIETARIO" dataDxfId="90" dataCellStyle="Millares"/>
    <tableColumn id="6" xr3:uid="{B611BD15-602D-4362-AB37-C38A5496CA3C}" name="Fecha de Emision [RTV]" dataDxfId="89">
      <calculatedColumnFormula>IFERROR(VLOOKUP(Pólizas48[[#This Row],[PLACA]],ITV_LA[#All],8,0),"")</calculatedColumnFormula>
    </tableColumn>
    <tableColumn id="7" xr3:uid="{28D831D4-9C88-40F6-929A-CF26BF604875}" name="Fecha de vencimiento [RTV]" dataDxfId="88">
      <calculatedColumnFormula>IFERROR(VLOOKUP(Pólizas48[[#This Row],[PLACA]],ITV_LA[#All],9,0),"")</calculatedColumnFormula>
    </tableColumn>
    <tableColumn id="9" xr3:uid="{868B84A3-C0EE-4278-A8D4-7D9268AD2F9B}" name="VIGENCIA " dataDxfId="87">
      <calculatedColumnFormula>IFERROR(Pólizas48[[#This Row],[Fecha de vencimiento '[RTV']]]-$I$3,"")</calculatedColumnFormula>
    </tableColumn>
    <tableColumn id="10" xr3:uid="{4AC36AF7-868E-4CA1-9AB2-F6D424F57591}" name="ESTADO" dataDxfId="86">
      <calculatedColumnFormula>IF(Pólizas48[[#This Row],[Fecha de vencimiento '[RTV']]]="","",IF(Pólizas48[[#This Row],[Fecha de vencimiento '[RTV']]]&lt;TODAY(),"Vencido","Vigente"))</calculatedColumnFormula>
    </tableColumn>
    <tableColumn id="11" xr3:uid="{580FF156-0CD4-481F-A7E4-038929DBBCAD}" name="Mes Inicia Pago" dataDxfId="85">
      <calculatedColumnFormula>IFERROR(MONTH(Pólizas48[[#This Row],[Fecha de Emision '[RTV']]]),"")</calculatedColumnFormula>
    </tableColumn>
    <tableColumn id="12" xr3:uid="{DD6C11C2-4611-48AE-8418-2D2D6D715574}" name="Año que Inicia Pagos" dataDxfId="84">
      <calculatedColumnFormula>IFERROR(YEAR(Pólizas48[[#This Row],[Fecha de Emision '[RTV']]]),"")</calculatedColumnFormula>
    </tableColumn>
    <tableColumn id="16" xr3:uid="{F7F0B03E-03F6-4EAA-93AF-580E0B1F093B}" name="Motorización" dataDxfId="83"/>
    <tableColumn id="18" xr3:uid="{57B522EB-0083-4F79-8EEE-928EE10F22B5}" name="Familia" dataDxfId="82"/>
    <tableColumn id="19" xr3:uid="{5F1481DD-0F44-4A02-8648-E71078E55CAD}" name="Categoría" dataDxfId="81"/>
    <tableColumn id="2" xr3:uid="{463B93DA-4C65-4FD1-BC4A-A03C53E81D2B}" name="Inspección" dataDxfId="80">
      <calculatedColumnFormula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calculatedColumnFormula>
    </tableColumn>
    <tableColumn id="5" xr3:uid="{9F6AF08E-C3F6-46DD-86AD-EDF57C1284AF}" name="Precio S/.(CITV)" dataDxfId="79">
      <calculatedColumnFormula>VLOOKUP(Pólizas48[[#This Row],[Categoría]],$BD$4:$BG$8,4,0)</calculatedColumnFormula>
    </tableColumn>
    <tableColumn id="13" xr3:uid="{EED1472A-BB57-4A2F-BF51-36BE127D5860}" name="Prox Insp" dataDxfId="78">
      <calculatedColumnFormula>IF(Pólizas48[[#This Row],[Inspección]]=2024,2025,Pólizas48[[#This Row],[Inspección]])</calculatedColumnFormula>
    </tableColumn>
  </tableColumns>
  <tableStyleInfo name="TableStyleLight10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49A915-549E-4C33-BE6F-227BAB92C345}" name="ITV_LA" displayName="ITV_LA" ref="AL4:BA426" totalsRowShown="0" headerRowDxfId="77" dataDxfId="76">
  <sortState xmlns:xlrd2="http://schemas.microsoft.com/office/spreadsheetml/2017/richdata2" ref="AL5:AZ405">
    <sortCondition ref="AU2:AU405"/>
  </sortState>
  <tableColumns count="16">
    <tableColumn id="3" xr3:uid="{BBF446A6-5951-4959-A54C-9327AF572B73}" name="PLACA" dataDxfId="75"/>
    <tableColumn id="4" xr3:uid="{2F1206C8-DD15-4990-8C59-848CF5614160}" name="TIPO" dataDxfId="74"/>
    <tableColumn id="6" xr3:uid="{166CCF11-93D2-45B5-A6DA-9D3681C79322}" name="PROPIETARIO" dataDxfId="73"/>
    <tableColumn id="2" xr3:uid="{FE9B6B8A-CA6F-45AE-9DE6-115E0C3407CF}" name="Cliente" dataDxfId="72"/>
    <tableColumn id="10" xr3:uid="{87C2DE4A-369E-48FF-9488-C2ABD6892B37}" name="Gerencia" dataDxfId="71"/>
    <tableColumn id="1" xr3:uid="{C5CB6261-76DF-4180-93BC-E59BA515DC24}" name="Área" dataDxfId="70"/>
    <tableColumn id="5" xr3:uid="{F0946A42-2382-4BFA-8AE2-0AB5ABFF1F2A}" name="BASE" dataDxfId="69"/>
    <tableColumn id="7" xr3:uid="{D452565B-EAA9-40D3-9FAE-FCC3B2D6CA79}" name="Fecha de Emision [RTV]" dataDxfId="68"/>
    <tableColumn id="8" xr3:uid="{62D95629-8DDB-4D53-8DF9-10CB15F37295}" name="Fecha de vencimiento [RTV]" dataDxfId="67"/>
    <tableColumn id="27" xr3:uid="{8581B734-4500-46A1-A951-42480A09C95B}" name="VIGENCIA " dataDxfId="66"/>
    <tableColumn id="9" xr3:uid="{E7E0F005-A464-49F5-98FC-32105141763A}" name="ESTADO" dataDxfId="65"/>
    <tableColumn id="13" xr3:uid="{B5019E82-EE86-46EF-88CA-8FCAA131CECE}" name="FECHA DE VENCIMIENTO " dataDxfId="64"/>
    <tableColumn id="28" xr3:uid="{E69F85AD-F88B-4F4C-8DC8-C08321831E66}" name="VIGENCIA [DÍAS]" dataDxfId="63"/>
    <tableColumn id="14" xr3:uid="{C8FF7B5F-59F5-4091-993D-13096621468E}" name="ESTADO2" dataDxfId="62"/>
    <tableColumn id="11" xr3:uid="{2CBD1CFA-60E7-4229-8F35-71EF8642186F}" name="OBSERVACIONES" dataDxfId="61"/>
    <tableColumn id="12" xr3:uid="{20DB9385-2BDB-4955-A18A-E603ED153764}" name="Familia" dataDxfId="60"/>
  </tableColumns>
  <tableStyleInfo name="TableStyleMedium1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5" Type="http://schemas.openxmlformats.org/officeDocument/2006/relationships/comments" Target="../comments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E907-774A-46F9-A582-19C1EADE5118}">
  <sheetPr>
    <tabColor theme="5"/>
  </sheetPr>
  <dimension ref="B1:X163"/>
  <sheetViews>
    <sheetView topLeftCell="A35" zoomScale="70" zoomScaleNormal="70" workbookViewId="0">
      <selection activeCell="I51" sqref="I51"/>
    </sheetView>
  </sheetViews>
  <sheetFormatPr baseColWidth="10" defaultColWidth="11" defaultRowHeight="14" x14ac:dyDescent="0.3"/>
  <cols>
    <col min="1" max="1" width="6.08203125" customWidth="1"/>
    <col min="9" max="9" width="18.08203125" bestFit="1" customWidth="1"/>
    <col min="11" max="11" width="19.58203125" bestFit="1" customWidth="1"/>
  </cols>
  <sheetData>
    <row r="1" spans="2:24" ht="46.5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2:24" ht="15.5" x14ac:dyDescent="0.3">
      <c r="B2" s="1"/>
      <c r="C2" s="2"/>
      <c r="D2" s="2"/>
      <c r="E2" s="2"/>
      <c r="F2" s="2"/>
      <c r="G2" s="2"/>
      <c r="H2" s="2"/>
      <c r="I2" s="2"/>
    </row>
    <row r="3" spans="2:24" x14ac:dyDescent="0.3">
      <c r="B3">
        <v>153.15</v>
      </c>
      <c r="C3">
        <v>153.15</v>
      </c>
      <c r="D3">
        <v>74.733333333333334</v>
      </c>
      <c r="E3">
        <v>153.15</v>
      </c>
      <c r="F3">
        <v>153.15</v>
      </c>
      <c r="G3">
        <v>153.15</v>
      </c>
      <c r="H3">
        <v>153.15</v>
      </c>
      <c r="I3">
        <v>153.15</v>
      </c>
      <c r="N3" s="15"/>
    </row>
    <row r="5" spans="2:24" x14ac:dyDescent="0.3">
      <c r="B5" s="3" t="s">
        <v>9</v>
      </c>
      <c r="C5" s="4">
        <f>SUM(Pólizas43[S/ GPS])</f>
        <v>15510</v>
      </c>
      <c r="D5" t="s">
        <v>10</v>
      </c>
    </row>
    <row r="6" spans="2:24" x14ac:dyDescent="0.3"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18</v>
      </c>
      <c r="T6" s="5" t="s">
        <v>19</v>
      </c>
      <c r="U6" s="5" t="s">
        <v>20</v>
      </c>
      <c r="V6" s="5" t="s">
        <v>21</v>
      </c>
      <c r="W6" s="5" t="s">
        <v>22</v>
      </c>
      <c r="X6" s="6" t="s">
        <v>23</v>
      </c>
    </row>
    <row r="7" spans="2:24" x14ac:dyDescent="0.3">
      <c r="B7" s="7" t="s">
        <v>24</v>
      </c>
      <c r="C7" s="8" t="s">
        <v>25</v>
      </c>
      <c r="D7" s="9" t="s">
        <v>26</v>
      </c>
      <c r="E7" s="10" t="s">
        <v>27</v>
      </c>
      <c r="F7" s="10" t="s">
        <v>28</v>
      </c>
      <c r="G7" s="10" t="s">
        <v>29</v>
      </c>
      <c r="H7" s="10" t="s">
        <v>30</v>
      </c>
      <c r="I7" s="10" t="s">
        <v>31</v>
      </c>
      <c r="K7" s="3" t="s">
        <v>32</v>
      </c>
      <c r="L7">
        <f>SUMIFS(Pólizas43[S/ GPS],Pólizas43[Familia],$K7)</f>
        <v>153</v>
      </c>
      <c r="M7">
        <f>SUMIFS(Pólizas43[S/ GPS],Pólizas43[Familia],$K7)</f>
        <v>153</v>
      </c>
      <c r="N7">
        <f>SUMIFS(Pólizas43[S/ GPS],Pólizas43[Familia],$K7)</f>
        <v>153</v>
      </c>
      <c r="O7">
        <f>SUMIFS(Pólizas43[S/ GPS],Pólizas43[Familia],$K7)</f>
        <v>153</v>
      </c>
      <c r="P7">
        <f>SUMIFS(Pólizas43[S/ GPS],Pólizas43[Familia],$K7)</f>
        <v>153</v>
      </c>
      <c r="Q7">
        <f>SUMIFS(Pólizas43[S/ GPS],Pólizas43[Familia],$K7)</f>
        <v>153</v>
      </c>
      <c r="R7">
        <f>SUMIFS(Pólizas43[S/ GPS],Pólizas43[Familia],$K7)</f>
        <v>153</v>
      </c>
      <c r="S7">
        <f>SUMIFS(Pólizas43[S/ GPS],Pólizas43[Familia],$K7)</f>
        <v>153</v>
      </c>
      <c r="T7">
        <f>SUMIFS(Pólizas43[S/ GPS],Pólizas43[Familia],$K7)</f>
        <v>153</v>
      </c>
      <c r="U7">
        <f>SUMIFS(Pólizas43[S/ GPS],Pólizas43[Familia],$K7)</f>
        <v>153</v>
      </c>
      <c r="V7">
        <f>SUMIFS(Pólizas43[S/ GPS],Pólizas43[Familia],$K7)</f>
        <v>153</v>
      </c>
      <c r="W7">
        <f>SUMIFS(Pólizas43[S/ GPS],Pólizas43[Familia],$K7)</f>
        <v>153</v>
      </c>
      <c r="X7">
        <f>SUM(L7:W7)</f>
        <v>1836</v>
      </c>
    </row>
    <row r="8" spans="2:24" x14ac:dyDescent="0.3">
      <c r="B8" s="7" t="s">
        <v>33</v>
      </c>
      <c r="C8" s="8" t="s">
        <v>34</v>
      </c>
      <c r="D8" s="9" t="s">
        <v>35</v>
      </c>
      <c r="E8" s="10" t="s">
        <v>36</v>
      </c>
      <c r="F8" s="10" t="s">
        <v>37</v>
      </c>
      <c r="G8" s="10" t="s">
        <v>38</v>
      </c>
      <c r="H8" s="10">
        <v>153</v>
      </c>
      <c r="I8" s="10" t="s">
        <v>39</v>
      </c>
      <c r="K8" s="3" t="s">
        <v>40</v>
      </c>
      <c r="L8">
        <f>SUMIFS(Pólizas43[S/ GPS],Pólizas43[Familia],$K8)</f>
        <v>900</v>
      </c>
      <c r="M8">
        <f>SUMIFS(Pólizas43[S/ GPS],Pólizas43[Familia],$K8)</f>
        <v>900</v>
      </c>
      <c r="N8">
        <f>SUMIFS(Pólizas43[S/ GPS],Pólizas43[Familia],$K8)</f>
        <v>900</v>
      </c>
      <c r="O8">
        <f>SUMIFS(Pólizas43[S/ GPS],Pólizas43[Familia],$K8)</f>
        <v>900</v>
      </c>
      <c r="P8">
        <f>SUMIFS(Pólizas43[S/ GPS],Pólizas43[Familia],$K8)</f>
        <v>900</v>
      </c>
      <c r="Q8">
        <f>SUMIFS(Pólizas43[S/ GPS],Pólizas43[Familia],$K8)</f>
        <v>900</v>
      </c>
      <c r="R8">
        <f>SUMIFS(Pólizas43[S/ GPS],Pólizas43[Familia],$K8)</f>
        <v>900</v>
      </c>
      <c r="S8">
        <f>SUMIFS(Pólizas43[S/ GPS],Pólizas43[Familia],$K8)</f>
        <v>900</v>
      </c>
      <c r="T8">
        <f>SUMIFS(Pólizas43[S/ GPS],Pólizas43[Familia],$K8)</f>
        <v>900</v>
      </c>
      <c r="U8">
        <f>SUMIFS(Pólizas43[S/ GPS],Pólizas43[Familia],$K8)</f>
        <v>900</v>
      </c>
      <c r="V8">
        <f>SUMIFS(Pólizas43[S/ GPS],Pólizas43[Familia],$K8)</f>
        <v>900</v>
      </c>
      <c r="W8">
        <f>SUMIFS(Pólizas43[S/ GPS],Pólizas43[Familia],$K8)</f>
        <v>900</v>
      </c>
      <c r="X8">
        <f t="shared" ref="X8:X17" si="0">SUM(L8:W8)</f>
        <v>10800</v>
      </c>
    </row>
    <row r="9" spans="2:24" x14ac:dyDescent="0.3">
      <c r="B9" s="7" t="s">
        <v>41</v>
      </c>
      <c r="C9" s="11" t="s">
        <v>34</v>
      </c>
      <c r="D9" s="12" t="s">
        <v>42</v>
      </c>
      <c r="E9" s="10" t="s">
        <v>43</v>
      </c>
      <c r="F9" s="10" t="s">
        <v>37</v>
      </c>
      <c r="G9" s="10" t="s">
        <v>44</v>
      </c>
      <c r="H9" s="10">
        <v>153</v>
      </c>
      <c r="I9" s="10" t="s">
        <v>45</v>
      </c>
      <c r="K9" s="3" t="s">
        <v>46</v>
      </c>
      <c r="L9">
        <f>SUMIFS(Pólizas43[S/ GPS],Pólizas43[Familia],$K9)</f>
        <v>75</v>
      </c>
      <c r="M9">
        <f>SUMIFS(Pólizas43[S/ GPS],Pólizas43[Familia],$K9)</f>
        <v>75</v>
      </c>
      <c r="N9">
        <f>SUMIFS(Pólizas43[S/ GPS],Pólizas43[Familia],$K9)</f>
        <v>75</v>
      </c>
      <c r="O9">
        <f>SUMIFS(Pólizas43[S/ GPS],Pólizas43[Familia],$K9)</f>
        <v>75</v>
      </c>
      <c r="P9">
        <f>SUMIFS(Pólizas43[S/ GPS],Pólizas43[Familia],$K9)</f>
        <v>75</v>
      </c>
      <c r="Q9">
        <f>SUMIFS(Pólizas43[S/ GPS],Pólizas43[Familia],$K9)</f>
        <v>75</v>
      </c>
      <c r="R9">
        <f>SUMIFS(Pólizas43[S/ GPS],Pólizas43[Familia],$K9)</f>
        <v>75</v>
      </c>
      <c r="S9">
        <f>SUMIFS(Pólizas43[S/ GPS],Pólizas43[Familia],$K9)</f>
        <v>75</v>
      </c>
      <c r="T9">
        <f>SUMIFS(Pólizas43[S/ GPS],Pólizas43[Familia],$K9)</f>
        <v>75</v>
      </c>
      <c r="U9">
        <f>SUMIFS(Pólizas43[S/ GPS],Pólizas43[Familia],$K9)</f>
        <v>75</v>
      </c>
      <c r="V9">
        <f>SUMIFS(Pólizas43[S/ GPS],Pólizas43[Familia],$K9)</f>
        <v>75</v>
      </c>
      <c r="W9">
        <f>SUMIFS(Pólizas43[S/ GPS],Pólizas43[Familia],$K9)</f>
        <v>75</v>
      </c>
      <c r="X9">
        <f t="shared" si="0"/>
        <v>900</v>
      </c>
    </row>
    <row r="10" spans="2:24" x14ac:dyDescent="0.3">
      <c r="B10" s="7" t="s">
        <v>47</v>
      </c>
      <c r="C10" s="11" t="s">
        <v>34</v>
      </c>
      <c r="D10" s="12" t="s">
        <v>42</v>
      </c>
      <c r="E10" s="10" t="s">
        <v>43</v>
      </c>
      <c r="F10" s="10" t="s">
        <v>37</v>
      </c>
      <c r="G10" s="10" t="s">
        <v>44</v>
      </c>
      <c r="H10" s="10">
        <v>153</v>
      </c>
      <c r="I10" s="10" t="s">
        <v>45</v>
      </c>
      <c r="K10" s="3" t="s">
        <v>48</v>
      </c>
      <c r="L10">
        <f>SUMIFS(Pólizas43[S/ GPS],Pólizas43[Familia],$K10)</f>
        <v>5814</v>
      </c>
      <c r="M10">
        <f>SUMIFS(Pólizas43[S/ GPS],Pólizas43[Familia],$K10)</f>
        <v>5814</v>
      </c>
      <c r="N10">
        <f>SUMIFS(Pólizas43[S/ GPS],Pólizas43[Familia],$K10)</f>
        <v>5814</v>
      </c>
      <c r="O10">
        <f>SUMIFS(Pólizas43[S/ GPS],Pólizas43[Familia],$K10)</f>
        <v>5814</v>
      </c>
      <c r="P10">
        <f>SUMIFS(Pólizas43[S/ GPS],Pólizas43[Familia],$K10)</f>
        <v>5814</v>
      </c>
      <c r="Q10">
        <f>SUMIFS(Pólizas43[S/ GPS],Pólizas43[Familia],$K10)</f>
        <v>5814</v>
      </c>
      <c r="R10">
        <f>SUMIFS(Pólizas43[S/ GPS],Pólizas43[Familia],$K10)</f>
        <v>5814</v>
      </c>
      <c r="S10">
        <f>SUMIFS(Pólizas43[S/ GPS],Pólizas43[Familia],$K10)</f>
        <v>5814</v>
      </c>
      <c r="T10">
        <f>SUMIFS(Pólizas43[S/ GPS],Pólizas43[Familia],$K10)</f>
        <v>5814</v>
      </c>
      <c r="U10">
        <f>SUMIFS(Pólizas43[S/ GPS],Pólizas43[Familia],$K10)</f>
        <v>5814</v>
      </c>
      <c r="V10">
        <f>SUMIFS(Pólizas43[S/ GPS],Pólizas43[Familia],$K10)</f>
        <v>5814</v>
      </c>
      <c r="W10">
        <f>SUMIFS(Pólizas43[S/ GPS],Pólizas43[Familia],$K10)</f>
        <v>5814</v>
      </c>
      <c r="X10">
        <f t="shared" si="0"/>
        <v>69768</v>
      </c>
    </row>
    <row r="11" spans="2:24" x14ac:dyDescent="0.3">
      <c r="B11" s="7" t="s">
        <v>49</v>
      </c>
      <c r="C11" s="11" t="s">
        <v>34</v>
      </c>
      <c r="D11" s="12" t="s">
        <v>42</v>
      </c>
      <c r="E11" s="10" t="s">
        <v>43</v>
      </c>
      <c r="F11" s="10" t="s">
        <v>37</v>
      </c>
      <c r="G11" s="10" t="s">
        <v>44</v>
      </c>
      <c r="H11" s="10">
        <v>153</v>
      </c>
      <c r="I11" s="10" t="s">
        <v>45</v>
      </c>
      <c r="K11" s="3" t="s">
        <v>45</v>
      </c>
      <c r="L11">
        <f>SUMIFS(Pólizas43[S/ GPS],Pólizas43[Familia],$K11)</f>
        <v>1224</v>
      </c>
      <c r="M11">
        <f>SUMIFS(Pólizas43[S/ GPS],Pólizas43[Familia],$K11)</f>
        <v>1224</v>
      </c>
      <c r="N11">
        <f>SUMIFS(Pólizas43[S/ GPS],Pólizas43[Familia],$K11)</f>
        <v>1224</v>
      </c>
      <c r="O11">
        <f>SUMIFS(Pólizas43[S/ GPS],Pólizas43[Familia],$K11)</f>
        <v>1224</v>
      </c>
      <c r="P11">
        <f>SUMIFS(Pólizas43[S/ GPS],Pólizas43[Familia],$K11)</f>
        <v>1224</v>
      </c>
      <c r="Q11">
        <f>SUMIFS(Pólizas43[S/ GPS],Pólizas43[Familia],$K11)</f>
        <v>1224</v>
      </c>
      <c r="R11">
        <f>SUMIFS(Pólizas43[S/ GPS],Pólizas43[Familia],$K11)</f>
        <v>1224</v>
      </c>
      <c r="S11">
        <f>SUMIFS(Pólizas43[S/ GPS],Pólizas43[Familia],$K11)</f>
        <v>1224</v>
      </c>
      <c r="T11">
        <f>SUMIFS(Pólizas43[S/ GPS],Pólizas43[Familia],$K11)</f>
        <v>1224</v>
      </c>
      <c r="U11">
        <f>SUMIFS(Pólizas43[S/ GPS],Pólizas43[Familia],$K11)</f>
        <v>1224</v>
      </c>
      <c r="V11">
        <f>SUMIFS(Pólizas43[S/ GPS],Pólizas43[Familia],$K11)</f>
        <v>1224</v>
      </c>
      <c r="W11">
        <f>SUMIFS(Pólizas43[S/ GPS],Pólizas43[Familia],$K11)</f>
        <v>1224</v>
      </c>
      <c r="X11">
        <f t="shared" si="0"/>
        <v>14688</v>
      </c>
    </row>
    <row r="12" spans="2:24" ht="28" x14ac:dyDescent="0.3">
      <c r="B12" s="7" t="s">
        <v>50</v>
      </c>
      <c r="C12" s="8" t="s">
        <v>34</v>
      </c>
      <c r="D12" s="13" t="s">
        <v>42</v>
      </c>
      <c r="E12" s="10" t="s">
        <v>43</v>
      </c>
      <c r="F12" s="10" t="s">
        <v>37</v>
      </c>
      <c r="G12" s="10" t="s">
        <v>44</v>
      </c>
      <c r="H12" s="10">
        <v>153</v>
      </c>
      <c r="I12" s="10" t="s">
        <v>45</v>
      </c>
      <c r="K12" s="3" t="s">
        <v>39</v>
      </c>
      <c r="L12">
        <f>SUMIFS(Pólizas43[S/ GPS],Pólizas43[Familia],$K12)</f>
        <v>153</v>
      </c>
      <c r="M12">
        <f>SUMIFS(Pólizas43[S/ GPS],Pólizas43[Familia],$K12)</f>
        <v>153</v>
      </c>
      <c r="N12">
        <f>SUMIFS(Pólizas43[S/ GPS],Pólizas43[Familia],$K12)</f>
        <v>153</v>
      </c>
      <c r="O12">
        <f>SUMIFS(Pólizas43[S/ GPS],Pólizas43[Familia],$K12)</f>
        <v>153</v>
      </c>
      <c r="P12">
        <f>SUMIFS(Pólizas43[S/ GPS],Pólizas43[Familia],$K12)</f>
        <v>153</v>
      </c>
      <c r="Q12">
        <f>SUMIFS(Pólizas43[S/ GPS],Pólizas43[Familia],$K12)</f>
        <v>153</v>
      </c>
      <c r="R12">
        <f>SUMIFS(Pólizas43[S/ GPS],Pólizas43[Familia],$K12)</f>
        <v>153</v>
      </c>
      <c r="S12">
        <f>SUMIFS(Pólizas43[S/ GPS],Pólizas43[Familia],$K12)</f>
        <v>153</v>
      </c>
      <c r="T12">
        <f>SUMIFS(Pólizas43[S/ GPS],Pólizas43[Familia],$K12)</f>
        <v>153</v>
      </c>
      <c r="U12">
        <f>SUMIFS(Pólizas43[S/ GPS],Pólizas43[Familia],$K12)</f>
        <v>153</v>
      </c>
      <c r="V12">
        <f>SUMIFS(Pólizas43[S/ GPS],Pólizas43[Familia],$K12)</f>
        <v>153</v>
      </c>
      <c r="W12">
        <f>SUMIFS(Pólizas43[S/ GPS],Pólizas43[Familia],$K12)</f>
        <v>153</v>
      </c>
      <c r="X12">
        <f t="shared" si="0"/>
        <v>1836</v>
      </c>
    </row>
    <row r="13" spans="2:24" x14ac:dyDescent="0.3">
      <c r="B13" s="7" t="s">
        <v>51</v>
      </c>
      <c r="C13" s="8" t="s">
        <v>34</v>
      </c>
      <c r="D13" s="13" t="s">
        <v>42</v>
      </c>
      <c r="E13" s="10" t="s">
        <v>43</v>
      </c>
      <c r="F13" s="10" t="s">
        <v>37</v>
      </c>
      <c r="G13" s="10" t="s">
        <v>44</v>
      </c>
      <c r="H13" s="10">
        <v>153</v>
      </c>
      <c r="I13" s="10" t="s">
        <v>45</v>
      </c>
      <c r="K13" s="3" t="s">
        <v>52</v>
      </c>
      <c r="L13">
        <f>SUMIFS(Pólizas43[S/ GPS],Pólizas43[Familia],$K13)</f>
        <v>153</v>
      </c>
      <c r="M13">
        <f>SUMIFS(Pólizas43[S/ GPS],Pólizas43[Familia],$K13)</f>
        <v>153</v>
      </c>
      <c r="N13">
        <f>SUMIFS(Pólizas43[S/ GPS],Pólizas43[Familia],$K13)</f>
        <v>153</v>
      </c>
      <c r="O13">
        <f>SUMIFS(Pólizas43[S/ GPS],Pólizas43[Familia],$K13)</f>
        <v>153</v>
      </c>
      <c r="P13">
        <f>SUMIFS(Pólizas43[S/ GPS],Pólizas43[Familia],$K13)</f>
        <v>153</v>
      </c>
      <c r="Q13">
        <f>SUMIFS(Pólizas43[S/ GPS],Pólizas43[Familia],$K13)</f>
        <v>153</v>
      </c>
      <c r="R13">
        <f>SUMIFS(Pólizas43[S/ GPS],Pólizas43[Familia],$K13)</f>
        <v>153</v>
      </c>
      <c r="S13">
        <f>SUMIFS(Pólizas43[S/ GPS],Pólizas43[Familia],$K13)</f>
        <v>153</v>
      </c>
      <c r="T13">
        <f>SUMIFS(Pólizas43[S/ GPS],Pólizas43[Familia],$K13)</f>
        <v>153</v>
      </c>
      <c r="U13">
        <f>SUMIFS(Pólizas43[S/ GPS],Pólizas43[Familia],$K13)</f>
        <v>153</v>
      </c>
      <c r="V13">
        <f>SUMIFS(Pólizas43[S/ GPS],Pólizas43[Familia],$K13)</f>
        <v>153</v>
      </c>
      <c r="W13">
        <f>SUMIFS(Pólizas43[S/ GPS],Pólizas43[Familia],$K13)</f>
        <v>153</v>
      </c>
      <c r="X13">
        <f t="shared" si="0"/>
        <v>1836</v>
      </c>
    </row>
    <row r="14" spans="2:24" x14ac:dyDescent="0.3">
      <c r="B14" s="7" t="s">
        <v>53</v>
      </c>
      <c r="C14" s="8" t="s">
        <v>34</v>
      </c>
      <c r="D14" s="13" t="s">
        <v>42</v>
      </c>
      <c r="E14" s="10" t="s">
        <v>43</v>
      </c>
      <c r="F14" s="10" t="s">
        <v>37</v>
      </c>
      <c r="G14" s="10" t="s">
        <v>44</v>
      </c>
      <c r="H14" s="10">
        <v>153</v>
      </c>
      <c r="I14" s="10" t="s">
        <v>45</v>
      </c>
      <c r="K14" s="3" t="s">
        <v>54</v>
      </c>
      <c r="L14">
        <f>SUMIFS(Pólizas43[S/ GPS],Pólizas43[Familia],$K14)</f>
        <v>5508</v>
      </c>
      <c r="M14">
        <f>SUMIFS(Pólizas43[S/ GPS],Pólizas43[Familia],$K14)</f>
        <v>5508</v>
      </c>
      <c r="N14">
        <f>SUMIFS(Pólizas43[S/ GPS],Pólizas43[Familia],$K14)</f>
        <v>5508</v>
      </c>
      <c r="O14">
        <f>SUMIFS(Pólizas43[S/ GPS],Pólizas43[Familia],$K14)</f>
        <v>5508</v>
      </c>
      <c r="P14">
        <f>SUMIFS(Pólizas43[S/ GPS],Pólizas43[Familia],$K14)</f>
        <v>5508</v>
      </c>
      <c r="Q14">
        <f>SUMIFS(Pólizas43[S/ GPS],Pólizas43[Familia],$K14)</f>
        <v>5508</v>
      </c>
      <c r="R14">
        <f>SUMIFS(Pólizas43[S/ GPS],Pólizas43[Familia],$K14)</f>
        <v>5508</v>
      </c>
      <c r="S14">
        <f>SUMIFS(Pólizas43[S/ GPS],Pólizas43[Familia],$K14)</f>
        <v>5508</v>
      </c>
      <c r="T14">
        <f>SUMIFS(Pólizas43[S/ GPS],Pólizas43[Familia],$K14)</f>
        <v>5508</v>
      </c>
      <c r="U14">
        <f>SUMIFS(Pólizas43[S/ GPS],Pólizas43[Familia],$K14)</f>
        <v>5508</v>
      </c>
      <c r="V14">
        <f>SUMIFS(Pólizas43[S/ GPS],Pólizas43[Familia],$K14)</f>
        <v>5508</v>
      </c>
      <c r="W14">
        <f>SUMIFS(Pólizas43[S/ GPS],Pólizas43[Familia],$K14)</f>
        <v>5508</v>
      </c>
      <c r="X14">
        <f t="shared" si="0"/>
        <v>66096</v>
      </c>
    </row>
    <row r="15" spans="2:24" x14ac:dyDescent="0.3">
      <c r="B15" s="7" t="s">
        <v>55</v>
      </c>
      <c r="C15" s="8" t="s">
        <v>34</v>
      </c>
      <c r="D15" s="13" t="s">
        <v>42</v>
      </c>
      <c r="E15" s="10" t="s">
        <v>43</v>
      </c>
      <c r="F15" s="10" t="s">
        <v>37</v>
      </c>
      <c r="G15" s="10" t="s">
        <v>44</v>
      </c>
      <c r="H15" s="10">
        <v>153</v>
      </c>
      <c r="I15" s="10" t="s">
        <v>45</v>
      </c>
      <c r="K15" s="3" t="s">
        <v>56</v>
      </c>
      <c r="L15">
        <f>SUMIFS(Pólizas43[S/ GPS],Pólizas43[Familia],$K15)</f>
        <v>306</v>
      </c>
      <c r="M15">
        <f>SUMIFS(Pólizas43[S/ GPS],Pólizas43[Familia],$K15)</f>
        <v>306</v>
      </c>
      <c r="N15">
        <f>SUMIFS(Pólizas43[S/ GPS],Pólizas43[Familia],$K15)</f>
        <v>306</v>
      </c>
      <c r="O15">
        <f>SUMIFS(Pólizas43[S/ GPS],Pólizas43[Familia],$K15)</f>
        <v>306</v>
      </c>
      <c r="P15">
        <f>SUMIFS(Pólizas43[S/ GPS],Pólizas43[Familia],$K15)</f>
        <v>306</v>
      </c>
      <c r="Q15">
        <f>SUMIFS(Pólizas43[S/ GPS],Pólizas43[Familia],$K15)</f>
        <v>306</v>
      </c>
      <c r="R15">
        <f>SUMIFS(Pólizas43[S/ GPS],Pólizas43[Familia],$K15)</f>
        <v>306</v>
      </c>
      <c r="S15">
        <f>SUMIFS(Pólizas43[S/ GPS],Pólizas43[Familia],$K15)</f>
        <v>306</v>
      </c>
      <c r="T15">
        <f>SUMIFS(Pólizas43[S/ GPS],Pólizas43[Familia],$K15)</f>
        <v>306</v>
      </c>
      <c r="U15">
        <f>SUMIFS(Pólizas43[S/ GPS],Pólizas43[Familia],$K15)</f>
        <v>306</v>
      </c>
      <c r="V15">
        <f>SUMIFS(Pólizas43[S/ GPS],Pólizas43[Familia],$K15)</f>
        <v>306</v>
      </c>
      <c r="W15">
        <f>SUMIFS(Pólizas43[S/ GPS],Pólizas43[Familia],$K15)</f>
        <v>306</v>
      </c>
      <c r="X15">
        <f t="shared" si="0"/>
        <v>3672</v>
      </c>
    </row>
    <row r="16" spans="2:24" x14ac:dyDescent="0.3">
      <c r="B16" s="7" t="s">
        <v>57</v>
      </c>
      <c r="C16" s="8" t="s">
        <v>34</v>
      </c>
      <c r="D16" s="13" t="s">
        <v>42</v>
      </c>
      <c r="E16" s="10" t="s">
        <v>43</v>
      </c>
      <c r="F16" s="10" t="s">
        <v>37</v>
      </c>
      <c r="G16" s="10" t="s">
        <v>44</v>
      </c>
      <c r="H16" s="10">
        <v>153</v>
      </c>
      <c r="I16" s="10" t="s">
        <v>45</v>
      </c>
      <c r="K16" s="3" t="s">
        <v>58</v>
      </c>
      <c r="L16">
        <f>SUMIFS(Pólizas43[S/ GPS],Pólizas43[Familia],$K16)</f>
        <v>1224</v>
      </c>
      <c r="M16">
        <f>SUMIFS(Pólizas43[S/ GPS],Pólizas43[Familia],$K16)</f>
        <v>1224</v>
      </c>
      <c r="N16">
        <f>SUMIFS(Pólizas43[S/ GPS],Pólizas43[Familia],$K16)</f>
        <v>1224</v>
      </c>
      <c r="O16">
        <f>SUMIFS(Pólizas43[S/ GPS],Pólizas43[Familia],$K16)</f>
        <v>1224</v>
      </c>
      <c r="P16">
        <f>SUMIFS(Pólizas43[S/ GPS],Pólizas43[Familia],$K16)</f>
        <v>1224</v>
      </c>
      <c r="Q16">
        <f>SUMIFS(Pólizas43[S/ GPS],Pólizas43[Familia],$K16)</f>
        <v>1224</v>
      </c>
      <c r="R16">
        <f>SUMIFS(Pólizas43[S/ GPS],Pólizas43[Familia],$K16)</f>
        <v>1224</v>
      </c>
      <c r="S16">
        <f>SUMIFS(Pólizas43[S/ GPS],Pólizas43[Familia],$K16)</f>
        <v>1224</v>
      </c>
      <c r="T16">
        <f>SUMIFS(Pólizas43[S/ GPS],Pólizas43[Familia],$K16)</f>
        <v>1224</v>
      </c>
      <c r="U16">
        <f>SUMIFS(Pólizas43[S/ GPS],Pólizas43[Familia],$K16)</f>
        <v>1224</v>
      </c>
      <c r="V16">
        <f>SUMIFS(Pólizas43[S/ GPS],Pólizas43[Familia],$K16)</f>
        <v>1224</v>
      </c>
      <c r="W16">
        <f>SUMIFS(Pólizas43[S/ GPS],Pólizas43[Familia],$K16)</f>
        <v>1224</v>
      </c>
      <c r="X16">
        <f t="shared" si="0"/>
        <v>14688</v>
      </c>
    </row>
    <row r="17" spans="2:24" x14ac:dyDescent="0.3">
      <c r="B17" s="7" t="s">
        <v>59</v>
      </c>
      <c r="C17" s="8" t="s">
        <v>34</v>
      </c>
      <c r="D17" s="13" t="s">
        <v>60</v>
      </c>
      <c r="E17" s="10" t="s">
        <v>36</v>
      </c>
      <c r="F17" s="10" t="s">
        <v>37</v>
      </c>
      <c r="G17" s="10" t="s">
        <v>61</v>
      </c>
      <c r="H17" s="10">
        <v>153</v>
      </c>
      <c r="I17" s="10" t="s">
        <v>58</v>
      </c>
      <c r="K17" s="14" t="s">
        <v>23</v>
      </c>
      <c r="L17">
        <f>SUM(L7:L16)</f>
        <v>15510</v>
      </c>
      <c r="M17">
        <f t="shared" ref="M17:W17" si="1">SUM(M7:M16)</f>
        <v>15510</v>
      </c>
      <c r="N17">
        <f t="shared" si="1"/>
        <v>15510</v>
      </c>
      <c r="O17">
        <f t="shared" si="1"/>
        <v>15510</v>
      </c>
      <c r="P17">
        <f t="shared" si="1"/>
        <v>15510</v>
      </c>
      <c r="Q17">
        <f t="shared" si="1"/>
        <v>15510</v>
      </c>
      <c r="R17">
        <f t="shared" si="1"/>
        <v>15510</v>
      </c>
      <c r="S17">
        <f t="shared" si="1"/>
        <v>15510</v>
      </c>
      <c r="T17">
        <f t="shared" si="1"/>
        <v>15510</v>
      </c>
      <c r="U17">
        <f t="shared" si="1"/>
        <v>15510</v>
      </c>
      <c r="V17">
        <f t="shared" si="1"/>
        <v>15510</v>
      </c>
      <c r="W17">
        <f t="shared" si="1"/>
        <v>15510</v>
      </c>
      <c r="X17" s="15">
        <f t="shared" si="0"/>
        <v>186120</v>
      </c>
    </row>
    <row r="18" spans="2:24" x14ac:dyDescent="0.3">
      <c r="B18" s="7" t="s">
        <v>62</v>
      </c>
      <c r="C18" s="8" t="s">
        <v>34</v>
      </c>
      <c r="D18" s="13" t="s">
        <v>60</v>
      </c>
      <c r="E18" s="10" t="s">
        <v>36</v>
      </c>
      <c r="F18" s="10" t="s">
        <v>37</v>
      </c>
      <c r="G18" s="10" t="s">
        <v>61</v>
      </c>
      <c r="H18" s="10">
        <v>153</v>
      </c>
      <c r="I18" s="10" t="s">
        <v>58</v>
      </c>
    </row>
    <row r="19" spans="2:24" x14ac:dyDescent="0.3">
      <c r="B19" s="7" t="s">
        <v>63</v>
      </c>
      <c r="C19" s="8" t="s">
        <v>34</v>
      </c>
      <c r="D19" s="13" t="s">
        <v>60</v>
      </c>
      <c r="E19" s="10" t="s">
        <v>36</v>
      </c>
      <c r="F19" s="10" t="s">
        <v>37</v>
      </c>
      <c r="G19" s="10" t="s">
        <v>61</v>
      </c>
      <c r="H19" s="10">
        <v>153</v>
      </c>
      <c r="I19" s="10" t="s">
        <v>58</v>
      </c>
    </row>
    <row r="20" spans="2:24" x14ac:dyDescent="0.3">
      <c r="B20" s="7" t="s">
        <v>64</v>
      </c>
      <c r="C20" s="8" t="s">
        <v>34</v>
      </c>
      <c r="D20" s="13" t="s">
        <v>60</v>
      </c>
      <c r="E20" s="10" t="s">
        <v>36</v>
      </c>
      <c r="F20" s="10" t="s">
        <v>37</v>
      </c>
      <c r="G20" s="10" t="s">
        <v>61</v>
      </c>
      <c r="H20" s="10">
        <v>153</v>
      </c>
      <c r="I20" s="10" t="s">
        <v>58</v>
      </c>
    </row>
    <row r="21" spans="2:24" x14ac:dyDescent="0.3">
      <c r="B21" s="7" t="s">
        <v>65</v>
      </c>
      <c r="C21" s="8" t="s">
        <v>34</v>
      </c>
      <c r="D21" s="13" t="s">
        <v>60</v>
      </c>
      <c r="E21" s="10" t="s">
        <v>36</v>
      </c>
      <c r="F21" s="10" t="s">
        <v>37</v>
      </c>
      <c r="G21" s="10" t="s">
        <v>61</v>
      </c>
      <c r="H21" s="10">
        <v>153</v>
      </c>
      <c r="I21" s="10" t="s">
        <v>58</v>
      </c>
      <c r="K21" s="16" t="s">
        <v>66</v>
      </c>
    </row>
    <row r="22" spans="2:24" x14ac:dyDescent="0.3">
      <c r="B22" s="7" t="s">
        <v>67</v>
      </c>
      <c r="C22" s="8" t="s">
        <v>34</v>
      </c>
      <c r="D22" s="13" t="s">
        <v>60</v>
      </c>
      <c r="E22" s="10" t="s">
        <v>36</v>
      </c>
      <c r="F22" s="10" t="s">
        <v>37</v>
      </c>
      <c r="G22" s="10" t="s">
        <v>61</v>
      </c>
      <c r="H22" s="10">
        <v>153</v>
      </c>
      <c r="I22" s="10" t="s">
        <v>58</v>
      </c>
    </row>
    <row r="23" spans="2:24" x14ac:dyDescent="0.3">
      <c r="B23" s="7" t="s">
        <v>68</v>
      </c>
      <c r="C23" s="8" t="s">
        <v>34</v>
      </c>
      <c r="D23" s="13" t="s">
        <v>60</v>
      </c>
      <c r="E23" s="10" t="s">
        <v>36</v>
      </c>
      <c r="F23" s="10" t="s">
        <v>37</v>
      </c>
      <c r="G23" s="10" t="s">
        <v>61</v>
      </c>
      <c r="H23" s="10">
        <v>153</v>
      </c>
      <c r="I23" s="10" t="s">
        <v>58</v>
      </c>
    </row>
    <row r="24" spans="2:24" x14ac:dyDescent="0.3">
      <c r="B24" s="7" t="s">
        <v>8</v>
      </c>
      <c r="C24" s="8" t="s">
        <v>34</v>
      </c>
      <c r="D24" s="13" t="s">
        <v>60</v>
      </c>
      <c r="E24" s="10" t="s">
        <v>36</v>
      </c>
      <c r="F24" s="10" t="s">
        <v>37</v>
      </c>
      <c r="G24" s="10" t="s">
        <v>61</v>
      </c>
      <c r="H24" s="10">
        <v>153</v>
      </c>
      <c r="I24" s="10" t="s">
        <v>58</v>
      </c>
    </row>
    <row r="25" spans="2:24" x14ac:dyDescent="0.3">
      <c r="B25" s="7" t="s">
        <v>69</v>
      </c>
      <c r="C25" s="8" t="s">
        <v>34</v>
      </c>
      <c r="D25" s="13" t="s">
        <v>70</v>
      </c>
      <c r="E25" s="10" t="s">
        <v>36</v>
      </c>
      <c r="F25" s="10" t="s">
        <v>37</v>
      </c>
      <c r="G25" s="10" t="s">
        <v>71</v>
      </c>
      <c r="H25" s="10">
        <v>153</v>
      </c>
      <c r="I25" s="10" t="s">
        <v>52</v>
      </c>
    </row>
    <row r="26" spans="2:24" x14ac:dyDescent="0.3">
      <c r="B26" s="7" t="s">
        <v>72</v>
      </c>
      <c r="C26" s="8" t="s">
        <v>34</v>
      </c>
      <c r="D26" s="13" t="s">
        <v>73</v>
      </c>
      <c r="E26" s="10" t="s">
        <v>36</v>
      </c>
      <c r="F26" s="10" t="s">
        <v>37</v>
      </c>
      <c r="G26" s="10" t="s">
        <v>71</v>
      </c>
      <c r="H26" s="10">
        <v>153</v>
      </c>
      <c r="I26" s="10" t="s">
        <v>54</v>
      </c>
    </row>
    <row r="27" spans="2:24" x14ac:dyDescent="0.3">
      <c r="B27" s="7" t="s">
        <v>74</v>
      </c>
      <c r="C27" s="8" t="s">
        <v>34</v>
      </c>
      <c r="D27" s="13" t="s">
        <v>73</v>
      </c>
      <c r="E27" s="10" t="s">
        <v>36</v>
      </c>
      <c r="F27" s="10" t="s">
        <v>37</v>
      </c>
      <c r="G27" s="10" t="s">
        <v>71</v>
      </c>
      <c r="H27" s="10">
        <v>153</v>
      </c>
      <c r="I27" s="10" t="s">
        <v>54</v>
      </c>
    </row>
    <row r="28" spans="2:24" x14ac:dyDescent="0.3">
      <c r="B28" s="7" t="s">
        <v>75</v>
      </c>
      <c r="C28" s="8" t="s">
        <v>34</v>
      </c>
      <c r="D28" s="13" t="s">
        <v>73</v>
      </c>
      <c r="E28" s="10" t="s">
        <v>36</v>
      </c>
      <c r="F28" s="10" t="s">
        <v>37</v>
      </c>
      <c r="G28" s="10" t="s">
        <v>71</v>
      </c>
      <c r="H28" s="10">
        <v>153</v>
      </c>
      <c r="I28" s="10" t="s">
        <v>54</v>
      </c>
    </row>
    <row r="29" spans="2:24" x14ac:dyDescent="0.3">
      <c r="B29" s="7" t="s">
        <v>76</v>
      </c>
      <c r="C29" s="8" t="s">
        <v>34</v>
      </c>
      <c r="D29" s="13" t="s">
        <v>73</v>
      </c>
      <c r="E29" s="10" t="s">
        <v>36</v>
      </c>
      <c r="F29" s="10" t="s">
        <v>37</v>
      </c>
      <c r="G29" s="10" t="s">
        <v>71</v>
      </c>
      <c r="H29" s="10">
        <v>153</v>
      </c>
      <c r="I29" s="10" t="s">
        <v>54</v>
      </c>
    </row>
    <row r="30" spans="2:24" x14ac:dyDescent="0.3">
      <c r="B30" s="7" t="s">
        <v>77</v>
      </c>
      <c r="C30" s="8" t="s">
        <v>34</v>
      </c>
      <c r="D30" s="13" t="s">
        <v>73</v>
      </c>
      <c r="E30" s="10" t="s">
        <v>36</v>
      </c>
      <c r="F30" s="10" t="s">
        <v>37</v>
      </c>
      <c r="G30" s="10" t="s">
        <v>71</v>
      </c>
      <c r="H30" s="10">
        <v>153</v>
      </c>
      <c r="I30" s="10" t="s">
        <v>54</v>
      </c>
    </row>
    <row r="31" spans="2:24" x14ac:dyDescent="0.3">
      <c r="B31" s="7" t="s">
        <v>78</v>
      </c>
      <c r="C31" s="8" t="s">
        <v>34</v>
      </c>
      <c r="D31" s="13" t="s">
        <v>73</v>
      </c>
      <c r="E31" s="10" t="s">
        <v>36</v>
      </c>
      <c r="F31" s="10" t="s">
        <v>37</v>
      </c>
      <c r="G31" s="10" t="s">
        <v>71</v>
      </c>
      <c r="H31" s="10">
        <v>153</v>
      </c>
      <c r="I31" s="10" t="s">
        <v>54</v>
      </c>
    </row>
    <row r="32" spans="2:24" x14ac:dyDescent="0.3">
      <c r="B32" s="7" t="s">
        <v>79</v>
      </c>
      <c r="C32" s="8" t="s">
        <v>34</v>
      </c>
      <c r="D32" s="13" t="s">
        <v>73</v>
      </c>
      <c r="E32" s="10" t="s">
        <v>36</v>
      </c>
      <c r="F32" s="10" t="s">
        <v>37</v>
      </c>
      <c r="G32" s="10" t="s">
        <v>71</v>
      </c>
      <c r="H32" s="10">
        <v>153</v>
      </c>
      <c r="I32" s="10" t="s">
        <v>54</v>
      </c>
    </row>
    <row r="33" spans="2:9" x14ac:dyDescent="0.3">
      <c r="B33" s="7" t="s">
        <v>80</v>
      </c>
      <c r="C33" s="8" t="s">
        <v>34</v>
      </c>
      <c r="D33" s="13" t="s">
        <v>73</v>
      </c>
      <c r="E33" s="10" t="s">
        <v>36</v>
      </c>
      <c r="F33" s="10" t="s">
        <v>37</v>
      </c>
      <c r="G33" s="10" t="s">
        <v>71</v>
      </c>
      <c r="H33" s="10">
        <v>153</v>
      </c>
      <c r="I33" s="10" t="s">
        <v>54</v>
      </c>
    </row>
    <row r="34" spans="2:9" x14ac:dyDescent="0.3">
      <c r="B34" s="7" t="s">
        <v>81</v>
      </c>
      <c r="C34" s="8" t="s">
        <v>34</v>
      </c>
      <c r="D34" s="13" t="s">
        <v>73</v>
      </c>
      <c r="E34" s="10" t="s">
        <v>36</v>
      </c>
      <c r="F34" s="10" t="s">
        <v>37</v>
      </c>
      <c r="G34" s="10" t="s">
        <v>71</v>
      </c>
      <c r="H34" s="10">
        <v>153</v>
      </c>
      <c r="I34" s="10" t="s">
        <v>54</v>
      </c>
    </row>
    <row r="35" spans="2:9" x14ac:dyDescent="0.3">
      <c r="B35" s="7" t="s">
        <v>82</v>
      </c>
      <c r="C35" s="8" t="s">
        <v>34</v>
      </c>
      <c r="D35" s="13" t="s">
        <v>73</v>
      </c>
      <c r="E35" s="10" t="s">
        <v>36</v>
      </c>
      <c r="F35" s="10" t="s">
        <v>37</v>
      </c>
      <c r="G35" s="10" t="s">
        <v>71</v>
      </c>
      <c r="H35" s="10">
        <v>153</v>
      </c>
      <c r="I35" s="10" t="s">
        <v>54</v>
      </c>
    </row>
    <row r="36" spans="2:9" x14ac:dyDescent="0.3">
      <c r="B36" s="7" t="s">
        <v>83</v>
      </c>
      <c r="C36" s="8" t="s">
        <v>34</v>
      </c>
      <c r="D36" s="13" t="s">
        <v>73</v>
      </c>
      <c r="E36" s="10" t="s">
        <v>36</v>
      </c>
      <c r="F36" s="10" t="s">
        <v>37</v>
      </c>
      <c r="G36" s="10" t="s">
        <v>71</v>
      </c>
      <c r="H36" s="10">
        <v>153</v>
      </c>
      <c r="I36" s="10" t="s">
        <v>54</v>
      </c>
    </row>
    <row r="37" spans="2:9" x14ac:dyDescent="0.3">
      <c r="B37" s="7" t="s">
        <v>84</v>
      </c>
      <c r="C37" s="8" t="s">
        <v>34</v>
      </c>
      <c r="D37" s="13" t="s">
        <v>73</v>
      </c>
      <c r="E37" s="10" t="s">
        <v>36</v>
      </c>
      <c r="F37" s="10" t="s">
        <v>37</v>
      </c>
      <c r="G37" s="10" t="s">
        <v>71</v>
      </c>
      <c r="H37" s="10">
        <v>153</v>
      </c>
      <c r="I37" s="10" t="s">
        <v>54</v>
      </c>
    </row>
    <row r="38" spans="2:9" x14ac:dyDescent="0.3">
      <c r="B38" s="7" t="s">
        <v>85</v>
      </c>
      <c r="C38" s="8" t="s">
        <v>34</v>
      </c>
      <c r="D38" s="13" t="s">
        <v>73</v>
      </c>
      <c r="E38" s="10" t="s">
        <v>36</v>
      </c>
      <c r="F38" s="10" t="s">
        <v>37</v>
      </c>
      <c r="G38" s="10" t="s">
        <v>71</v>
      </c>
      <c r="H38" s="10">
        <v>153</v>
      </c>
      <c r="I38" s="10" t="s">
        <v>54</v>
      </c>
    </row>
    <row r="39" spans="2:9" x14ac:dyDescent="0.3">
      <c r="B39" s="7" t="s">
        <v>86</v>
      </c>
      <c r="C39" s="8" t="s">
        <v>34</v>
      </c>
      <c r="D39" s="13" t="s">
        <v>73</v>
      </c>
      <c r="E39" s="10" t="s">
        <v>36</v>
      </c>
      <c r="F39" s="10" t="s">
        <v>37</v>
      </c>
      <c r="G39" s="10" t="s">
        <v>71</v>
      </c>
      <c r="H39" s="10">
        <v>153</v>
      </c>
      <c r="I39" s="10" t="s">
        <v>54</v>
      </c>
    </row>
    <row r="40" spans="2:9" x14ac:dyDescent="0.3">
      <c r="B40" s="7" t="s">
        <v>87</v>
      </c>
      <c r="C40" s="8" t="s">
        <v>34</v>
      </c>
      <c r="D40" s="13" t="s">
        <v>73</v>
      </c>
      <c r="E40" s="10" t="s">
        <v>36</v>
      </c>
      <c r="F40" s="10" t="s">
        <v>37</v>
      </c>
      <c r="G40" s="10" t="s">
        <v>71</v>
      </c>
      <c r="H40" s="10">
        <v>153</v>
      </c>
      <c r="I40" s="10" t="s">
        <v>54</v>
      </c>
    </row>
    <row r="41" spans="2:9" x14ac:dyDescent="0.3">
      <c r="B41" s="7" t="s">
        <v>88</v>
      </c>
      <c r="C41" s="8" t="s">
        <v>34</v>
      </c>
      <c r="D41" s="13" t="s">
        <v>73</v>
      </c>
      <c r="E41" s="10" t="s">
        <v>36</v>
      </c>
      <c r="F41" s="10" t="s">
        <v>37</v>
      </c>
      <c r="G41" s="10" t="s">
        <v>71</v>
      </c>
      <c r="H41" s="10">
        <v>153</v>
      </c>
      <c r="I41" s="10" t="s">
        <v>54</v>
      </c>
    </row>
    <row r="42" spans="2:9" x14ac:dyDescent="0.3">
      <c r="B42" s="7" t="s">
        <v>89</v>
      </c>
      <c r="C42" s="8" t="s">
        <v>34</v>
      </c>
      <c r="D42" s="13" t="s">
        <v>73</v>
      </c>
      <c r="E42" s="10" t="s">
        <v>36</v>
      </c>
      <c r="F42" s="10" t="s">
        <v>37</v>
      </c>
      <c r="G42" s="10" t="s">
        <v>71</v>
      </c>
      <c r="H42" s="10">
        <v>153</v>
      </c>
      <c r="I42" s="10" t="s">
        <v>54</v>
      </c>
    </row>
    <row r="43" spans="2:9" x14ac:dyDescent="0.3">
      <c r="B43" s="7" t="s">
        <v>90</v>
      </c>
      <c r="C43" s="8" t="s">
        <v>34</v>
      </c>
      <c r="D43" s="13" t="s">
        <v>73</v>
      </c>
      <c r="E43" s="10" t="s">
        <v>36</v>
      </c>
      <c r="F43" s="10" t="s">
        <v>37</v>
      </c>
      <c r="G43" s="10" t="s">
        <v>71</v>
      </c>
      <c r="H43" s="10">
        <v>153</v>
      </c>
      <c r="I43" s="10" t="s">
        <v>54</v>
      </c>
    </row>
    <row r="44" spans="2:9" x14ac:dyDescent="0.3">
      <c r="B44" s="7" t="s">
        <v>91</v>
      </c>
      <c r="C44" s="8" t="s">
        <v>34</v>
      </c>
      <c r="D44" s="13" t="s">
        <v>92</v>
      </c>
      <c r="E44" s="10" t="s">
        <v>36</v>
      </c>
      <c r="F44" s="10" t="s">
        <v>37</v>
      </c>
      <c r="G44" s="10" t="s">
        <v>71</v>
      </c>
      <c r="H44" s="10">
        <v>153</v>
      </c>
      <c r="I44" s="10" t="s">
        <v>54</v>
      </c>
    </row>
    <row r="45" spans="2:9" x14ac:dyDescent="0.3">
      <c r="B45" s="7" t="s">
        <v>93</v>
      </c>
      <c r="C45" s="8" t="s">
        <v>34</v>
      </c>
      <c r="D45" s="13" t="s">
        <v>92</v>
      </c>
      <c r="E45" s="10" t="s">
        <v>36</v>
      </c>
      <c r="F45" s="10" t="s">
        <v>37</v>
      </c>
      <c r="G45" s="10" t="s">
        <v>71</v>
      </c>
      <c r="H45" s="10">
        <v>153</v>
      </c>
      <c r="I45" s="10" t="s">
        <v>54</v>
      </c>
    </row>
    <row r="46" spans="2:9" x14ac:dyDescent="0.3">
      <c r="B46" s="7" t="s">
        <v>94</v>
      </c>
      <c r="C46" s="8" t="s">
        <v>34</v>
      </c>
      <c r="D46" s="13" t="s">
        <v>92</v>
      </c>
      <c r="E46" s="10" t="s">
        <v>36</v>
      </c>
      <c r="F46" s="10" t="s">
        <v>37</v>
      </c>
      <c r="G46" s="10" t="s">
        <v>71</v>
      </c>
      <c r="H46" s="10">
        <v>153</v>
      </c>
      <c r="I46" s="10" t="s">
        <v>54</v>
      </c>
    </row>
    <row r="47" spans="2:9" x14ac:dyDescent="0.3">
      <c r="B47" s="7" t="s">
        <v>95</v>
      </c>
      <c r="C47" s="8" t="s">
        <v>34</v>
      </c>
      <c r="D47" s="13" t="s">
        <v>92</v>
      </c>
      <c r="E47" s="10" t="s">
        <v>36</v>
      </c>
      <c r="F47" s="10" t="s">
        <v>37</v>
      </c>
      <c r="G47" s="10" t="s">
        <v>71</v>
      </c>
      <c r="H47" s="10">
        <v>153</v>
      </c>
      <c r="I47" s="10" t="s">
        <v>54</v>
      </c>
    </row>
    <row r="48" spans="2:9" x14ac:dyDescent="0.3">
      <c r="B48" s="7" t="s">
        <v>96</v>
      </c>
      <c r="C48" s="8" t="s">
        <v>34</v>
      </c>
      <c r="D48" s="13" t="s">
        <v>92</v>
      </c>
      <c r="E48" s="10" t="s">
        <v>36</v>
      </c>
      <c r="F48" s="10" t="s">
        <v>37</v>
      </c>
      <c r="G48" s="10" t="s">
        <v>71</v>
      </c>
      <c r="H48" s="10">
        <v>153</v>
      </c>
      <c r="I48" s="10" t="s">
        <v>54</v>
      </c>
    </row>
    <row r="49" spans="2:9" x14ac:dyDescent="0.3">
      <c r="B49" s="7" t="s">
        <v>97</v>
      </c>
      <c r="C49" s="8" t="s">
        <v>34</v>
      </c>
      <c r="D49" s="13" t="s">
        <v>92</v>
      </c>
      <c r="E49" s="10" t="s">
        <v>36</v>
      </c>
      <c r="F49" s="10" t="s">
        <v>37</v>
      </c>
      <c r="G49" s="10" t="s">
        <v>71</v>
      </c>
      <c r="H49" s="10">
        <v>153</v>
      </c>
      <c r="I49" s="10" t="s">
        <v>54</v>
      </c>
    </row>
    <row r="50" spans="2:9" x14ac:dyDescent="0.3">
      <c r="B50" s="7" t="s">
        <v>98</v>
      </c>
      <c r="C50" s="8" t="s">
        <v>34</v>
      </c>
      <c r="D50" s="13" t="s">
        <v>92</v>
      </c>
      <c r="E50" s="10" t="s">
        <v>36</v>
      </c>
      <c r="F50" s="10" t="s">
        <v>37</v>
      </c>
      <c r="G50" s="10" t="s">
        <v>71</v>
      </c>
      <c r="H50" s="10">
        <v>153</v>
      </c>
      <c r="I50" s="10" t="s">
        <v>54</v>
      </c>
    </row>
    <row r="51" spans="2:9" x14ac:dyDescent="0.3">
      <c r="B51" s="7" t="s">
        <v>99</v>
      </c>
      <c r="C51" s="8" t="s">
        <v>34</v>
      </c>
      <c r="D51" s="13" t="s">
        <v>92</v>
      </c>
      <c r="E51" s="10" t="s">
        <v>36</v>
      </c>
      <c r="F51" s="10" t="s">
        <v>37</v>
      </c>
      <c r="G51" s="10" t="s">
        <v>71</v>
      </c>
      <c r="H51" s="10">
        <v>153</v>
      </c>
      <c r="I51" s="10" t="s">
        <v>54</v>
      </c>
    </row>
    <row r="52" spans="2:9" x14ac:dyDescent="0.3">
      <c r="B52" s="7" t="s">
        <v>100</v>
      </c>
      <c r="C52" s="8" t="s">
        <v>34</v>
      </c>
      <c r="D52" s="13" t="s">
        <v>92</v>
      </c>
      <c r="E52" s="10" t="s">
        <v>36</v>
      </c>
      <c r="F52" s="10" t="s">
        <v>37</v>
      </c>
      <c r="G52" s="10" t="s">
        <v>71</v>
      </c>
      <c r="H52" s="10">
        <v>153</v>
      </c>
      <c r="I52" s="10" t="s">
        <v>54</v>
      </c>
    </row>
    <row r="53" spans="2:9" x14ac:dyDescent="0.3">
      <c r="B53" s="7" t="s">
        <v>101</v>
      </c>
      <c r="C53" s="8" t="s">
        <v>34</v>
      </c>
      <c r="D53" s="13" t="s">
        <v>92</v>
      </c>
      <c r="E53" s="10" t="s">
        <v>36</v>
      </c>
      <c r="F53" s="10" t="s">
        <v>37</v>
      </c>
      <c r="G53" s="10" t="s">
        <v>71</v>
      </c>
      <c r="H53" s="10">
        <v>153</v>
      </c>
      <c r="I53" s="10" t="s">
        <v>54</v>
      </c>
    </row>
    <row r="54" spans="2:9" x14ac:dyDescent="0.3">
      <c r="B54" s="7" t="s">
        <v>102</v>
      </c>
      <c r="C54" s="8" t="s">
        <v>34</v>
      </c>
      <c r="D54" s="13" t="s">
        <v>92</v>
      </c>
      <c r="E54" s="10" t="s">
        <v>36</v>
      </c>
      <c r="F54" s="10" t="s">
        <v>37</v>
      </c>
      <c r="G54" s="10" t="s">
        <v>71</v>
      </c>
      <c r="H54" s="10">
        <v>153</v>
      </c>
      <c r="I54" s="10" t="s">
        <v>54</v>
      </c>
    </row>
    <row r="55" spans="2:9" x14ac:dyDescent="0.3">
      <c r="B55" s="7" t="s">
        <v>103</v>
      </c>
      <c r="C55" s="8" t="s">
        <v>34</v>
      </c>
      <c r="D55" s="13" t="s">
        <v>92</v>
      </c>
      <c r="E55" s="10" t="s">
        <v>36</v>
      </c>
      <c r="F55" s="10" t="s">
        <v>37</v>
      </c>
      <c r="G55" s="10" t="s">
        <v>71</v>
      </c>
      <c r="H55" s="10">
        <v>153</v>
      </c>
      <c r="I55" s="10" t="s">
        <v>54</v>
      </c>
    </row>
    <row r="56" spans="2:9" x14ac:dyDescent="0.3">
      <c r="B56" s="7" t="s">
        <v>104</v>
      </c>
      <c r="C56" s="8" t="s">
        <v>34</v>
      </c>
      <c r="D56" s="13" t="s">
        <v>92</v>
      </c>
      <c r="E56" s="10" t="s">
        <v>36</v>
      </c>
      <c r="F56" s="10" t="s">
        <v>37</v>
      </c>
      <c r="G56" s="10" t="s">
        <v>71</v>
      </c>
      <c r="H56" s="10">
        <v>153</v>
      </c>
      <c r="I56" s="10" t="s">
        <v>54</v>
      </c>
    </row>
    <row r="57" spans="2:9" x14ac:dyDescent="0.3">
      <c r="B57" s="7" t="s">
        <v>105</v>
      </c>
      <c r="C57" s="8" t="s">
        <v>34</v>
      </c>
      <c r="D57" s="13" t="s">
        <v>92</v>
      </c>
      <c r="E57" s="10" t="s">
        <v>36</v>
      </c>
      <c r="F57" s="10" t="s">
        <v>37</v>
      </c>
      <c r="G57" s="10" t="s">
        <v>71</v>
      </c>
      <c r="H57" s="10">
        <v>153</v>
      </c>
      <c r="I57" s="10" t="s">
        <v>54</v>
      </c>
    </row>
    <row r="58" spans="2:9" x14ac:dyDescent="0.3">
      <c r="B58" s="7" t="s">
        <v>106</v>
      </c>
      <c r="C58" s="8" t="s">
        <v>34</v>
      </c>
      <c r="D58" s="13" t="s">
        <v>92</v>
      </c>
      <c r="E58" s="10" t="s">
        <v>36</v>
      </c>
      <c r="F58" s="10" t="s">
        <v>37</v>
      </c>
      <c r="G58" s="10" t="s">
        <v>71</v>
      </c>
      <c r="H58" s="10">
        <v>153</v>
      </c>
      <c r="I58" s="10" t="s">
        <v>54</v>
      </c>
    </row>
    <row r="59" spans="2:9" x14ac:dyDescent="0.3">
      <c r="B59" s="7" t="s">
        <v>107</v>
      </c>
      <c r="C59" s="8" t="s">
        <v>34</v>
      </c>
      <c r="D59" s="13" t="s">
        <v>92</v>
      </c>
      <c r="E59" s="10" t="s">
        <v>36</v>
      </c>
      <c r="F59" s="10" t="s">
        <v>37</v>
      </c>
      <c r="G59" s="10" t="s">
        <v>71</v>
      </c>
      <c r="H59" s="10">
        <v>153</v>
      </c>
      <c r="I59" s="10" t="s">
        <v>54</v>
      </c>
    </row>
    <row r="60" spans="2:9" x14ac:dyDescent="0.3">
      <c r="B60" s="7" t="s">
        <v>108</v>
      </c>
      <c r="C60" s="8" t="s">
        <v>34</v>
      </c>
      <c r="D60" s="13" t="s">
        <v>92</v>
      </c>
      <c r="E60" s="10" t="s">
        <v>36</v>
      </c>
      <c r="F60" s="10" t="s">
        <v>37</v>
      </c>
      <c r="G60" s="10" t="s">
        <v>71</v>
      </c>
      <c r="H60" s="10">
        <v>153</v>
      </c>
      <c r="I60" s="10" t="s">
        <v>54</v>
      </c>
    </row>
    <row r="61" spans="2:9" x14ac:dyDescent="0.3">
      <c r="B61" s="7" t="s">
        <v>109</v>
      </c>
      <c r="C61" s="8" t="s">
        <v>34</v>
      </c>
      <c r="D61" s="13" t="s">
        <v>92</v>
      </c>
      <c r="E61" s="10" t="s">
        <v>36</v>
      </c>
      <c r="F61" s="10" t="s">
        <v>37</v>
      </c>
      <c r="G61" s="10" t="s">
        <v>71</v>
      </c>
      <c r="H61" s="10">
        <v>153</v>
      </c>
      <c r="I61" s="10" t="s">
        <v>54</v>
      </c>
    </row>
    <row r="62" spans="2:9" x14ac:dyDescent="0.3">
      <c r="B62" s="7" t="s">
        <v>110</v>
      </c>
      <c r="C62" s="8" t="s">
        <v>111</v>
      </c>
      <c r="D62" s="13" t="s">
        <v>112</v>
      </c>
      <c r="E62" s="10" t="s">
        <v>36</v>
      </c>
      <c r="F62" s="10" t="s">
        <v>37</v>
      </c>
      <c r="G62" s="10" t="s">
        <v>113</v>
      </c>
      <c r="H62" s="10">
        <v>153</v>
      </c>
      <c r="I62" s="10" t="s">
        <v>56</v>
      </c>
    </row>
    <row r="63" spans="2:9" x14ac:dyDescent="0.3">
      <c r="B63" s="7" t="s">
        <v>114</v>
      </c>
      <c r="C63" s="8" t="s">
        <v>111</v>
      </c>
      <c r="D63" s="13" t="s">
        <v>112</v>
      </c>
      <c r="E63" s="10" t="s">
        <v>36</v>
      </c>
      <c r="F63" s="10" t="s">
        <v>37</v>
      </c>
      <c r="G63" s="10" t="s">
        <v>113</v>
      </c>
      <c r="H63" s="10">
        <v>153</v>
      </c>
      <c r="I63" s="10" t="s">
        <v>56</v>
      </c>
    </row>
    <row r="64" spans="2:9" x14ac:dyDescent="0.3">
      <c r="B64" s="7" t="s">
        <v>115</v>
      </c>
      <c r="C64" s="8" t="s">
        <v>111</v>
      </c>
      <c r="D64" s="13" t="s">
        <v>116</v>
      </c>
      <c r="E64" s="10" t="s">
        <v>36</v>
      </c>
      <c r="F64" s="10" t="s">
        <v>37</v>
      </c>
      <c r="G64" s="10" t="s">
        <v>117</v>
      </c>
      <c r="H64" s="10">
        <v>75</v>
      </c>
      <c r="I64" s="10" t="s">
        <v>46</v>
      </c>
    </row>
    <row r="65" spans="2:9" x14ac:dyDescent="0.3">
      <c r="B65" s="7" t="s">
        <v>118</v>
      </c>
      <c r="C65" s="8" t="s">
        <v>111</v>
      </c>
      <c r="D65" s="13" t="s">
        <v>119</v>
      </c>
      <c r="E65" s="10" t="s">
        <v>36</v>
      </c>
      <c r="F65" s="10" t="s">
        <v>37</v>
      </c>
      <c r="G65" s="10" t="s">
        <v>117</v>
      </c>
      <c r="H65" s="10">
        <v>75</v>
      </c>
      <c r="I65" s="10" t="s">
        <v>40</v>
      </c>
    </row>
    <row r="66" spans="2:9" x14ac:dyDescent="0.3">
      <c r="B66" s="7" t="s">
        <v>120</v>
      </c>
      <c r="C66" s="8" t="s">
        <v>111</v>
      </c>
      <c r="D66" s="13" t="s">
        <v>119</v>
      </c>
      <c r="E66" s="10" t="s">
        <v>36</v>
      </c>
      <c r="F66" s="10" t="s">
        <v>37</v>
      </c>
      <c r="G66" s="10" t="s">
        <v>117</v>
      </c>
      <c r="H66" s="10">
        <v>75</v>
      </c>
      <c r="I66" s="10" t="s">
        <v>40</v>
      </c>
    </row>
    <row r="67" spans="2:9" x14ac:dyDescent="0.3">
      <c r="B67" s="7" t="s">
        <v>121</v>
      </c>
      <c r="C67" s="8" t="s">
        <v>111</v>
      </c>
      <c r="D67" s="13" t="s">
        <v>119</v>
      </c>
      <c r="E67" s="10" t="s">
        <v>36</v>
      </c>
      <c r="F67" s="10" t="s">
        <v>37</v>
      </c>
      <c r="G67" s="10" t="s">
        <v>117</v>
      </c>
      <c r="H67" s="10">
        <v>75</v>
      </c>
      <c r="I67" s="10" t="s">
        <v>40</v>
      </c>
    </row>
    <row r="68" spans="2:9" x14ac:dyDescent="0.3">
      <c r="B68" s="7" t="s">
        <v>122</v>
      </c>
      <c r="C68" s="8" t="s">
        <v>111</v>
      </c>
      <c r="D68" s="13" t="s">
        <v>119</v>
      </c>
      <c r="E68" s="10" t="s">
        <v>36</v>
      </c>
      <c r="F68" s="10" t="s">
        <v>37</v>
      </c>
      <c r="G68" s="10" t="s">
        <v>117</v>
      </c>
      <c r="H68" s="10">
        <v>75</v>
      </c>
      <c r="I68" s="10" t="s">
        <v>40</v>
      </c>
    </row>
    <row r="69" spans="2:9" x14ac:dyDescent="0.3">
      <c r="B69" s="7" t="s">
        <v>123</v>
      </c>
      <c r="C69" s="8" t="s">
        <v>111</v>
      </c>
      <c r="D69" s="13" t="s">
        <v>119</v>
      </c>
      <c r="E69" s="10" t="s">
        <v>36</v>
      </c>
      <c r="F69" s="10" t="s">
        <v>37</v>
      </c>
      <c r="G69" s="10" t="s">
        <v>117</v>
      </c>
      <c r="H69" s="10">
        <v>75</v>
      </c>
      <c r="I69" s="10" t="s">
        <v>40</v>
      </c>
    </row>
    <row r="70" spans="2:9" x14ac:dyDescent="0.3">
      <c r="B70" s="7" t="s">
        <v>124</v>
      </c>
      <c r="C70" s="8" t="s">
        <v>111</v>
      </c>
      <c r="D70" s="13" t="s">
        <v>119</v>
      </c>
      <c r="E70" s="10" t="s">
        <v>36</v>
      </c>
      <c r="F70" s="10" t="s">
        <v>37</v>
      </c>
      <c r="G70" s="10" t="s">
        <v>117</v>
      </c>
      <c r="H70" s="10">
        <v>75</v>
      </c>
      <c r="I70" s="10" t="s">
        <v>40</v>
      </c>
    </row>
    <row r="71" spans="2:9" x14ac:dyDescent="0.3">
      <c r="B71" s="7" t="s">
        <v>125</v>
      </c>
      <c r="C71" s="8" t="s">
        <v>111</v>
      </c>
      <c r="D71" s="13" t="s">
        <v>119</v>
      </c>
      <c r="E71" s="10" t="s">
        <v>36</v>
      </c>
      <c r="F71" s="10" t="s">
        <v>37</v>
      </c>
      <c r="G71" s="10" t="s">
        <v>117</v>
      </c>
      <c r="H71" s="10">
        <v>75</v>
      </c>
      <c r="I71" s="10" t="s">
        <v>40</v>
      </c>
    </row>
    <row r="72" spans="2:9" x14ac:dyDescent="0.3">
      <c r="B72" s="7" t="s">
        <v>126</v>
      </c>
      <c r="C72" s="8" t="s">
        <v>111</v>
      </c>
      <c r="D72" s="13" t="s">
        <v>119</v>
      </c>
      <c r="E72" s="10" t="s">
        <v>36</v>
      </c>
      <c r="F72" s="10" t="s">
        <v>37</v>
      </c>
      <c r="G72" s="10" t="s">
        <v>117</v>
      </c>
      <c r="H72" s="10">
        <v>75</v>
      </c>
      <c r="I72" s="10" t="s">
        <v>40</v>
      </c>
    </row>
    <row r="73" spans="2:9" x14ac:dyDescent="0.3">
      <c r="B73" s="7" t="s">
        <v>127</v>
      </c>
      <c r="C73" s="8" t="s">
        <v>111</v>
      </c>
      <c r="D73" s="13" t="s">
        <v>119</v>
      </c>
      <c r="E73" s="10" t="s">
        <v>36</v>
      </c>
      <c r="F73" s="10" t="s">
        <v>37</v>
      </c>
      <c r="G73" s="10" t="s">
        <v>117</v>
      </c>
      <c r="H73" s="10">
        <v>75</v>
      </c>
      <c r="I73" s="10" t="s">
        <v>40</v>
      </c>
    </row>
    <row r="74" spans="2:9" x14ac:dyDescent="0.3">
      <c r="B74" s="7" t="s">
        <v>128</v>
      </c>
      <c r="C74" s="8" t="s">
        <v>111</v>
      </c>
      <c r="D74" s="13" t="s">
        <v>119</v>
      </c>
      <c r="E74" s="10" t="s">
        <v>36</v>
      </c>
      <c r="F74" s="10" t="s">
        <v>37</v>
      </c>
      <c r="G74" s="10" t="s">
        <v>117</v>
      </c>
      <c r="H74" s="10">
        <v>75</v>
      </c>
      <c r="I74" s="10" t="s">
        <v>40</v>
      </c>
    </row>
    <row r="75" spans="2:9" x14ac:dyDescent="0.3">
      <c r="B75" s="7" t="s">
        <v>129</v>
      </c>
      <c r="C75" s="8" t="s">
        <v>111</v>
      </c>
      <c r="D75" s="13" t="s">
        <v>119</v>
      </c>
      <c r="E75" s="10" t="s">
        <v>36</v>
      </c>
      <c r="F75" s="10" t="s">
        <v>37</v>
      </c>
      <c r="G75" s="10" t="s">
        <v>117</v>
      </c>
      <c r="H75" s="10">
        <v>75</v>
      </c>
      <c r="I75" s="10" t="s">
        <v>40</v>
      </c>
    </row>
    <row r="76" spans="2:9" x14ac:dyDescent="0.3">
      <c r="B76" s="7" t="s">
        <v>130</v>
      </c>
      <c r="C76" s="8" t="s">
        <v>111</v>
      </c>
      <c r="D76" s="13" t="s">
        <v>119</v>
      </c>
      <c r="E76" s="10" t="s">
        <v>36</v>
      </c>
      <c r="F76" s="10" t="s">
        <v>37</v>
      </c>
      <c r="G76" s="10" t="s">
        <v>117</v>
      </c>
      <c r="H76" s="10">
        <v>75</v>
      </c>
      <c r="I76" s="10" t="s">
        <v>40</v>
      </c>
    </row>
    <row r="77" spans="2:9" x14ac:dyDescent="0.3">
      <c r="B77" s="7" t="s">
        <v>131</v>
      </c>
      <c r="C77" s="8" t="s">
        <v>111</v>
      </c>
      <c r="D77" s="13" t="s">
        <v>132</v>
      </c>
      <c r="E77" s="10" t="s">
        <v>36</v>
      </c>
      <c r="F77" s="10" t="s">
        <v>37</v>
      </c>
      <c r="G77" s="10" t="s">
        <v>133</v>
      </c>
      <c r="H77" s="10">
        <v>153</v>
      </c>
      <c r="I77" s="10" t="s">
        <v>48</v>
      </c>
    </row>
    <row r="78" spans="2:9" x14ac:dyDescent="0.3">
      <c r="B78" s="7" t="s">
        <v>134</v>
      </c>
      <c r="C78" s="8" t="s">
        <v>111</v>
      </c>
      <c r="D78" s="13" t="s">
        <v>132</v>
      </c>
      <c r="E78" s="10" t="s">
        <v>36</v>
      </c>
      <c r="F78" s="10" t="s">
        <v>37</v>
      </c>
      <c r="G78" s="10" t="s">
        <v>133</v>
      </c>
      <c r="H78" s="10">
        <v>153</v>
      </c>
      <c r="I78" s="10" t="s">
        <v>48</v>
      </c>
    </row>
    <row r="79" spans="2:9" x14ac:dyDescent="0.3">
      <c r="B79" s="7" t="s">
        <v>135</v>
      </c>
      <c r="C79" s="8" t="s">
        <v>111</v>
      </c>
      <c r="D79" s="13" t="s">
        <v>132</v>
      </c>
      <c r="E79" s="10" t="s">
        <v>36</v>
      </c>
      <c r="F79" s="10" t="s">
        <v>37</v>
      </c>
      <c r="G79" s="10" t="s">
        <v>133</v>
      </c>
      <c r="H79" s="10">
        <v>153</v>
      </c>
      <c r="I79" s="10" t="s">
        <v>48</v>
      </c>
    </row>
    <row r="80" spans="2:9" x14ac:dyDescent="0.3">
      <c r="B80" s="7" t="s">
        <v>136</v>
      </c>
      <c r="C80" s="8" t="s">
        <v>111</v>
      </c>
      <c r="D80" s="13" t="s">
        <v>132</v>
      </c>
      <c r="E80" s="10" t="s">
        <v>36</v>
      </c>
      <c r="F80" s="10" t="s">
        <v>37</v>
      </c>
      <c r="G80" s="10" t="s">
        <v>133</v>
      </c>
      <c r="H80" s="10">
        <v>153</v>
      </c>
      <c r="I80" s="10" t="s">
        <v>48</v>
      </c>
    </row>
    <row r="81" spans="2:9" x14ac:dyDescent="0.3">
      <c r="B81" s="7" t="s">
        <v>137</v>
      </c>
      <c r="C81" s="8" t="s">
        <v>111</v>
      </c>
      <c r="D81" s="13" t="s">
        <v>132</v>
      </c>
      <c r="E81" s="10" t="s">
        <v>36</v>
      </c>
      <c r="F81" s="10" t="s">
        <v>37</v>
      </c>
      <c r="G81" s="10" t="s">
        <v>133</v>
      </c>
      <c r="H81" s="10">
        <v>153</v>
      </c>
      <c r="I81" s="10" t="s">
        <v>48</v>
      </c>
    </row>
    <row r="82" spans="2:9" x14ac:dyDescent="0.3">
      <c r="B82" s="7" t="s">
        <v>138</v>
      </c>
      <c r="C82" s="8" t="s">
        <v>111</v>
      </c>
      <c r="D82" s="13" t="s">
        <v>132</v>
      </c>
      <c r="E82" s="10" t="s">
        <v>36</v>
      </c>
      <c r="F82" s="10" t="s">
        <v>37</v>
      </c>
      <c r="G82" s="10" t="s">
        <v>133</v>
      </c>
      <c r="H82" s="10">
        <v>153</v>
      </c>
      <c r="I82" s="10" t="s">
        <v>48</v>
      </c>
    </row>
    <row r="83" spans="2:9" x14ac:dyDescent="0.3">
      <c r="B83" s="7" t="s">
        <v>139</v>
      </c>
      <c r="C83" s="8" t="s">
        <v>111</v>
      </c>
      <c r="D83" s="13" t="s">
        <v>132</v>
      </c>
      <c r="E83" s="10" t="s">
        <v>36</v>
      </c>
      <c r="F83" s="10" t="s">
        <v>37</v>
      </c>
      <c r="G83" s="10" t="s">
        <v>133</v>
      </c>
      <c r="H83" s="10">
        <v>153</v>
      </c>
      <c r="I83" s="10" t="s">
        <v>48</v>
      </c>
    </row>
    <row r="84" spans="2:9" x14ac:dyDescent="0.3">
      <c r="B84" s="7" t="s">
        <v>140</v>
      </c>
      <c r="C84" s="8" t="s">
        <v>111</v>
      </c>
      <c r="D84" s="13" t="s">
        <v>132</v>
      </c>
      <c r="E84" s="10" t="s">
        <v>36</v>
      </c>
      <c r="F84" s="10" t="s">
        <v>37</v>
      </c>
      <c r="G84" s="10" t="s">
        <v>133</v>
      </c>
      <c r="H84" s="10">
        <v>153</v>
      </c>
      <c r="I84" s="10" t="s">
        <v>48</v>
      </c>
    </row>
    <row r="85" spans="2:9" x14ac:dyDescent="0.3">
      <c r="B85" s="7" t="s">
        <v>141</v>
      </c>
      <c r="C85" s="8" t="s">
        <v>111</v>
      </c>
      <c r="D85" s="13" t="s">
        <v>132</v>
      </c>
      <c r="E85" s="10" t="s">
        <v>36</v>
      </c>
      <c r="F85" s="10" t="s">
        <v>37</v>
      </c>
      <c r="G85" s="10" t="s">
        <v>133</v>
      </c>
      <c r="H85" s="10">
        <v>153</v>
      </c>
      <c r="I85" s="10" t="s">
        <v>48</v>
      </c>
    </row>
    <row r="86" spans="2:9" x14ac:dyDescent="0.3">
      <c r="B86" s="7" t="s">
        <v>142</v>
      </c>
      <c r="C86" s="8" t="s">
        <v>111</v>
      </c>
      <c r="D86" s="13" t="s">
        <v>132</v>
      </c>
      <c r="E86" s="10" t="s">
        <v>36</v>
      </c>
      <c r="F86" s="10" t="s">
        <v>37</v>
      </c>
      <c r="G86" s="10" t="s">
        <v>133</v>
      </c>
      <c r="H86" s="10">
        <v>153</v>
      </c>
      <c r="I86" s="10" t="s">
        <v>48</v>
      </c>
    </row>
    <row r="87" spans="2:9" x14ac:dyDescent="0.3">
      <c r="B87" s="7" t="s">
        <v>143</v>
      </c>
      <c r="C87" s="8" t="s">
        <v>111</v>
      </c>
      <c r="D87" s="13" t="s">
        <v>132</v>
      </c>
      <c r="E87" s="10" t="s">
        <v>36</v>
      </c>
      <c r="F87" s="10" t="s">
        <v>37</v>
      </c>
      <c r="G87" s="10" t="s">
        <v>133</v>
      </c>
      <c r="H87" s="10">
        <v>153</v>
      </c>
      <c r="I87" s="10" t="s">
        <v>48</v>
      </c>
    </row>
    <row r="88" spans="2:9" x14ac:dyDescent="0.3">
      <c r="B88" s="7" t="s">
        <v>144</v>
      </c>
      <c r="C88" s="8" t="s">
        <v>111</v>
      </c>
      <c r="D88" s="13" t="s">
        <v>132</v>
      </c>
      <c r="E88" s="10" t="s">
        <v>36</v>
      </c>
      <c r="F88" s="10" t="s">
        <v>37</v>
      </c>
      <c r="G88" s="10" t="s">
        <v>133</v>
      </c>
      <c r="H88" s="10">
        <v>153</v>
      </c>
      <c r="I88" s="10" t="s">
        <v>48</v>
      </c>
    </row>
    <row r="89" spans="2:9" x14ac:dyDescent="0.3">
      <c r="B89" s="7" t="s">
        <v>145</v>
      </c>
      <c r="C89" s="8" t="s">
        <v>111</v>
      </c>
      <c r="D89" s="13" t="s">
        <v>132</v>
      </c>
      <c r="E89" s="10" t="s">
        <v>36</v>
      </c>
      <c r="F89" s="10" t="s">
        <v>37</v>
      </c>
      <c r="G89" s="10" t="s">
        <v>133</v>
      </c>
      <c r="H89" s="10">
        <v>153</v>
      </c>
      <c r="I89" s="10" t="s">
        <v>48</v>
      </c>
    </row>
    <row r="90" spans="2:9" x14ac:dyDescent="0.3">
      <c r="B90" s="7" t="s">
        <v>146</v>
      </c>
      <c r="C90" s="8" t="s">
        <v>111</v>
      </c>
      <c r="D90" s="13" t="s">
        <v>132</v>
      </c>
      <c r="E90" s="10" t="s">
        <v>36</v>
      </c>
      <c r="F90" s="10" t="s">
        <v>37</v>
      </c>
      <c r="G90" s="10" t="s">
        <v>133</v>
      </c>
      <c r="H90" s="10">
        <v>153</v>
      </c>
      <c r="I90" s="10" t="s">
        <v>48</v>
      </c>
    </row>
    <row r="91" spans="2:9" x14ac:dyDescent="0.3">
      <c r="B91" s="7" t="s">
        <v>147</v>
      </c>
      <c r="C91" s="8" t="s">
        <v>111</v>
      </c>
      <c r="D91" s="13" t="s">
        <v>132</v>
      </c>
      <c r="E91" s="10" t="s">
        <v>36</v>
      </c>
      <c r="F91" s="10" t="s">
        <v>37</v>
      </c>
      <c r="G91" s="10" t="s">
        <v>133</v>
      </c>
      <c r="H91" s="10">
        <v>153</v>
      </c>
      <c r="I91" s="10" t="s">
        <v>48</v>
      </c>
    </row>
    <row r="92" spans="2:9" x14ac:dyDescent="0.3">
      <c r="B92" s="7" t="s">
        <v>148</v>
      </c>
      <c r="C92" s="8" t="s">
        <v>111</v>
      </c>
      <c r="D92" s="13" t="s">
        <v>132</v>
      </c>
      <c r="E92" s="10" t="s">
        <v>36</v>
      </c>
      <c r="F92" s="10" t="s">
        <v>37</v>
      </c>
      <c r="G92" s="10" t="s">
        <v>133</v>
      </c>
      <c r="H92" s="10">
        <v>153</v>
      </c>
      <c r="I92" s="10" t="s">
        <v>48</v>
      </c>
    </row>
    <row r="93" spans="2:9" x14ac:dyDescent="0.3">
      <c r="B93" s="7" t="s">
        <v>149</v>
      </c>
      <c r="C93" s="8" t="s">
        <v>111</v>
      </c>
      <c r="D93" s="13" t="s">
        <v>132</v>
      </c>
      <c r="E93" s="10" t="s">
        <v>36</v>
      </c>
      <c r="F93" s="10" t="s">
        <v>37</v>
      </c>
      <c r="G93" s="10" t="s">
        <v>133</v>
      </c>
      <c r="H93" s="10">
        <v>153</v>
      </c>
      <c r="I93" s="10" t="s">
        <v>48</v>
      </c>
    </row>
    <row r="94" spans="2:9" x14ac:dyDescent="0.3">
      <c r="B94" s="7" t="s">
        <v>150</v>
      </c>
      <c r="C94" s="8" t="s">
        <v>111</v>
      </c>
      <c r="D94" s="13" t="s">
        <v>132</v>
      </c>
      <c r="E94" s="10" t="s">
        <v>36</v>
      </c>
      <c r="F94" s="10" t="s">
        <v>37</v>
      </c>
      <c r="G94" s="10" t="s">
        <v>133</v>
      </c>
      <c r="H94" s="10">
        <v>153</v>
      </c>
      <c r="I94" s="10" t="s">
        <v>48</v>
      </c>
    </row>
    <row r="95" spans="2:9" x14ac:dyDescent="0.3">
      <c r="B95" s="7" t="s">
        <v>151</v>
      </c>
      <c r="C95" s="8" t="s">
        <v>111</v>
      </c>
      <c r="D95" s="13" t="s">
        <v>132</v>
      </c>
      <c r="E95" s="10" t="s">
        <v>36</v>
      </c>
      <c r="F95" s="10" t="s">
        <v>37</v>
      </c>
      <c r="G95" s="10" t="s">
        <v>133</v>
      </c>
      <c r="H95" s="10">
        <v>153</v>
      </c>
      <c r="I95" s="10" t="s">
        <v>48</v>
      </c>
    </row>
    <row r="96" spans="2:9" x14ac:dyDescent="0.3">
      <c r="B96" s="7" t="s">
        <v>152</v>
      </c>
      <c r="C96" s="8" t="s">
        <v>111</v>
      </c>
      <c r="D96" s="13" t="s">
        <v>132</v>
      </c>
      <c r="E96" s="10" t="s">
        <v>36</v>
      </c>
      <c r="F96" s="10" t="s">
        <v>37</v>
      </c>
      <c r="G96" s="10" t="s">
        <v>133</v>
      </c>
      <c r="H96" s="10">
        <v>153</v>
      </c>
      <c r="I96" s="10" t="s">
        <v>48</v>
      </c>
    </row>
    <row r="97" spans="2:9" x14ac:dyDescent="0.3">
      <c r="B97" s="7" t="s">
        <v>153</v>
      </c>
      <c r="C97" s="8" t="s">
        <v>111</v>
      </c>
      <c r="D97" s="13" t="s">
        <v>132</v>
      </c>
      <c r="E97" s="10" t="s">
        <v>36</v>
      </c>
      <c r="F97" s="10" t="s">
        <v>37</v>
      </c>
      <c r="G97" s="10" t="s">
        <v>133</v>
      </c>
      <c r="H97" s="10">
        <v>153</v>
      </c>
      <c r="I97" s="10" t="s">
        <v>48</v>
      </c>
    </row>
    <row r="98" spans="2:9" x14ac:dyDescent="0.3">
      <c r="B98" s="7" t="s">
        <v>154</v>
      </c>
      <c r="C98" s="8" t="s">
        <v>111</v>
      </c>
      <c r="D98" s="13" t="s">
        <v>132</v>
      </c>
      <c r="E98" s="10" t="s">
        <v>36</v>
      </c>
      <c r="F98" s="10" t="s">
        <v>37</v>
      </c>
      <c r="G98" s="10" t="s">
        <v>133</v>
      </c>
      <c r="H98" s="10">
        <v>153</v>
      </c>
      <c r="I98" s="10" t="s">
        <v>48</v>
      </c>
    </row>
    <row r="99" spans="2:9" x14ac:dyDescent="0.3">
      <c r="B99" s="7" t="s">
        <v>155</v>
      </c>
      <c r="C99" s="8" t="s">
        <v>111</v>
      </c>
      <c r="D99" s="13" t="s">
        <v>132</v>
      </c>
      <c r="E99" s="10" t="s">
        <v>36</v>
      </c>
      <c r="F99" s="10" t="s">
        <v>37</v>
      </c>
      <c r="G99" s="10" t="s">
        <v>133</v>
      </c>
      <c r="H99" s="10">
        <v>153</v>
      </c>
      <c r="I99" s="10" t="s">
        <v>48</v>
      </c>
    </row>
    <row r="100" spans="2:9" x14ac:dyDescent="0.3">
      <c r="B100" s="7" t="s">
        <v>156</v>
      </c>
      <c r="C100" s="8" t="s">
        <v>111</v>
      </c>
      <c r="D100" s="13" t="s">
        <v>132</v>
      </c>
      <c r="E100" s="10" t="s">
        <v>36</v>
      </c>
      <c r="F100" s="10" t="s">
        <v>37</v>
      </c>
      <c r="G100" s="10" t="s">
        <v>133</v>
      </c>
      <c r="H100" s="10">
        <v>153</v>
      </c>
      <c r="I100" s="10" t="s">
        <v>48</v>
      </c>
    </row>
    <row r="101" spans="2:9" x14ac:dyDescent="0.3">
      <c r="B101" s="7" t="s">
        <v>157</v>
      </c>
      <c r="C101" s="8" t="s">
        <v>111</v>
      </c>
      <c r="D101" s="13" t="s">
        <v>132</v>
      </c>
      <c r="E101" s="10" t="s">
        <v>36</v>
      </c>
      <c r="F101" s="10" t="s">
        <v>37</v>
      </c>
      <c r="G101" s="10" t="s">
        <v>133</v>
      </c>
      <c r="H101" s="10">
        <v>153</v>
      </c>
      <c r="I101" s="10" t="s">
        <v>48</v>
      </c>
    </row>
    <row r="102" spans="2:9" x14ac:dyDescent="0.3">
      <c r="B102" s="7" t="s">
        <v>158</v>
      </c>
      <c r="C102" s="8" t="s">
        <v>111</v>
      </c>
      <c r="D102" s="13" t="s">
        <v>132</v>
      </c>
      <c r="E102" s="10" t="s">
        <v>36</v>
      </c>
      <c r="F102" s="10" t="s">
        <v>37</v>
      </c>
      <c r="G102" s="10" t="s">
        <v>133</v>
      </c>
      <c r="H102" s="10">
        <v>153</v>
      </c>
      <c r="I102" s="10" t="s">
        <v>48</v>
      </c>
    </row>
    <row r="103" spans="2:9" x14ac:dyDescent="0.3">
      <c r="B103" s="7" t="s">
        <v>159</v>
      </c>
      <c r="C103" s="8" t="s">
        <v>111</v>
      </c>
      <c r="D103" s="13" t="s">
        <v>132</v>
      </c>
      <c r="E103" s="10" t="s">
        <v>36</v>
      </c>
      <c r="F103" s="10" t="s">
        <v>37</v>
      </c>
      <c r="G103" s="10" t="s">
        <v>133</v>
      </c>
      <c r="H103" s="10">
        <v>153</v>
      </c>
      <c r="I103" s="10" t="s">
        <v>48</v>
      </c>
    </row>
    <row r="104" spans="2:9" x14ac:dyDescent="0.3">
      <c r="B104" s="7" t="s">
        <v>160</v>
      </c>
      <c r="C104" s="8" t="s">
        <v>111</v>
      </c>
      <c r="D104" s="13" t="s">
        <v>132</v>
      </c>
      <c r="E104" s="10" t="s">
        <v>36</v>
      </c>
      <c r="F104" s="10" t="s">
        <v>37</v>
      </c>
      <c r="G104" s="10" t="s">
        <v>133</v>
      </c>
      <c r="H104" s="10">
        <v>153</v>
      </c>
      <c r="I104" s="10" t="s">
        <v>48</v>
      </c>
    </row>
    <row r="105" spans="2:9" x14ac:dyDescent="0.3">
      <c r="B105" s="7" t="s">
        <v>161</v>
      </c>
      <c r="C105" s="8" t="s">
        <v>111</v>
      </c>
      <c r="D105" s="13" t="s">
        <v>132</v>
      </c>
      <c r="E105" s="10" t="s">
        <v>36</v>
      </c>
      <c r="F105" s="10" t="s">
        <v>37</v>
      </c>
      <c r="G105" s="10" t="s">
        <v>133</v>
      </c>
      <c r="H105" s="10">
        <v>153</v>
      </c>
      <c r="I105" s="10" t="s">
        <v>48</v>
      </c>
    </row>
    <row r="106" spans="2:9" x14ac:dyDescent="0.3">
      <c r="B106" s="7" t="s">
        <v>162</v>
      </c>
      <c r="C106" s="8" t="s">
        <v>111</v>
      </c>
      <c r="D106" s="13" t="s">
        <v>132</v>
      </c>
      <c r="E106" s="10" t="s">
        <v>36</v>
      </c>
      <c r="F106" s="10" t="s">
        <v>37</v>
      </c>
      <c r="G106" s="10" t="s">
        <v>133</v>
      </c>
      <c r="H106" s="10">
        <v>153</v>
      </c>
      <c r="I106" s="10" t="s">
        <v>48</v>
      </c>
    </row>
    <row r="107" spans="2:9" x14ac:dyDescent="0.3">
      <c r="B107" s="7" t="s">
        <v>163</v>
      </c>
      <c r="C107" s="8" t="s">
        <v>111</v>
      </c>
      <c r="D107" s="13" t="s">
        <v>132</v>
      </c>
      <c r="E107" s="10" t="s">
        <v>36</v>
      </c>
      <c r="F107" s="10" t="s">
        <v>37</v>
      </c>
      <c r="G107" s="10" t="s">
        <v>133</v>
      </c>
      <c r="H107" s="10">
        <v>153</v>
      </c>
      <c r="I107" s="10" t="s">
        <v>48</v>
      </c>
    </row>
    <row r="108" spans="2:9" x14ac:dyDescent="0.3">
      <c r="B108" s="7" t="s">
        <v>164</v>
      </c>
      <c r="C108" s="8" t="s">
        <v>111</v>
      </c>
      <c r="D108" s="13" t="s">
        <v>132</v>
      </c>
      <c r="E108" s="10" t="s">
        <v>36</v>
      </c>
      <c r="F108" s="10" t="s">
        <v>37</v>
      </c>
      <c r="G108" s="10" t="s">
        <v>133</v>
      </c>
      <c r="H108" s="10">
        <v>153</v>
      </c>
      <c r="I108" s="10" t="s">
        <v>48</v>
      </c>
    </row>
    <row r="109" spans="2:9" x14ac:dyDescent="0.3">
      <c r="B109" s="7" t="s">
        <v>165</v>
      </c>
      <c r="C109" s="8" t="s">
        <v>111</v>
      </c>
      <c r="D109" s="13" t="s">
        <v>132</v>
      </c>
      <c r="E109" s="10" t="s">
        <v>36</v>
      </c>
      <c r="F109" s="10" t="s">
        <v>37</v>
      </c>
      <c r="G109" s="10" t="s">
        <v>133</v>
      </c>
      <c r="H109" s="10">
        <v>153</v>
      </c>
      <c r="I109" s="10" t="s">
        <v>48</v>
      </c>
    </row>
    <row r="110" spans="2:9" x14ac:dyDescent="0.3">
      <c r="B110" s="7" t="s">
        <v>166</v>
      </c>
      <c r="C110" s="8" t="s">
        <v>111</v>
      </c>
      <c r="D110" s="13" t="s">
        <v>132</v>
      </c>
      <c r="E110" s="10" t="s">
        <v>36</v>
      </c>
      <c r="F110" s="10" t="s">
        <v>37</v>
      </c>
      <c r="G110" s="10" t="s">
        <v>133</v>
      </c>
      <c r="H110" s="10">
        <v>153</v>
      </c>
      <c r="I110" s="10" t="s">
        <v>48</v>
      </c>
    </row>
    <row r="111" spans="2:9" x14ac:dyDescent="0.3">
      <c r="B111" s="7" t="s">
        <v>167</v>
      </c>
      <c r="C111" s="8" t="s">
        <v>111</v>
      </c>
      <c r="D111" s="13" t="s">
        <v>132</v>
      </c>
      <c r="E111" s="10" t="s">
        <v>36</v>
      </c>
      <c r="F111" s="10" t="s">
        <v>37</v>
      </c>
      <c r="G111" s="10" t="s">
        <v>133</v>
      </c>
      <c r="H111" s="10">
        <v>153</v>
      </c>
      <c r="I111" s="10" t="s">
        <v>48</v>
      </c>
    </row>
    <row r="112" spans="2:9" x14ac:dyDescent="0.3">
      <c r="B112" s="7" t="s">
        <v>168</v>
      </c>
      <c r="C112" s="8" t="s">
        <v>111</v>
      </c>
      <c r="D112" s="13" t="s">
        <v>132</v>
      </c>
      <c r="E112" s="10" t="s">
        <v>36</v>
      </c>
      <c r="F112" s="10" t="s">
        <v>37</v>
      </c>
      <c r="G112" s="10" t="s">
        <v>133</v>
      </c>
      <c r="H112" s="10">
        <v>153</v>
      </c>
      <c r="I112" s="10" t="s">
        <v>48</v>
      </c>
    </row>
    <row r="113" spans="2:9" x14ac:dyDescent="0.3">
      <c r="B113" s="7" t="s">
        <v>169</v>
      </c>
      <c r="C113" s="8" t="s">
        <v>111</v>
      </c>
      <c r="D113" s="13" t="s">
        <v>132</v>
      </c>
      <c r="E113" s="10" t="s">
        <v>36</v>
      </c>
      <c r="F113" s="10" t="s">
        <v>37</v>
      </c>
      <c r="G113" s="10" t="s">
        <v>133</v>
      </c>
      <c r="H113" s="10">
        <v>153</v>
      </c>
      <c r="I113" s="10" t="s">
        <v>48</v>
      </c>
    </row>
    <row r="114" spans="2:9" x14ac:dyDescent="0.3">
      <c r="B114" s="7" t="s">
        <v>170</v>
      </c>
      <c r="C114" s="8" t="s">
        <v>111</v>
      </c>
      <c r="D114" s="13" t="s">
        <v>132</v>
      </c>
      <c r="E114" s="10" t="s">
        <v>36</v>
      </c>
      <c r="F114" s="10" t="s">
        <v>37</v>
      </c>
      <c r="G114" s="10" t="s">
        <v>133</v>
      </c>
      <c r="H114" s="10">
        <v>153</v>
      </c>
      <c r="I114" s="10" t="s">
        <v>48</v>
      </c>
    </row>
    <row r="115" spans="2:9" x14ac:dyDescent="0.3">
      <c r="B115" s="7" t="s">
        <v>171</v>
      </c>
      <c r="C115" s="8" t="s">
        <v>172</v>
      </c>
      <c r="D115" s="13" t="s">
        <v>173</v>
      </c>
      <c r="E115" s="10" t="s">
        <v>36</v>
      </c>
      <c r="F115" s="10" t="s">
        <v>37</v>
      </c>
      <c r="G115" s="10" t="s">
        <v>174</v>
      </c>
      <c r="H115" s="10">
        <v>153</v>
      </c>
      <c r="I115" s="10" t="s">
        <v>32</v>
      </c>
    </row>
    <row r="116" spans="2:9" x14ac:dyDescent="0.3">
      <c r="B116" s="7" t="s">
        <v>175</v>
      </c>
      <c r="C116" s="8" t="s">
        <v>176</v>
      </c>
      <c r="D116" s="13" t="s">
        <v>177</v>
      </c>
      <c r="E116" s="10" t="s">
        <v>178</v>
      </c>
      <c r="F116" s="10" t="s">
        <v>179</v>
      </c>
      <c r="G116" s="10">
        <v>0</v>
      </c>
      <c r="H116" s="10"/>
      <c r="I116" s="10" t="s">
        <v>180</v>
      </c>
    </row>
    <row r="117" spans="2:9" x14ac:dyDescent="0.3">
      <c r="B117" s="7" t="s">
        <v>181</v>
      </c>
      <c r="C117" s="8" t="s">
        <v>176</v>
      </c>
      <c r="D117" s="13" t="s">
        <v>182</v>
      </c>
      <c r="E117" s="10" t="s">
        <v>183</v>
      </c>
      <c r="F117" s="10" t="s">
        <v>179</v>
      </c>
      <c r="G117" s="10" t="s">
        <v>133</v>
      </c>
      <c r="H117" s="10"/>
      <c r="I117" s="10" t="s">
        <v>184</v>
      </c>
    </row>
    <row r="118" spans="2:9" x14ac:dyDescent="0.3">
      <c r="B118" s="7" t="s">
        <v>185</v>
      </c>
      <c r="C118" s="8" t="s">
        <v>176</v>
      </c>
      <c r="D118" s="13" t="s">
        <v>182</v>
      </c>
      <c r="E118" s="10" t="s">
        <v>183</v>
      </c>
      <c r="F118" s="10" t="s">
        <v>179</v>
      </c>
      <c r="G118" s="10" t="s">
        <v>133</v>
      </c>
      <c r="H118" s="10"/>
      <c r="I118" s="10" t="s">
        <v>184</v>
      </c>
    </row>
    <row r="119" spans="2:9" x14ac:dyDescent="0.3">
      <c r="B119" s="7" t="s">
        <v>186</v>
      </c>
      <c r="C119" s="8" t="s">
        <v>176</v>
      </c>
      <c r="D119" s="13" t="s">
        <v>182</v>
      </c>
      <c r="E119" s="10" t="s">
        <v>183</v>
      </c>
      <c r="F119" s="10" t="s">
        <v>179</v>
      </c>
      <c r="G119" s="10" t="s">
        <v>133</v>
      </c>
      <c r="H119" s="10"/>
      <c r="I119" s="10" t="s">
        <v>184</v>
      </c>
    </row>
    <row r="120" spans="2:9" x14ac:dyDescent="0.3">
      <c r="B120" s="7" t="s">
        <v>187</v>
      </c>
      <c r="C120" s="8" t="s">
        <v>176</v>
      </c>
      <c r="D120" s="13" t="s">
        <v>182</v>
      </c>
      <c r="E120" s="10" t="s">
        <v>183</v>
      </c>
      <c r="F120" s="10" t="s">
        <v>179</v>
      </c>
      <c r="G120" s="10" t="s">
        <v>133</v>
      </c>
      <c r="H120" s="10"/>
      <c r="I120" s="10" t="s">
        <v>184</v>
      </c>
    </row>
    <row r="121" spans="2:9" x14ac:dyDescent="0.3">
      <c r="B121" s="7" t="s">
        <v>188</v>
      </c>
      <c r="C121" s="8" t="s">
        <v>176</v>
      </c>
      <c r="D121" s="13" t="s">
        <v>182</v>
      </c>
      <c r="E121" s="10" t="s">
        <v>183</v>
      </c>
      <c r="F121" s="10" t="s">
        <v>179</v>
      </c>
      <c r="G121" s="10" t="s">
        <v>133</v>
      </c>
      <c r="H121" s="10"/>
      <c r="I121" s="10" t="s">
        <v>184</v>
      </c>
    </row>
    <row r="122" spans="2:9" x14ac:dyDescent="0.3">
      <c r="B122" s="7" t="s">
        <v>189</v>
      </c>
      <c r="C122" s="8" t="s">
        <v>176</v>
      </c>
      <c r="D122" s="13" t="s">
        <v>182</v>
      </c>
      <c r="E122" s="10" t="s">
        <v>183</v>
      </c>
      <c r="F122" s="10" t="s">
        <v>179</v>
      </c>
      <c r="G122" s="10" t="s">
        <v>133</v>
      </c>
      <c r="H122" s="10"/>
      <c r="I122" s="10" t="s">
        <v>184</v>
      </c>
    </row>
    <row r="123" spans="2:9" x14ac:dyDescent="0.3">
      <c r="B123" s="7" t="s">
        <v>190</v>
      </c>
      <c r="C123" s="8" t="s">
        <v>176</v>
      </c>
      <c r="D123" s="13" t="s">
        <v>182</v>
      </c>
      <c r="E123" s="10" t="s">
        <v>183</v>
      </c>
      <c r="F123" s="10" t="s">
        <v>179</v>
      </c>
      <c r="G123" s="10" t="s">
        <v>133</v>
      </c>
      <c r="H123" s="10"/>
      <c r="I123" s="10" t="s">
        <v>184</v>
      </c>
    </row>
    <row r="124" spans="2:9" x14ac:dyDescent="0.3">
      <c r="B124" s="7" t="s">
        <v>191</v>
      </c>
      <c r="C124" s="8" t="s">
        <v>176</v>
      </c>
      <c r="D124" s="13" t="s">
        <v>182</v>
      </c>
      <c r="E124" s="10" t="s">
        <v>183</v>
      </c>
      <c r="F124" s="10" t="s">
        <v>179</v>
      </c>
      <c r="G124" s="10" t="s">
        <v>133</v>
      </c>
      <c r="H124" s="10"/>
      <c r="I124" s="10" t="s">
        <v>184</v>
      </c>
    </row>
    <row r="125" spans="2:9" x14ac:dyDescent="0.3">
      <c r="B125" s="7" t="s">
        <v>192</v>
      </c>
      <c r="C125" s="8" t="s">
        <v>176</v>
      </c>
      <c r="D125" s="13" t="s">
        <v>182</v>
      </c>
      <c r="E125" s="10" t="s">
        <v>183</v>
      </c>
      <c r="F125" s="10" t="s">
        <v>179</v>
      </c>
      <c r="G125" s="10" t="s">
        <v>133</v>
      </c>
      <c r="H125" s="10"/>
      <c r="I125" s="10" t="s">
        <v>184</v>
      </c>
    </row>
    <row r="126" spans="2:9" x14ac:dyDescent="0.3">
      <c r="B126" s="7" t="s">
        <v>193</v>
      </c>
      <c r="C126" s="8" t="s">
        <v>176</v>
      </c>
      <c r="D126" s="13" t="s">
        <v>182</v>
      </c>
      <c r="E126" s="10" t="s">
        <v>183</v>
      </c>
      <c r="F126" s="10" t="s">
        <v>179</v>
      </c>
      <c r="G126" s="10" t="s">
        <v>133</v>
      </c>
      <c r="H126" s="10"/>
      <c r="I126" s="10" t="s">
        <v>184</v>
      </c>
    </row>
    <row r="127" spans="2:9" x14ac:dyDescent="0.3">
      <c r="B127" s="7" t="s">
        <v>194</v>
      </c>
      <c r="C127" s="8" t="s">
        <v>176</v>
      </c>
      <c r="D127" s="13" t="s">
        <v>182</v>
      </c>
      <c r="E127" s="10" t="s">
        <v>183</v>
      </c>
      <c r="F127" s="10" t="s">
        <v>179</v>
      </c>
      <c r="G127" s="10" t="s">
        <v>133</v>
      </c>
      <c r="H127" s="10"/>
      <c r="I127" s="10" t="s">
        <v>184</v>
      </c>
    </row>
    <row r="128" spans="2:9" x14ac:dyDescent="0.3">
      <c r="B128" s="7" t="s">
        <v>195</v>
      </c>
      <c r="C128" s="8" t="s">
        <v>176</v>
      </c>
      <c r="D128" s="13" t="s">
        <v>182</v>
      </c>
      <c r="E128" s="10" t="s">
        <v>183</v>
      </c>
      <c r="F128" s="10" t="s">
        <v>179</v>
      </c>
      <c r="G128" s="10" t="s">
        <v>133</v>
      </c>
      <c r="H128" s="10"/>
      <c r="I128" s="10" t="s">
        <v>184</v>
      </c>
    </row>
    <row r="129" spans="2:9" x14ac:dyDescent="0.3">
      <c r="B129" s="7" t="s">
        <v>196</v>
      </c>
      <c r="C129" s="8" t="s">
        <v>176</v>
      </c>
      <c r="D129" s="13" t="s">
        <v>182</v>
      </c>
      <c r="E129" s="10" t="s">
        <v>183</v>
      </c>
      <c r="F129" s="10" t="s">
        <v>179</v>
      </c>
      <c r="G129" s="10" t="s">
        <v>133</v>
      </c>
      <c r="H129" s="10"/>
      <c r="I129" s="10" t="s">
        <v>184</v>
      </c>
    </row>
    <row r="130" spans="2:9" x14ac:dyDescent="0.3">
      <c r="B130" s="7" t="s">
        <v>197</v>
      </c>
      <c r="C130" s="8" t="s">
        <v>198</v>
      </c>
      <c r="D130" s="13" t="s">
        <v>199</v>
      </c>
      <c r="E130" s="10" t="s">
        <v>183</v>
      </c>
      <c r="F130" s="10" t="s">
        <v>179</v>
      </c>
      <c r="G130" s="10">
        <v>0</v>
      </c>
      <c r="H130" s="10"/>
      <c r="I130" s="10" t="s">
        <v>200</v>
      </c>
    </row>
    <row r="131" spans="2:9" x14ac:dyDescent="0.3">
      <c r="B131" s="7" t="s">
        <v>201</v>
      </c>
      <c r="C131" s="8" t="s">
        <v>198</v>
      </c>
      <c r="D131" s="13" t="s">
        <v>202</v>
      </c>
      <c r="E131" s="10" t="s">
        <v>183</v>
      </c>
      <c r="F131" s="10" t="s">
        <v>179</v>
      </c>
      <c r="G131" s="10">
        <v>0</v>
      </c>
      <c r="H131" s="10"/>
      <c r="I131" s="10" t="s">
        <v>200</v>
      </c>
    </row>
    <row r="132" spans="2:9" x14ac:dyDescent="0.3">
      <c r="B132" s="7" t="s">
        <v>203</v>
      </c>
      <c r="C132" s="8" t="s">
        <v>198</v>
      </c>
      <c r="D132" s="13" t="s">
        <v>202</v>
      </c>
      <c r="E132" s="10" t="s">
        <v>183</v>
      </c>
      <c r="F132" s="10" t="s">
        <v>179</v>
      </c>
      <c r="G132" s="10">
        <v>0</v>
      </c>
      <c r="H132" s="10"/>
      <c r="I132" s="10" t="s">
        <v>200</v>
      </c>
    </row>
    <row r="133" spans="2:9" x14ac:dyDescent="0.3">
      <c r="B133" s="7" t="s">
        <v>204</v>
      </c>
      <c r="C133" s="8" t="s">
        <v>198</v>
      </c>
      <c r="D133" s="13" t="s">
        <v>202</v>
      </c>
      <c r="E133" s="10" t="s">
        <v>183</v>
      </c>
      <c r="F133" s="10" t="s">
        <v>179</v>
      </c>
      <c r="G133" s="10">
        <v>0</v>
      </c>
      <c r="H133" s="10"/>
      <c r="I133" s="10" t="s">
        <v>200</v>
      </c>
    </row>
    <row r="134" spans="2:9" x14ac:dyDescent="0.3">
      <c r="B134" s="7" t="s">
        <v>205</v>
      </c>
      <c r="C134" s="8" t="s">
        <v>206</v>
      </c>
      <c r="D134" s="13" t="s">
        <v>207</v>
      </c>
      <c r="E134" s="10" t="s">
        <v>183</v>
      </c>
      <c r="F134" s="10" t="s">
        <v>179</v>
      </c>
      <c r="G134" s="10" t="s">
        <v>117</v>
      </c>
      <c r="H134" s="10"/>
      <c r="I134" s="10" t="s">
        <v>208</v>
      </c>
    </row>
    <row r="135" spans="2:9" x14ac:dyDescent="0.3">
      <c r="B135" s="7" t="s">
        <v>209</v>
      </c>
      <c r="C135" s="8" t="s">
        <v>210</v>
      </c>
      <c r="D135" s="13" t="s">
        <v>211</v>
      </c>
      <c r="E135" s="10" t="s">
        <v>183</v>
      </c>
      <c r="F135" s="10" t="s">
        <v>179</v>
      </c>
      <c r="G135" s="10">
        <v>0</v>
      </c>
      <c r="H135" s="10"/>
      <c r="I135" s="10" t="s">
        <v>212</v>
      </c>
    </row>
    <row r="136" spans="2:9" x14ac:dyDescent="0.3">
      <c r="B136" s="7" t="s">
        <v>213</v>
      </c>
      <c r="C136" s="8" t="s">
        <v>210</v>
      </c>
      <c r="D136" s="13" t="s">
        <v>211</v>
      </c>
      <c r="E136" s="10" t="s">
        <v>183</v>
      </c>
      <c r="F136" s="10" t="s">
        <v>179</v>
      </c>
      <c r="G136" s="10">
        <v>0</v>
      </c>
      <c r="H136" s="10"/>
      <c r="I136" s="10" t="s">
        <v>212</v>
      </c>
    </row>
    <row r="137" spans="2:9" x14ac:dyDescent="0.3">
      <c r="B137" s="7" t="s">
        <v>214</v>
      </c>
      <c r="C137" s="8" t="s">
        <v>215</v>
      </c>
      <c r="D137" s="13" t="s">
        <v>216</v>
      </c>
      <c r="E137" s="10" t="s">
        <v>178</v>
      </c>
      <c r="F137" s="10" t="s">
        <v>179</v>
      </c>
      <c r="G137" s="10" t="s">
        <v>38</v>
      </c>
      <c r="H137" s="10"/>
      <c r="I137" s="10" t="s">
        <v>217</v>
      </c>
    </row>
    <row r="138" spans="2:9" x14ac:dyDescent="0.3">
      <c r="B138" s="7" t="s">
        <v>218</v>
      </c>
      <c r="C138" s="8" t="s">
        <v>215</v>
      </c>
      <c r="D138" s="13" t="s">
        <v>216</v>
      </c>
      <c r="E138" s="10" t="s">
        <v>178</v>
      </c>
      <c r="F138" s="10" t="s">
        <v>179</v>
      </c>
      <c r="G138" s="10" t="s">
        <v>38</v>
      </c>
      <c r="H138" s="10"/>
      <c r="I138" s="10" t="s">
        <v>217</v>
      </c>
    </row>
    <row r="139" spans="2:9" x14ac:dyDescent="0.3">
      <c r="B139" s="7" t="s">
        <v>219</v>
      </c>
      <c r="C139" s="8" t="s">
        <v>215</v>
      </c>
      <c r="D139" s="13" t="s">
        <v>220</v>
      </c>
      <c r="E139" s="10" t="s">
        <v>183</v>
      </c>
      <c r="F139" s="10" t="s">
        <v>179</v>
      </c>
      <c r="G139" s="10" t="s">
        <v>133</v>
      </c>
      <c r="H139" s="10"/>
      <c r="I139" s="10" t="s">
        <v>221</v>
      </c>
    </row>
    <row r="140" spans="2:9" x14ac:dyDescent="0.3">
      <c r="B140" s="7" t="s">
        <v>222</v>
      </c>
      <c r="C140" s="8" t="s">
        <v>215</v>
      </c>
      <c r="D140" s="13" t="s">
        <v>220</v>
      </c>
      <c r="E140" s="10" t="s">
        <v>183</v>
      </c>
      <c r="F140" s="10" t="s">
        <v>179</v>
      </c>
      <c r="G140" s="10" t="s">
        <v>133</v>
      </c>
      <c r="H140" s="10"/>
      <c r="I140" s="10" t="s">
        <v>221</v>
      </c>
    </row>
    <row r="141" spans="2:9" x14ac:dyDescent="0.3">
      <c r="B141" s="7" t="s">
        <v>223</v>
      </c>
      <c r="C141" s="8" t="s">
        <v>215</v>
      </c>
      <c r="D141" s="13" t="s">
        <v>220</v>
      </c>
      <c r="E141" s="10" t="s">
        <v>183</v>
      </c>
      <c r="F141" s="10" t="s">
        <v>179</v>
      </c>
      <c r="G141" s="10" t="s">
        <v>133</v>
      </c>
      <c r="H141" s="10"/>
      <c r="I141" s="10" t="s">
        <v>221</v>
      </c>
    </row>
    <row r="142" spans="2:9" x14ac:dyDescent="0.3">
      <c r="B142" s="7" t="s">
        <v>224</v>
      </c>
      <c r="C142" s="8" t="s">
        <v>215</v>
      </c>
      <c r="D142" s="13" t="s">
        <v>220</v>
      </c>
      <c r="E142" s="10" t="s">
        <v>183</v>
      </c>
      <c r="F142" s="10" t="s">
        <v>179</v>
      </c>
      <c r="G142" s="10" t="s">
        <v>133</v>
      </c>
      <c r="H142" s="10"/>
      <c r="I142" s="10" t="s">
        <v>221</v>
      </c>
    </row>
    <row r="143" spans="2:9" x14ac:dyDescent="0.3">
      <c r="B143" s="7" t="s">
        <v>225</v>
      </c>
      <c r="C143" s="8" t="s">
        <v>215</v>
      </c>
      <c r="D143" s="13" t="s">
        <v>220</v>
      </c>
      <c r="E143" s="10" t="s">
        <v>183</v>
      </c>
      <c r="F143" s="10" t="s">
        <v>179</v>
      </c>
      <c r="G143" s="10" t="s">
        <v>133</v>
      </c>
      <c r="H143" s="10"/>
      <c r="I143" s="10" t="s">
        <v>221</v>
      </c>
    </row>
    <row r="144" spans="2:9" x14ac:dyDescent="0.3">
      <c r="B144" s="7" t="s">
        <v>226</v>
      </c>
      <c r="C144" s="8" t="s">
        <v>215</v>
      </c>
      <c r="D144" s="13" t="s">
        <v>220</v>
      </c>
      <c r="E144" s="10" t="s">
        <v>183</v>
      </c>
      <c r="F144" s="10" t="s">
        <v>179</v>
      </c>
      <c r="G144" s="10" t="s">
        <v>133</v>
      </c>
      <c r="H144" s="10"/>
      <c r="I144" s="10" t="s">
        <v>221</v>
      </c>
    </row>
    <row r="145" spans="2:9" x14ac:dyDescent="0.3">
      <c r="B145" s="7" t="s">
        <v>227</v>
      </c>
      <c r="C145" s="8" t="s">
        <v>215</v>
      </c>
      <c r="D145" s="13" t="s">
        <v>220</v>
      </c>
      <c r="E145" s="10" t="s">
        <v>183</v>
      </c>
      <c r="F145" s="10" t="s">
        <v>179</v>
      </c>
      <c r="G145" s="10" t="s">
        <v>133</v>
      </c>
      <c r="H145" s="10"/>
      <c r="I145" s="10" t="s">
        <v>221</v>
      </c>
    </row>
    <row r="146" spans="2:9" x14ac:dyDescent="0.3">
      <c r="B146" s="7" t="s">
        <v>228</v>
      </c>
      <c r="C146" s="8" t="s">
        <v>215</v>
      </c>
      <c r="D146" s="13" t="s">
        <v>220</v>
      </c>
      <c r="E146" s="10" t="s">
        <v>183</v>
      </c>
      <c r="F146" s="10" t="s">
        <v>179</v>
      </c>
      <c r="G146" s="10" t="s">
        <v>133</v>
      </c>
      <c r="H146" s="10"/>
      <c r="I146" s="10" t="s">
        <v>221</v>
      </c>
    </row>
    <row r="147" spans="2:9" x14ac:dyDescent="0.3">
      <c r="B147" s="7" t="s">
        <v>229</v>
      </c>
      <c r="C147" s="8" t="s">
        <v>215</v>
      </c>
      <c r="D147" s="13" t="s">
        <v>220</v>
      </c>
      <c r="E147" s="10" t="s">
        <v>183</v>
      </c>
      <c r="F147" s="10" t="s">
        <v>179</v>
      </c>
      <c r="G147" s="10" t="s">
        <v>133</v>
      </c>
      <c r="H147" s="10"/>
      <c r="I147" s="10" t="s">
        <v>221</v>
      </c>
    </row>
    <row r="148" spans="2:9" x14ac:dyDescent="0.3">
      <c r="B148" s="7" t="s">
        <v>230</v>
      </c>
      <c r="C148" s="8" t="s">
        <v>215</v>
      </c>
      <c r="D148" s="13" t="s">
        <v>220</v>
      </c>
      <c r="E148" s="10" t="s">
        <v>183</v>
      </c>
      <c r="F148" s="10" t="s">
        <v>179</v>
      </c>
      <c r="G148" s="10" t="s">
        <v>133</v>
      </c>
      <c r="H148" s="10"/>
      <c r="I148" s="10" t="s">
        <v>221</v>
      </c>
    </row>
    <row r="149" spans="2:9" x14ac:dyDescent="0.3">
      <c r="B149" s="7" t="s">
        <v>231</v>
      </c>
      <c r="C149" s="8" t="s">
        <v>215</v>
      </c>
      <c r="D149" s="13" t="s">
        <v>220</v>
      </c>
      <c r="E149" s="10" t="s">
        <v>183</v>
      </c>
      <c r="F149" s="10" t="s">
        <v>179</v>
      </c>
      <c r="G149" s="10" t="s">
        <v>133</v>
      </c>
      <c r="H149" s="10"/>
      <c r="I149" s="10" t="s">
        <v>221</v>
      </c>
    </row>
    <row r="150" spans="2:9" x14ac:dyDescent="0.3">
      <c r="B150" s="7" t="s">
        <v>232</v>
      </c>
      <c r="C150" s="8" t="s">
        <v>215</v>
      </c>
      <c r="D150" s="13" t="s">
        <v>220</v>
      </c>
      <c r="E150" s="10" t="s">
        <v>183</v>
      </c>
      <c r="F150" s="10" t="s">
        <v>179</v>
      </c>
      <c r="G150" s="10" t="s">
        <v>133</v>
      </c>
      <c r="H150" s="10"/>
      <c r="I150" s="10" t="s">
        <v>221</v>
      </c>
    </row>
    <row r="151" spans="2:9" x14ac:dyDescent="0.3">
      <c r="B151" s="7" t="s">
        <v>233</v>
      </c>
      <c r="C151" s="8" t="s">
        <v>215</v>
      </c>
      <c r="D151" s="13" t="s">
        <v>220</v>
      </c>
      <c r="E151" s="10" t="s">
        <v>183</v>
      </c>
      <c r="F151" s="10" t="s">
        <v>179</v>
      </c>
      <c r="G151" s="10" t="s">
        <v>133</v>
      </c>
      <c r="H151" s="10"/>
      <c r="I151" s="10" t="s">
        <v>221</v>
      </c>
    </row>
    <row r="152" spans="2:9" x14ac:dyDescent="0.3">
      <c r="B152" s="7" t="s">
        <v>234</v>
      </c>
      <c r="C152" s="8" t="s">
        <v>215</v>
      </c>
      <c r="D152" s="13" t="s">
        <v>220</v>
      </c>
      <c r="E152" s="10" t="s">
        <v>183</v>
      </c>
      <c r="F152" s="10" t="s">
        <v>179</v>
      </c>
      <c r="G152" s="10" t="s">
        <v>133</v>
      </c>
      <c r="H152" s="10"/>
      <c r="I152" s="10" t="s">
        <v>221</v>
      </c>
    </row>
    <row r="153" spans="2:9" x14ac:dyDescent="0.3">
      <c r="B153" s="7" t="s">
        <v>235</v>
      </c>
      <c r="C153" s="8" t="s">
        <v>215</v>
      </c>
      <c r="D153" s="13" t="s">
        <v>220</v>
      </c>
      <c r="E153" s="10" t="s">
        <v>183</v>
      </c>
      <c r="F153" s="10" t="s">
        <v>179</v>
      </c>
      <c r="G153" s="10" t="s">
        <v>133</v>
      </c>
      <c r="H153" s="10"/>
      <c r="I153" s="10" t="s">
        <v>221</v>
      </c>
    </row>
    <row r="154" spans="2:9" x14ac:dyDescent="0.3">
      <c r="B154" s="7" t="s">
        <v>236</v>
      </c>
      <c r="C154" s="8" t="s">
        <v>215</v>
      </c>
      <c r="D154" s="13" t="s">
        <v>220</v>
      </c>
      <c r="E154" s="10" t="s">
        <v>183</v>
      </c>
      <c r="F154" s="10" t="s">
        <v>179</v>
      </c>
      <c r="G154" s="10" t="s">
        <v>133</v>
      </c>
      <c r="H154" s="10"/>
      <c r="I154" s="10" t="s">
        <v>221</v>
      </c>
    </row>
    <row r="155" spans="2:9" x14ac:dyDescent="0.3">
      <c r="B155" s="7" t="s">
        <v>237</v>
      </c>
      <c r="C155" s="8" t="s">
        <v>215</v>
      </c>
      <c r="D155" s="13" t="s">
        <v>220</v>
      </c>
      <c r="E155" s="10" t="s">
        <v>183</v>
      </c>
      <c r="F155" s="10" t="s">
        <v>179</v>
      </c>
      <c r="G155" s="10" t="s">
        <v>133</v>
      </c>
      <c r="H155" s="10"/>
      <c r="I155" s="10" t="s">
        <v>221</v>
      </c>
    </row>
    <row r="156" spans="2:9" x14ac:dyDescent="0.3">
      <c r="B156" s="7" t="s">
        <v>238</v>
      </c>
      <c r="C156" s="8" t="s">
        <v>215</v>
      </c>
      <c r="D156" s="13" t="s">
        <v>239</v>
      </c>
      <c r="E156" s="10" t="s">
        <v>183</v>
      </c>
      <c r="F156" s="10" t="s">
        <v>179</v>
      </c>
      <c r="G156" s="10" t="s">
        <v>133</v>
      </c>
      <c r="H156" s="10"/>
      <c r="I156" s="10" t="s">
        <v>240</v>
      </c>
    </row>
    <row r="157" spans="2:9" x14ac:dyDescent="0.3">
      <c r="B157" s="7" t="s">
        <v>241</v>
      </c>
      <c r="C157" s="8" t="s">
        <v>215</v>
      </c>
      <c r="D157" s="13" t="s">
        <v>239</v>
      </c>
      <c r="E157" s="10" t="s">
        <v>183</v>
      </c>
      <c r="F157" s="10" t="s">
        <v>179</v>
      </c>
      <c r="G157" s="10" t="s">
        <v>133</v>
      </c>
      <c r="H157" s="10"/>
      <c r="I157" s="10" t="s">
        <v>240</v>
      </c>
    </row>
    <row r="158" spans="2:9" x14ac:dyDescent="0.3">
      <c r="B158" s="7" t="s">
        <v>242</v>
      </c>
      <c r="C158" s="8" t="s">
        <v>215</v>
      </c>
      <c r="D158" s="13" t="s">
        <v>239</v>
      </c>
      <c r="E158" s="10" t="s">
        <v>183</v>
      </c>
      <c r="F158" s="10" t="s">
        <v>179</v>
      </c>
      <c r="G158" s="10" t="s">
        <v>133</v>
      </c>
      <c r="H158" s="10"/>
      <c r="I158" s="10" t="s">
        <v>240</v>
      </c>
    </row>
    <row r="159" spans="2:9" x14ac:dyDescent="0.3">
      <c r="B159" s="7" t="s">
        <v>243</v>
      </c>
      <c r="C159" s="8" t="s">
        <v>215</v>
      </c>
      <c r="D159" s="13" t="s">
        <v>239</v>
      </c>
      <c r="E159" s="10" t="s">
        <v>183</v>
      </c>
      <c r="F159" s="10" t="s">
        <v>179</v>
      </c>
      <c r="G159" s="10" t="s">
        <v>133</v>
      </c>
      <c r="H159" s="10"/>
      <c r="I159" s="10" t="s">
        <v>240</v>
      </c>
    </row>
    <row r="160" spans="2:9" x14ac:dyDescent="0.3">
      <c r="B160" s="7" t="s">
        <v>244</v>
      </c>
      <c r="C160" s="8" t="s">
        <v>215</v>
      </c>
      <c r="D160" s="13" t="s">
        <v>239</v>
      </c>
      <c r="E160" s="10" t="s">
        <v>183</v>
      </c>
      <c r="F160" s="10" t="s">
        <v>179</v>
      </c>
      <c r="G160" s="10" t="s">
        <v>133</v>
      </c>
      <c r="H160" s="10"/>
      <c r="I160" s="10" t="s">
        <v>240</v>
      </c>
    </row>
    <row r="161" spans="2:9" x14ac:dyDescent="0.3">
      <c r="B161" s="7" t="s">
        <v>245</v>
      </c>
      <c r="C161" s="8" t="s">
        <v>215</v>
      </c>
      <c r="D161" s="13" t="s">
        <v>246</v>
      </c>
      <c r="E161" s="10" t="s">
        <v>178</v>
      </c>
      <c r="F161" s="10" t="s">
        <v>179</v>
      </c>
      <c r="G161" s="10" t="s">
        <v>133</v>
      </c>
      <c r="H161" s="10"/>
      <c r="I161" s="10" t="s">
        <v>240</v>
      </c>
    </row>
    <row r="162" spans="2:9" x14ac:dyDescent="0.3">
      <c r="B162" s="7" t="s">
        <v>247</v>
      </c>
      <c r="C162" s="8" t="s">
        <v>248</v>
      </c>
      <c r="D162" s="13" t="s">
        <v>249</v>
      </c>
      <c r="E162" s="10" t="s">
        <v>183</v>
      </c>
      <c r="F162" s="10" t="s">
        <v>179</v>
      </c>
      <c r="G162" s="10" t="s">
        <v>117</v>
      </c>
      <c r="H162" s="10"/>
      <c r="I162" s="10" t="s">
        <v>250</v>
      </c>
    </row>
    <row r="163" spans="2:9" x14ac:dyDescent="0.3">
      <c r="B163" s="7" t="s">
        <v>251</v>
      </c>
      <c r="C163" s="8" t="s">
        <v>248</v>
      </c>
      <c r="D163" s="13" t="s">
        <v>249</v>
      </c>
      <c r="E163" s="10" t="s">
        <v>183</v>
      </c>
      <c r="F163" s="10" t="s">
        <v>179</v>
      </c>
      <c r="G163" s="10" t="s">
        <v>117</v>
      </c>
      <c r="H163" s="10"/>
      <c r="I163" s="10" t="s">
        <v>250</v>
      </c>
    </row>
  </sheetData>
  <conditionalFormatting sqref="B7:D8 B9:B11">
    <cfRule type="expression" dxfId="59" priority="1">
      <formula>#REF!="Vencido"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F2E9-9D79-45A4-AEFB-A11A7860FBD2}">
  <sheetPr>
    <tabColor rgb="FF00B050"/>
  </sheetPr>
  <dimension ref="A1:V115"/>
  <sheetViews>
    <sheetView showGridLines="0" tabSelected="1" topLeftCell="A42" zoomScale="70" zoomScaleNormal="70" workbookViewId="0">
      <selection activeCell="L60" sqref="L60:M67"/>
    </sheetView>
  </sheetViews>
  <sheetFormatPr baseColWidth="10" defaultColWidth="11" defaultRowHeight="14" x14ac:dyDescent="0.3"/>
  <cols>
    <col min="1" max="1" width="2.33203125" style="17" customWidth="1"/>
    <col min="2" max="2" width="1.58203125" customWidth="1"/>
    <col min="3" max="3" width="4.25" customWidth="1"/>
    <col min="4" max="4" width="7.33203125" bestFit="1" customWidth="1"/>
    <col min="5" max="5" width="11.08203125" bestFit="1" customWidth="1"/>
    <col min="6" max="6" width="15.58203125" customWidth="1"/>
    <col min="7" max="8" width="11.33203125" customWidth="1"/>
    <col min="9" max="9" width="11" bestFit="1" customWidth="1"/>
    <col min="10" max="10" width="11" customWidth="1"/>
    <col min="11" max="11" width="10.33203125" bestFit="1" customWidth="1"/>
    <col min="12" max="12" width="7" customWidth="1"/>
    <col min="13" max="13" width="15" customWidth="1"/>
    <col min="14" max="14" width="11" customWidth="1"/>
    <col min="15" max="15" width="15" customWidth="1"/>
    <col min="16" max="16" width="12.83203125" bestFit="1" customWidth="1"/>
    <col min="17" max="17" width="11" bestFit="1" customWidth="1"/>
    <col min="18" max="18" width="11" customWidth="1"/>
    <col min="19" max="19" width="7.83203125" customWidth="1"/>
    <col min="20" max="20" width="10.33203125" customWidth="1"/>
    <col min="21" max="21" width="7.08203125" bestFit="1" customWidth="1"/>
    <col min="22" max="22" width="17.83203125" customWidth="1"/>
  </cols>
  <sheetData>
    <row r="1" spans="1:22" s="18" customFormat="1" ht="36" thickBot="1" x14ac:dyDescent="0.35">
      <c r="A1" s="17"/>
      <c r="C1" s="19" t="s">
        <v>252</v>
      </c>
      <c r="D1" s="20"/>
      <c r="E1" s="20"/>
    </row>
    <row r="6" spans="1:22" ht="8.15" customHeight="1" x14ac:dyDescent="0.3"/>
    <row r="7" spans="1:22" ht="26" x14ac:dyDescent="0.3">
      <c r="C7" s="22" t="s">
        <v>253</v>
      </c>
      <c r="D7" s="22" t="s">
        <v>254</v>
      </c>
      <c r="E7" s="22" t="s">
        <v>255</v>
      </c>
      <c r="F7" s="23" t="s">
        <v>256</v>
      </c>
      <c r="G7" s="22" t="s">
        <v>257</v>
      </c>
      <c r="H7" s="22" t="s">
        <v>258</v>
      </c>
      <c r="I7" s="22" t="s">
        <v>259</v>
      </c>
      <c r="J7" s="22" t="s">
        <v>260</v>
      </c>
      <c r="K7" s="22" t="s">
        <v>261</v>
      </c>
      <c r="L7" s="22" t="s">
        <v>26</v>
      </c>
      <c r="M7" s="22" t="s">
        <v>31</v>
      </c>
      <c r="N7" s="23" t="s">
        <v>262</v>
      </c>
      <c r="O7" s="23" t="s">
        <v>263</v>
      </c>
      <c r="P7" s="23" t="s">
        <v>264</v>
      </c>
      <c r="Q7" s="23" t="s">
        <v>265</v>
      </c>
      <c r="R7" s="23" t="s">
        <v>266</v>
      </c>
      <c r="S7" s="23" t="s">
        <v>267</v>
      </c>
      <c r="T7" s="23" t="s">
        <v>268</v>
      </c>
      <c r="U7" s="23" t="s">
        <v>269</v>
      </c>
      <c r="V7" s="23" t="s">
        <v>270</v>
      </c>
    </row>
    <row r="8" spans="1:22" x14ac:dyDescent="0.3">
      <c r="C8" s="7">
        <f>ROW(A1)</f>
        <v>1</v>
      </c>
      <c r="D8" s="24" t="s">
        <v>131</v>
      </c>
      <c r="E8" s="25" t="s">
        <v>276</v>
      </c>
      <c r="F8" s="8">
        <v>3022500152296</v>
      </c>
      <c r="G8" s="26">
        <v>45780</v>
      </c>
      <c r="H8" s="26">
        <v>46145</v>
      </c>
      <c r="I8" s="88">
        <v>140</v>
      </c>
      <c r="J8" s="8">
        <f t="shared" ref="J8:J39" ca="1" si="0">IFERROR(H8-(TODAY()),"")</f>
        <v>177</v>
      </c>
      <c r="K8" s="7" t="str">
        <f t="shared" ref="K8:K39" ca="1" si="1">IF(H8="","",IF(H8&lt;TODAY(),"Vencido","Vigente"))</f>
        <v>Vigente</v>
      </c>
      <c r="L8" s="27" t="s">
        <v>132</v>
      </c>
      <c r="M8" s="27" t="s">
        <v>48</v>
      </c>
      <c r="O8" s="27" t="s">
        <v>1119</v>
      </c>
      <c r="P8" s="27" t="s">
        <v>1120</v>
      </c>
      <c r="Q8" s="27" t="s">
        <v>1121</v>
      </c>
      <c r="R8" s="27">
        <v>140</v>
      </c>
      <c r="S8" s="27">
        <v>140</v>
      </c>
      <c r="T8" s="27">
        <v>140.00700000000001</v>
      </c>
      <c r="U8" s="27">
        <v>140</v>
      </c>
      <c r="V8" s="27"/>
    </row>
    <row r="9" spans="1:22" x14ac:dyDescent="0.3">
      <c r="C9" s="7">
        <f>ROW(A2)</f>
        <v>2</v>
      </c>
      <c r="D9" s="24" t="s">
        <v>134</v>
      </c>
      <c r="E9" s="25" t="s">
        <v>276</v>
      </c>
      <c r="F9" s="8">
        <v>3022500152295</v>
      </c>
      <c r="G9" s="26">
        <v>45780</v>
      </c>
      <c r="H9" s="26">
        <v>46145</v>
      </c>
      <c r="I9" s="88">
        <v>140</v>
      </c>
      <c r="J9" s="8">
        <f t="shared" ca="1" si="0"/>
        <v>177</v>
      </c>
      <c r="K9" s="7" t="str">
        <f t="shared" ca="1" si="1"/>
        <v>Vigente</v>
      </c>
      <c r="L9" s="27" t="s">
        <v>132</v>
      </c>
      <c r="M9" s="27" t="s">
        <v>48</v>
      </c>
      <c r="O9" s="27" t="s">
        <v>1122</v>
      </c>
      <c r="P9" s="27" t="s">
        <v>1120</v>
      </c>
      <c r="Q9" s="27" t="s">
        <v>1121</v>
      </c>
      <c r="R9" s="27">
        <v>140</v>
      </c>
      <c r="S9" s="27">
        <v>140</v>
      </c>
      <c r="T9" s="27">
        <v>140.00700000000001</v>
      </c>
      <c r="U9" s="27">
        <v>140</v>
      </c>
      <c r="V9" s="27"/>
    </row>
    <row r="10" spans="1:22" x14ac:dyDescent="0.3">
      <c r="C10" s="7">
        <f t="shared" ref="C10:C73" si="2">ROW(A3)</f>
        <v>3</v>
      </c>
      <c r="D10" s="24" t="s">
        <v>135</v>
      </c>
      <c r="E10" s="25" t="s">
        <v>276</v>
      </c>
      <c r="F10" s="8">
        <v>3022500152291</v>
      </c>
      <c r="G10" s="26">
        <v>45780</v>
      </c>
      <c r="H10" s="26">
        <v>46145</v>
      </c>
      <c r="I10" s="88">
        <v>140</v>
      </c>
      <c r="J10" s="8">
        <f t="shared" ca="1" si="0"/>
        <v>177</v>
      </c>
      <c r="K10" s="7" t="str">
        <f t="shared" ca="1" si="1"/>
        <v>Vigente</v>
      </c>
      <c r="L10" s="27" t="s">
        <v>132</v>
      </c>
      <c r="M10" s="27" t="s">
        <v>48</v>
      </c>
      <c r="O10" s="27" t="s">
        <v>1123</v>
      </c>
      <c r="P10" s="27" t="s">
        <v>1120</v>
      </c>
      <c r="Q10" s="27" t="s">
        <v>1121</v>
      </c>
      <c r="R10" s="27">
        <v>140</v>
      </c>
      <c r="S10" s="27">
        <v>140</v>
      </c>
      <c r="T10" s="27">
        <v>140.00700000000001</v>
      </c>
      <c r="U10" s="27">
        <v>140</v>
      </c>
      <c r="V10" s="27"/>
    </row>
    <row r="11" spans="1:22" x14ac:dyDescent="0.3">
      <c r="C11" s="7">
        <f t="shared" si="2"/>
        <v>4</v>
      </c>
      <c r="D11" s="24" t="s">
        <v>136</v>
      </c>
      <c r="E11" s="25" t="s">
        <v>276</v>
      </c>
      <c r="F11" s="8">
        <v>3022500152290</v>
      </c>
      <c r="G11" s="26">
        <v>45780</v>
      </c>
      <c r="H11" s="26">
        <v>46145</v>
      </c>
      <c r="I11" s="88">
        <v>140</v>
      </c>
      <c r="J11" s="8">
        <f t="shared" ca="1" si="0"/>
        <v>177</v>
      </c>
      <c r="K11" s="7" t="str">
        <f t="shared" ca="1" si="1"/>
        <v>Vigente</v>
      </c>
      <c r="L11" s="27" t="s">
        <v>132</v>
      </c>
      <c r="M11" s="27" t="s">
        <v>48</v>
      </c>
      <c r="O11" s="27" t="s">
        <v>1124</v>
      </c>
      <c r="P11" s="27" t="s">
        <v>1120</v>
      </c>
      <c r="Q11" s="27" t="s">
        <v>1121</v>
      </c>
      <c r="R11" s="27">
        <v>140</v>
      </c>
      <c r="S11" s="27">
        <v>140</v>
      </c>
      <c r="T11" s="27">
        <v>140.00700000000001</v>
      </c>
      <c r="U11" s="27">
        <v>140</v>
      </c>
      <c r="V11" s="27"/>
    </row>
    <row r="12" spans="1:22" x14ac:dyDescent="0.3">
      <c r="C12" s="7">
        <f t="shared" si="2"/>
        <v>5</v>
      </c>
      <c r="D12" s="24" t="s">
        <v>137</v>
      </c>
      <c r="E12" s="25" t="s">
        <v>276</v>
      </c>
      <c r="F12" s="8">
        <v>3022500152286</v>
      </c>
      <c r="G12" s="26">
        <v>45780</v>
      </c>
      <c r="H12" s="26">
        <v>46145</v>
      </c>
      <c r="I12" s="88">
        <v>140</v>
      </c>
      <c r="J12" s="8">
        <f t="shared" ca="1" si="0"/>
        <v>177</v>
      </c>
      <c r="K12" s="7" t="str">
        <f t="shared" ca="1" si="1"/>
        <v>Vigente</v>
      </c>
      <c r="L12" s="27" t="s">
        <v>132</v>
      </c>
      <c r="M12" s="27" t="s">
        <v>48</v>
      </c>
      <c r="O12" s="27" t="s">
        <v>1125</v>
      </c>
      <c r="P12" s="27" t="s">
        <v>1120</v>
      </c>
      <c r="Q12" s="27" t="s">
        <v>1121</v>
      </c>
      <c r="R12" s="27">
        <v>140</v>
      </c>
      <c r="S12" s="27">
        <v>140</v>
      </c>
      <c r="T12" s="27">
        <v>140.00700000000001</v>
      </c>
      <c r="U12" s="27">
        <v>140</v>
      </c>
      <c r="V12" s="27"/>
    </row>
    <row r="13" spans="1:22" x14ac:dyDescent="0.3">
      <c r="C13" s="7">
        <f t="shared" si="2"/>
        <v>6</v>
      </c>
      <c r="D13" s="24" t="s">
        <v>138</v>
      </c>
      <c r="E13" s="25" t="s">
        <v>276</v>
      </c>
      <c r="F13" s="8">
        <v>3022500152294</v>
      </c>
      <c r="G13" s="26">
        <v>45780</v>
      </c>
      <c r="H13" s="26">
        <v>46145</v>
      </c>
      <c r="I13" s="88">
        <v>140</v>
      </c>
      <c r="J13" s="8">
        <f t="shared" ca="1" si="0"/>
        <v>177</v>
      </c>
      <c r="K13" s="7" t="str">
        <f t="shared" ca="1" si="1"/>
        <v>Vigente</v>
      </c>
      <c r="L13" s="27" t="s">
        <v>132</v>
      </c>
      <c r="M13" s="27" t="s">
        <v>48</v>
      </c>
      <c r="O13" s="27" t="s">
        <v>1126</v>
      </c>
      <c r="P13" s="27" t="s">
        <v>1120</v>
      </c>
      <c r="Q13" s="27" t="s">
        <v>1121</v>
      </c>
      <c r="R13" s="27">
        <v>140</v>
      </c>
      <c r="S13" s="27">
        <v>140</v>
      </c>
      <c r="T13" s="27">
        <v>140.00700000000001</v>
      </c>
      <c r="U13" s="27">
        <v>140</v>
      </c>
      <c r="V13" s="27"/>
    </row>
    <row r="14" spans="1:22" x14ac:dyDescent="0.3">
      <c r="C14" s="7">
        <f t="shared" si="2"/>
        <v>7</v>
      </c>
      <c r="D14" s="24" t="s">
        <v>139</v>
      </c>
      <c r="E14" s="25" t="s">
        <v>276</v>
      </c>
      <c r="F14" s="8">
        <v>3022500152293</v>
      </c>
      <c r="G14" s="26">
        <v>45780</v>
      </c>
      <c r="H14" s="26">
        <v>46145</v>
      </c>
      <c r="I14" s="88">
        <v>140</v>
      </c>
      <c r="J14" s="8">
        <f t="shared" ca="1" si="0"/>
        <v>177</v>
      </c>
      <c r="K14" s="7" t="str">
        <f t="shared" ca="1" si="1"/>
        <v>Vigente</v>
      </c>
      <c r="L14" s="27" t="s">
        <v>132</v>
      </c>
      <c r="M14" s="27" t="s">
        <v>48</v>
      </c>
      <c r="O14" s="27" t="s">
        <v>1127</v>
      </c>
      <c r="P14" s="27" t="s">
        <v>1120</v>
      </c>
      <c r="Q14" s="27" t="s">
        <v>1121</v>
      </c>
      <c r="R14" s="27">
        <v>140</v>
      </c>
      <c r="S14" s="27">
        <v>140</v>
      </c>
      <c r="T14" s="27">
        <v>140.00700000000001</v>
      </c>
      <c r="U14" s="27">
        <v>140</v>
      </c>
      <c r="V14" s="27"/>
    </row>
    <row r="15" spans="1:22" x14ac:dyDescent="0.3">
      <c r="C15" s="7">
        <f t="shared" si="2"/>
        <v>8</v>
      </c>
      <c r="D15" s="24" t="s">
        <v>140</v>
      </c>
      <c r="E15" s="25" t="s">
        <v>276</v>
      </c>
      <c r="F15" s="8">
        <v>3022500152292</v>
      </c>
      <c r="G15" s="26">
        <v>45780</v>
      </c>
      <c r="H15" s="26">
        <v>46145</v>
      </c>
      <c r="I15" s="88">
        <v>140</v>
      </c>
      <c r="J15" s="8">
        <f t="shared" ca="1" si="0"/>
        <v>177</v>
      </c>
      <c r="K15" s="7" t="str">
        <f t="shared" ca="1" si="1"/>
        <v>Vigente</v>
      </c>
      <c r="L15" s="27" t="s">
        <v>132</v>
      </c>
      <c r="M15" s="27" t="s">
        <v>48</v>
      </c>
      <c r="O15" s="27" t="s">
        <v>1128</v>
      </c>
      <c r="P15" s="27" t="s">
        <v>1120</v>
      </c>
      <c r="Q15" s="27" t="s">
        <v>1121</v>
      </c>
      <c r="R15" s="27">
        <v>140</v>
      </c>
      <c r="S15" s="27">
        <v>140</v>
      </c>
      <c r="T15" s="27">
        <v>140.00700000000001</v>
      </c>
      <c r="U15" s="27">
        <v>140</v>
      </c>
      <c r="V15" s="27"/>
    </row>
    <row r="16" spans="1:22" x14ac:dyDescent="0.3">
      <c r="C16" s="7">
        <f t="shared" si="2"/>
        <v>9</v>
      </c>
      <c r="D16" s="24" t="s">
        <v>141</v>
      </c>
      <c r="E16" s="25" t="s">
        <v>276</v>
      </c>
      <c r="F16" s="8">
        <v>3022500152287</v>
      </c>
      <c r="G16" s="26">
        <v>45780</v>
      </c>
      <c r="H16" s="26">
        <v>46145</v>
      </c>
      <c r="I16" s="88">
        <v>140</v>
      </c>
      <c r="J16" s="8">
        <f t="shared" ca="1" si="0"/>
        <v>177</v>
      </c>
      <c r="K16" s="7" t="str">
        <f t="shared" ca="1" si="1"/>
        <v>Vigente</v>
      </c>
      <c r="L16" s="27" t="s">
        <v>132</v>
      </c>
      <c r="M16" s="27" t="s">
        <v>48</v>
      </c>
      <c r="O16" s="27" t="s">
        <v>1129</v>
      </c>
      <c r="P16" s="27" t="s">
        <v>1120</v>
      </c>
      <c r="Q16" s="27" t="s">
        <v>1121</v>
      </c>
      <c r="R16" s="27">
        <v>140</v>
      </c>
      <c r="S16" s="27">
        <v>140</v>
      </c>
      <c r="T16" s="27">
        <v>140.00700000000001</v>
      </c>
      <c r="U16" s="27">
        <v>140</v>
      </c>
      <c r="V16" s="27"/>
    </row>
    <row r="17" spans="3:22" x14ac:dyDescent="0.3">
      <c r="C17" s="7">
        <f t="shared" si="2"/>
        <v>10</v>
      </c>
      <c r="D17" s="24" t="s">
        <v>142</v>
      </c>
      <c r="E17" s="25" t="s">
        <v>276</v>
      </c>
      <c r="F17" s="8">
        <v>3022500152285</v>
      </c>
      <c r="G17" s="26">
        <v>45780</v>
      </c>
      <c r="H17" s="26">
        <v>46145</v>
      </c>
      <c r="I17" s="88">
        <v>140</v>
      </c>
      <c r="J17" s="8">
        <f t="shared" ca="1" si="0"/>
        <v>177</v>
      </c>
      <c r="K17" s="7" t="str">
        <f t="shared" ca="1" si="1"/>
        <v>Vigente</v>
      </c>
      <c r="L17" s="27" t="s">
        <v>132</v>
      </c>
      <c r="M17" s="27" t="s">
        <v>48</v>
      </c>
      <c r="O17" s="27" t="s">
        <v>1130</v>
      </c>
      <c r="P17" s="27" t="s">
        <v>1120</v>
      </c>
      <c r="Q17" s="27" t="s">
        <v>1121</v>
      </c>
      <c r="R17" s="27">
        <v>140</v>
      </c>
      <c r="S17" s="27">
        <v>140</v>
      </c>
      <c r="T17" s="27">
        <v>140.00700000000001</v>
      </c>
      <c r="U17" s="27">
        <v>140</v>
      </c>
      <c r="V17" s="27"/>
    </row>
    <row r="18" spans="3:22" x14ac:dyDescent="0.3">
      <c r="C18" s="7">
        <f t="shared" si="2"/>
        <v>11</v>
      </c>
      <c r="D18" s="24" t="s">
        <v>143</v>
      </c>
      <c r="E18" s="25" t="s">
        <v>276</v>
      </c>
      <c r="F18" s="8">
        <v>3022500152284</v>
      </c>
      <c r="G18" s="26">
        <v>45780</v>
      </c>
      <c r="H18" s="26">
        <v>46145</v>
      </c>
      <c r="I18" s="88">
        <v>140</v>
      </c>
      <c r="J18" s="8">
        <f t="shared" ca="1" si="0"/>
        <v>177</v>
      </c>
      <c r="K18" s="7" t="str">
        <f t="shared" ca="1" si="1"/>
        <v>Vigente</v>
      </c>
      <c r="L18" s="27" t="s">
        <v>132</v>
      </c>
      <c r="M18" s="27" t="s">
        <v>48</v>
      </c>
      <c r="O18" s="27" t="s">
        <v>1131</v>
      </c>
      <c r="P18" s="27" t="s">
        <v>1120</v>
      </c>
      <c r="Q18" s="27" t="s">
        <v>1121</v>
      </c>
      <c r="R18" s="27">
        <v>140</v>
      </c>
      <c r="S18" s="27">
        <v>140</v>
      </c>
      <c r="T18" s="27">
        <v>140.00700000000001</v>
      </c>
      <c r="U18" s="27">
        <v>140</v>
      </c>
      <c r="V18" s="27"/>
    </row>
    <row r="19" spans="3:22" x14ac:dyDescent="0.3">
      <c r="C19" s="7">
        <f t="shared" si="2"/>
        <v>12</v>
      </c>
      <c r="D19" s="24" t="s">
        <v>144</v>
      </c>
      <c r="E19" s="25" t="s">
        <v>276</v>
      </c>
      <c r="F19" s="8">
        <v>3022500152283</v>
      </c>
      <c r="G19" s="26">
        <v>45780</v>
      </c>
      <c r="H19" s="26">
        <v>46145</v>
      </c>
      <c r="I19" s="88">
        <v>140</v>
      </c>
      <c r="J19" s="8">
        <f t="shared" ca="1" si="0"/>
        <v>177</v>
      </c>
      <c r="K19" s="7" t="str">
        <f t="shared" ca="1" si="1"/>
        <v>Vigente</v>
      </c>
      <c r="L19" s="27" t="s">
        <v>132</v>
      </c>
      <c r="M19" s="27" t="s">
        <v>48</v>
      </c>
      <c r="O19" s="27" t="s">
        <v>1132</v>
      </c>
      <c r="P19" s="27" t="s">
        <v>1120</v>
      </c>
      <c r="Q19" s="27" t="s">
        <v>1121</v>
      </c>
      <c r="R19" s="27">
        <v>140</v>
      </c>
      <c r="S19" s="27">
        <v>140</v>
      </c>
      <c r="T19" s="27">
        <v>140.00700000000001</v>
      </c>
      <c r="U19" s="27">
        <v>140</v>
      </c>
      <c r="V19" s="27"/>
    </row>
    <row r="20" spans="3:22" x14ac:dyDescent="0.3">
      <c r="C20" s="7">
        <f t="shared" si="2"/>
        <v>13</v>
      </c>
      <c r="D20" s="24" t="s">
        <v>145</v>
      </c>
      <c r="E20" s="25" t="s">
        <v>276</v>
      </c>
      <c r="F20" s="8">
        <v>3022500152282</v>
      </c>
      <c r="G20" s="26">
        <v>45780</v>
      </c>
      <c r="H20" s="26">
        <v>46145</v>
      </c>
      <c r="I20" s="88">
        <v>140</v>
      </c>
      <c r="J20" s="8">
        <f t="shared" ca="1" si="0"/>
        <v>177</v>
      </c>
      <c r="K20" s="7" t="str">
        <f t="shared" ca="1" si="1"/>
        <v>Vigente</v>
      </c>
      <c r="L20" s="27" t="s">
        <v>132</v>
      </c>
      <c r="M20" s="27" t="s">
        <v>48</v>
      </c>
      <c r="O20" s="27" t="s">
        <v>1133</v>
      </c>
      <c r="P20" s="27" t="s">
        <v>1120</v>
      </c>
      <c r="Q20" s="27" t="s">
        <v>1121</v>
      </c>
      <c r="R20" s="27">
        <v>140</v>
      </c>
      <c r="S20" s="27">
        <v>140</v>
      </c>
      <c r="T20" s="27">
        <v>140.00700000000001</v>
      </c>
      <c r="U20" s="27">
        <v>140</v>
      </c>
      <c r="V20" s="27"/>
    </row>
    <row r="21" spans="3:22" x14ac:dyDescent="0.3">
      <c r="C21" s="7">
        <f t="shared" si="2"/>
        <v>14</v>
      </c>
      <c r="D21" s="24" t="s">
        <v>146</v>
      </c>
      <c r="E21" s="25" t="s">
        <v>276</v>
      </c>
      <c r="F21" s="8">
        <v>3022500152281</v>
      </c>
      <c r="G21" s="26">
        <v>45780</v>
      </c>
      <c r="H21" s="26">
        <v>46145</v>
      </c>
      <c r="I21" s="88">
        <v>140</v>
      </c>
      <c r="J21" s="8">
        <f t="shared" ca="1" si="0"/>
        <v>177</v>
      </c>
      <c r="K21" s="7" t="str">
        <f t="shared" ca="1" si="1"/>
        <v>Vigente</v>
      </c>
      <c r="L21" s="27" t="s">
        <v>132</v>
      </c>
      <c r="M21" s="27" t="s">
        <v>48</v>
      </c>
      <c r="O21" s="27" t="s">
        <v>1134</v>
      </c>
      <c r="P21" s="27" t="s">
        <v>1120</v>
      </c>
      <c r="Q21" s="27" t="s">
        <v>1121</v>
      </c>
      <c r="R21" s="27">
        <v>140</v>
      </c>
      <c r="S21" s="27">
        <v>140</v>
      </c>
      <c r="T21" s="27">
        <v>140.00700000000001</v>
      </c>
      <c r="U21" s="27">
        <v>140</v>
      </c>
      <c r="V21" s="27"/>
    </row>
    <row r="22" spans="3:22" x14ac:dyDescent="0.3">
      <c r="C22" s="7">
        <f t="shared" si="2"/>
        <v>15</v>
      </c>
      <c r="D22" s="24" t="s">
        <v>147</v>
      </c>
      <c r="E22" s="25" t="s">
        <v>276</v>
      </c>
      <c r="F22" s="8">
        <v>3022500152280</v>
      </c>
      <c r="G22" s="26">
        <v>45780</v>
      </c>
      <c r="H22" s="26">
        <v>46145</v>
      </c>
      <c r="I22" s="88">
        <v>140</v>
      </c>
      <c r="J22" s="8">
        <f t="shared" ca="1" si="0"/>
        <v>177</v>
      </c>
      <c r="K22" s="7" t="str">
        <f t="shared" ca="1" si="1"/>
        <v>Vigente</v>
      </c>
      <c r="L22" s="27" t="s">
        <v>132</v>
      </c>
      <c r="M22" s="27" t="s">
        <v>48</v>
      </c>
      <c r="O22" s="27" t="s">
        <v>1135</v>
      </c>
      <c r="P22" s="27" t="s">
        <v>1120</v>
      </c>
      <c r="Q22" s="27" t="s">
        <v>1121</v>
      </c>
      <c r="R22" s="27">
        <v>140</v>
      </c>
      <c r="S22" s="27">
        <v>140</v>
      </c>
      <c r="T22" s="27">
        <v>140.00700000000001</v>
      </c>
      <c r="U22" s="27">
        <v>140</v>
      </c>
      <c r="V22" s="27"/>
    </row>
    <row r="23" spans="3:22" x14ac:dyDescent="0.3">
      <c r="C23" s="7">
        <f t="shared" si="2"/>
        <v>16</v>
      </c>
      <c r="D23" s="24" t="s">
        <v>148</v>
      </c>
      <c r="E23" s="25" t="s">
        <v>276</v>
      </c>
      <c r="F23" s="8">
        <v>3022500152288</v>
      </c>
      <c r="G23" s="26">
        <v>45780</v>
      </c>
      <c r="H23" s="26">
        <v>46145</v>
      </c>
      <c r="I23" s="88">
        <v>140</v>
      </c>
      <c r="J23" s="8">
        <f t="shared" ca="1" si="0"/>
        <v>177</v>
      </c>
      <c r="K23" s="7" t="str">
        <f t="shared" ca="1" si="1"/>
        <v>Vigente</v>
      </c>
      <c r="L23" s="27" t="s">
        <v>132</v>
      </c>
      <c r="M23" s="27" t="s">
        <v>48</v>
      </c>
      <c r="O23" s="27" t="s">
        <v>1136</v>
      </c>
      <c r="P23" s="27" t="s">
        <v>1120</v>
      </c>
      <c r="Q23" s="27" t="s">
        <v>1121</v>
      </c>
      <c r="R23" s="27">
        <v>140</v>
      </c>
      <c r="S23" s="27">
        <v>140</v>
      </c>
      <c r="T23" s="27">
        <v>140.00700000000001</v>
      </c>
      <c r="U23" s="27">
        <v>140</v>
      </c>
      <c r="V23" s="27"/>
    </row>
    <row r="24" spans="3:22" x14ac:dyDescent="0.3">
      <c r="C24" s="7">
        <f t="shared" si="2"/>
        <v>17</v>
      </c>
      <c r="D24" s="24" t="s">
        <v>149</v>
      </c>
      <c r="E24" s="25" t="s">
        <v>276</v>
      </c>
      <c r="F24" s="8">
        <v>3022500152278</v>
      </c>
      <c r="G24" s="26">
        <v>45780</v>
      </c>
      <c r="H24" s="26">
        <v>46145</v>
      </c>
      <c r="I24" s="88">
        <v>140</v>
      </c>
      <c r="J24" s="8">
        <f t="shared" ca="1" si="0"/>
        <v>177</v>
      </c>
      <c r="K24" s="7" t="str">
        <f t="shared" ca="1" si="1"/>
        <v>Vigente</v>
      </c>
      <c r="L24" s="27" t="s">
        <v>132</v>
      </c>
      <c r="M24" s="27" t="s">
        <v>48</v>
      </c>
      <c r="O24" s="27" t="s">
        <v>1137</v>
      </c>
      <c r="P24" s="27" t="s">
        <v>1120</v>
      </c>
      <c r="Q24" s="27" t="s">
        <v>1121</v>
      </c>
      <c r="R24" s="27">
        <v>140</v>
      </c>
      <c r="S24" s="27">
        <v>140</v>
      </c>
      <c r="T24" s="27">
        <v>140.00700000000001</v>
      </c>
      <c r="U24" s="27">
        <v>140</v>
      </c>
      <c r="V24" s="27"/>
    </row>
    <row r="25" spans="3:22" x14ac:dyDescent="0.3">
      <c r="C25" s="7">
        <f t="shared" si="2"/>
        <v>18</v>
      </c>
      <c r="D25" s="24" t="s">
        <v>150</v>
      </c>
      <c r="E25" s="25" t="s">
        <v>276</v>
      </c>
      <c r="F25" s="8">
        <v>3022500152279</v>
      </c>
      <c r="G25" s="26">
        <v>45780</v>
      </c>
      <c r="H25" s="26">
        <v>46145</v>
      </c>
      <c r="I25" s="88">
        <v>140</v>
      </c>
      <c r="J25" s="8">
        <f t="shared" ca="1" si="0"/>
        <v>177</v>
      </c>
      <c r="K25" s="7" t="str">
        <f t="shared" ca="1" si="1"/>
        <v>Vigente</v>
      </c>
      <c r="L25" s="27" t="s">
        <v>132</v>
      </c>
      <c r="M25" s="27" t="s">
        <v>48</v>
      </c>
      <c r="O25" s="27" t="s">
        <v>1138</v>
      </c>
      <c r="P25" s="27" t="s">
        <v>1120</v>
      </c>
      <c r="Q25" s="27" t="s">
        <v>1121</v>
      </c>
      <c r="R25" s="27">
        <v>140</v>
      </c>
      <c r="S25" s="27">
        <v>140</v>
      </c>
      <c r="T25" s="27">
        <v>140.00700000000001</v>
      </c>
      <c r="U25" s="27">
        <v>140</v>
      </c>
      <c r="V25" s="27"/>
    </row>
    <row r="26" spans="3:22" x14ac:dyDescent="0.3">
      <c r="C26" s="7">
        <f t="shared" si="2"/>
        <v>19</v>
      </c>
      <c r="D26" s="24" t="s">
        <v>151</v>
      </c>
      <c r="E26" s="25" t="s">
        <v>276</v>
      </c>
      <c r="F26" s="8">
        <v>3022500152276</v>
      </c>
      <c r="G26" s="26">
        <v>45780</v>
      </c>
      <c r="H26" s="26">
        <v>46145</v>
      </c>
      <c r="I26" s="88">
        <v>140</v>
      </c>
      <c r="J26" s="8">
        <f t="shared" ca="1" si="0"/>
        <v>177</v>
      </c>
      <c r="K26" s="7" t="str">
        <f t="shared" ca="1" si="1"/>
        <v>Vigente</v>
      </c>
      <c r="L26" s="27" t="s">
        <v>132</v>
      </c>
      <c r="M26" s="27" t="s">
        <v>48</v>
      </c>
      <c r="O26" s="27" t="s">
        <v>1139</v>
      </c>
      <c r="P26" s="27" t="s">
        <v>1120</v>
      </c>
      <c r="Q26" s="27" t="s">
        <v>1121</v>
      </c>
      <c r="R26" s="27">
        <v>140</v>
      </c>
      <c r="S26" s="27">
        <v>140</v>
      </c>
      <c r="T26" s="27">
        <v>140.00700000000001</v>
      </c>
      <c r="U26" s="27">
        <v>140</v>
      </c>
      <c r="V26" s="27"/>
    </row>
    <row r="27" spans="3:22" x14ac:dyDescent="0.3">
      <c r="C27" s="7">
        <f t="shared" si="2"/>
        <v>20</v>
      </c>
      <c r="D27" s="24" t="s">
        <v>152</v>
      </c>
      <c r="E27" s="25" t="s">
        <v>276</v>
      </c>
      <c r="F27" s="8">
        <v>3022500152289</v>
      </c>
      <c r="G27" s="26">
        <v>45780</v>
      </c>
      <c r="H27" s="26">
        <v>46145</v>
      </c>
      <c r="I27" s="88">
        <v>140</v>
      </c>
      <c r="J27" s="8">
        <f t="shared" ca="1" si="0"/>
        <v>177</v>
      </c>
      <c r="K27" s="7" t="str">
        <f t="shared" ca="1" si="1"/>
        <v>Vigente</v>
      </c>
      <c r="L27" s="27" t="s">
        <v>132</v>
      </c>
      <c r="M27" s="27" t="s">
        <v>48</v>
      </c>
      <c r="O27" s="27" t="s">
        <v>1140</v>
      </c>
      <c r="P27" s="27" t="s">
        <v>1120</v>
      </c>
      <c r="Q27" s="27" t="s">
        <v>1121</v>
      </c>
      <c r="R27" s="27">
        <v>140</v>
      </c>
      <c r="S27" s="27">
        <v>140</v>
      </c>
      <c r="T27" s="27">
        <v>140.00700000000001</v>
      </c>
      <c r="U27" s="27">
        <v>140</v>
      </c>
      <c r="V27" s="27"/>
    </row>
    <row r="28" spans="3:22" x14ac:dyDescent="0.3">
      <c r="C28" s="7">
        <f t="shared" si="2"/>
        <v>21</v>
      </c>
      <c r="D28" s="24" t="s">
        <v>110</v>
      </c>
      <c r="E28" s="25" t="s">
        <v>276</v>
      </c>
      <c r="F28" s="8">
        <v>3022500171848</v>
      </c>
      <c r="G28" s="26">
        <v>45810</v>
      </c>
      <c r="H28" s="26">
        <v>46175</v>
      </c>
      <c r="I28" s="88">
        <v>55</v>
      </c>
      <c r="J28" s="8">
        <f t="shared" ca="1" si="0"/>
        <v>207</v>
      </c>
      <c r="K28" s="7" t="str">
        <f t="shared" ca="1" si="1"/>
        <v>Vigente</v>
      </c>
      <c r="L28" s="27" t="s">
        <v>112</v>
      </c>
      <c r="M28" s="27" t="s">
        <v>56</v>
      </c>
      <c r="O28" s="27" t="s">
        <v>1141</v>
      </c>
      <c r="P28" s="27" t="s">
        <v>1142</v>
      </c>
      <c r="Q28" s="27" t="s">
        <v>1143</v>
      </c>
      <c r="R28" s="27">
        <v>55</v>
      </c>
      <c r="S28" s="27" t="s">
        <v>575</v>
      </c>
      <c r="T28" s="27">
        <v>55.011600000000001</v>
      </c>
      <c r="U28" s="27">
        <v>55</v>
      </c>
      <c r="V28" s="27"/>
    </row>
    <row r="29" spans="3:22" x14ac:dyDescent="0.3">
      <c r="C29" s="7">
        <f t="shared" si="2"/>
        <v>22</v>
      </c>
      <c r="D29" s="24" t="s">
        <v>114</v>
      </c>
      <c r="E29" s="25" t="s">
        <v>276</v>
      </c>
      <c r="F29" s="8">
        <v>3022500171841</v>
      </c>
      <c r="G29" s="26">
        <v>45810</v>
      </c>
      <c r="H29" s="26">
        <v>46175</v>
      </c>
      <c r="I29" s="88">
        <v>55</v>
      </c>
      <c r="J29" s="8">
        <f t="shared" ca="1" si="0"/>
        <v>207</v>
      </c>
      <c r="K29" s="7" t="str">
        <f t="shared" ca="1" si="1"/>
        <v>Vigente</v>
      </c>
      <c r="L29" s="27" t="s">
        <v>112</v>
      </c>
      <c r="M29" s="27" t="s">
        <v>56</v>
      </c>
      <c r="O29" s="27" t="s">
        <v>1144</v>
      </c>
      <c r="P29" s="27" t="s">
        <v>1142</v>
      </c>
      <c r="Q29" s="27" t="s">
        <v>1143</v>
      </c>
      <c r="R29" s="27">
        <v>55</v>
      </c>
      <c r="S29" s="27" t="s">
        <v>575</v>
      </c>
      <c r="T29" s="27">
        <v>55.011600000000001</v>
      </c>
      <c r="U29" s="27">
        <v>55</v>
      </c>
      <c r="V29" s="27"/>
    </row>
    <row r="30" spans="3:22" x14ac:dyDescent="0.3">
      <c r="C30" s="7">
        <f t="shared" si="2"/>
        <v>23</v>
      </c>
      <c r="D30" s="24" t="s">
        <v>153</v>
      </c>
      <c r="E30" s="25" t="s">
        <v>276</v>
      </c>
      <c r="F30" s="8">
        <v>3022500087236</v>
      </c>
      <c r="G30" s="26">
        <v>45736</v>
      </c>
      <c r="H30" s="26">
        <v>46101</v>
      </c>
      <c r="I30" s="88">
        <v>140</v>
      </c>
      <c r="J30" s="8">
        <f t="shared" ca="1" si="0"/>
        <v>133</v>
      </c>
      <c r="K30" s="7" t="str">
        <f t="shared" ca="1" si="1"/>
        <v>Vigente</v>
      </c>
      <c r="L30" s="27" t="s">
        <v>132</v>
      </c>
      <c r="M30" s="27" t="s">
        <v>48</v>
      </c>
      <c r="N30" s="156"/>
      <c r="O30" s="27" t="s">
        <v>575</v>
      </c>
      <c r="P30" s="27" t="s">
        <v>575</v>
      </c>
      <c r="Q30" s="27" t="s">
        <v>575</v>
      </c>
      <c r="R30" s="27" t="s">
        <v>575</v>
      </c>
      <c r="S30" s="27">
        <v>140</v>
      </c>
      <c r="T30" s="27">
        <v>140.00700000000001</v>
      </c>
      <c r="U30" s="27">
        <v>140</v>
      </c>
      <c r="V30" s="27"/>
    </row>
    <row r="31" spans="3:22" x14ac:dyDescent="0.3">
      <c r="C31" s="7">
        <f t="shared" si="2"/>
        <v>24</v>
      </c>
      <c r="D31" s="24" t="s">
        <v>154</v>
      </c>
      <c r="E31" s="25" t="s">
        <v>276</v>
      </c>
      <c r="F31" s="8">
        <v>3022500087239</v>
      </c>
      <c r="G31" s="26">
        <v>45736</v>
      </c>
      <c r="H31" s="26">
        <v>46101</v>
      </c>
      <c r="I31" s="88">
        <v>140</v>
      </c>
      <c r="J31" s="8">
        <f t="shared" ca="1" si="0"/>
        <v>133</v>
      </c>
      <c r="K31" s="7" t="str">
        <f t="shared" ca="1" si="1"/>
        <v>Vigente</v>
      </c>
      <c r="L31" s="27" t="s">
        <v>132</v>
      </c>
      <c r="M31" s="27" t="s">
        <v>48</v>
      </c>
      <c r="N31" s="156"/>
      <c r="O31" s="27" t="s">
        <v>575</v>
      </c>
      <c r="P31" s="27" t="s">
        <v>575</v>
      </c>
      <c r="Q31" s="27" t="s">
        <v>575</v>
      </c>
      <c r="R31" s="27" t="s">
        <v>575</v>
      </c>
      <c r="S31" s="27">
        <v>140</v>
      </c>
      <c r="T31" s="27">
        <v>140.00700000000001</v>
      </c>
      <c r="U31" s="27">
        <v>140</v>
      </c>
      <c r="V31" s="27"/>
    </row>
    <row r="32" spans="3:22" x14ac:dyDescent="0.3">
      <c r="C32" s="7">
        <f t="shared" si="2"/>
        <v>25</v>
      </c>
      <c r="D32" s="24" t="s">
        <v>155</v>
      </c>
      <c r="E32" s="25" t="s">
        <v>276</v>
      </c>
      <c r="F32" s="8">
        <v>3022500087240</v>
      </c>
      <c r="G32" s="26">
        <v>45736</v>
      </c>
      <c r="H32" s="26">
        <v>46101</v>
      </c>
      <c r="I32" s="88">
        <v>140</v>
      </c>
      <c r="J32" s="8">
        <f t="shared" ca="1" si="0"/>
        <v>133</v>
      </c>
      <c r="K32" s="7" t="str">
        <f t="shared" ca="1" si="1"/>
        <v>Vigente</v>
      </c>
      <c r="L32" s="27" t="s">
        <v>132</v>
      </c>
      <c r="M32" s="27" t="s">
        <v>48</v>
      </c>
      <c r="N32" s="156"/>
      <c r="O32" s="27" t="s">
        <v>575</v>
      </c>
      <c r="P32" s="27" t="s">
        <v>575</v>
      </c>
      <c r="Q32" s="27" t="s">
        <v>575</v>
      </c>
      <c r="R32" s="27" t="s">
        <v>575</v>
      </c>
      <c r="S32" s="27">
        <v>140</v>
      </c>
      <c r="T32" s="27">
        <v>140.00700000000001</v>
      </c>
      <c r="U32" s="27">
        <v>140</v>
      </c>
      <c r="V32" s="27"/>
    </row>
    <row r="33" spans="3:22" x14ac:dyDescent="0.3">
      <c r="C33" s="7">
        <f t="shared" si="2"/>
        <v>26</v>
      </c>
      <c r="D33" s="24" t="s">
        <v>156</v>
      </c>
      <c r="E33" s="25" t="s">
        <v>276</v>
      </c>
      <c r="F33" s="8">
        <v>3022500087243</v>
      </c>
      <c r="G33" s="26">
        <v>45736</v>
      </c>
      <c r="H33" s="26">
        <v>46101</v>
      </c>
      <c r="I33" s="88">
        <v>140</v>
      </c>
      <c r="J33" s="8">
        <f t="shared" ca="1" si="0"/>
        <v>133</v>
      </c>
      <c r="K33" s="7" t="str">
        <f t="shared" ca="1" si="1"/>
        <v>Vigente</v>
      </c>
      <c r="L33" s="27" t="s">
        <v>132</v>
      </c>
      <c r="M33" s="27" t="s">
        <v>48</v>
      </c>
      <c r="N33" s="156"/>
      <c r="O33" s="27" t="s">
        <v>575</v>
      </c>
      <c r="P33" s="27" t="s">
        <v>575</v>
      </c>
      <c r="Q33" s="27" t="s">
        <v>575</v>
      </c>
      <c r="R33" s="27" t="s">
        <v>575</v>
      </c>
      <c r="S33" s="27">
        <v>140</v>
      </c>
      <c r="T33" s="27">
        <v>140.00700000000001</v>
      </c>
      <c r="U33" s="27">
        <v>140</v>
      </c>
      <c r="V33" s="27"/>
    </row>
    <row r="34" spans="3:22" x14ac:dyDescent="0.3">
      <c r="C34" s="7">
        <f t="shared" si="2"/>
        <v>27</v>
      </c>
      <c r="D34" s="24" t="s">
        <v>157</v>
      </c>
      <c r="E34" s="25" t="s">
        <v>276</v>
      </c>
      <c r="F34" s="8">
        <v>3022500087244</v>
      </c>
      <c r="G34" s="26">
        <v>45736</v>
      </c>
      <c r="H34" s="26">
        <v>46101</v>
      </c>
      <c r="I34" s="88">
        <v>140</v>
      </c>
      <c r="J34" s="8">
        <f t="shared" ca="1" si="0"/>
        <v>133</v>
      </c>
      <c r="K34" s="7" t="str">
        <f t="shared" ca="1" si="1"/>
        <v>Vigente</v>
      </c>
      <c r="L34" s="27" t="s">
        <v>132</v>
      </c>
      <c r="M34" s="27" t="s">
        <v>48</v>
      </c>
      <c r="N34" s="156"/>
      <c r="O34" s="27" t="s">
        <v>575</v>
      </c>
      <c r="P34" s="27" t="s">
        <v>575</v>
      </c>
      <c r="Q34" s="27" t="s">
        <v>575</v>
      </c>
      <c r="R34" s="27" t="s">
        <v>575</v>
      </c>
      <c r="S34" s="27">
        <v>140</v>
      </c>
      <c r="T34" s="27">
        <v>140.00700000000001</v>
      </c>
      <c r="U34" s="27">
        <v>140</v>
      </c>
      <c r="V34" s="27"/>
    </row>
    <row r="35" spans="3:22" x14ac:dyDescent="0.3">
      <c r="C35" s="7">
        <f t="shared" si="2"/>
        <v>28</v>
      </c>
      <c r="D35" s="24" t="s">
        <v>158</v>
      </c>
      <c r="E35" s="25" t="s">
        <v>276</v>
      </c>
      <c r="F35" s="8">
        <v>3022500087245</v>
      </c>
      <c r="G35" s="26">
        <v>45736</v>
      </c>
      <c r="H35" s="26">
        <v>46101</v>
      </c>
      <c r="I35" s="88">
        <v>140</v>
      </c>
      <c r="J35" s="8">
        <f t="shared" ca="1" si="0"/>
        <v>133</v>
      </c>
      <c r="K35" s="7" t="str">
        <f t="shared" ca="1" si="1"/>
        <v>Vigente</v>
      </c>
      <c r="L35" s="27" t="s">
        <v>132</v>
      </c>
      <c r="M35" s="27" t="s">
        <v>48</v>
      </c>
      <c r="N35" s="156"/>
      <c r="O35" s="27" t="s">
        <v>575</v>
      </c>
      <c r="P35" s="27" t="s">
        <v>575</v>
      </c>
      <c r="Q35" s="27" t="s">
        <v>575</v>
      </c>
      <c r="R35" s="27" t="s">
        <v>575</v>
      </c>
      <c r="S35" s="27">
        <v>140</v>
      </c>
      <c r="T35" s="27">
        <v>140.00700000000001</v>
      </c>
      <c r="U35" s="27">
        <v>140</v>
      </c>
      <c r="V35" s="27"/>
    </row>
    <row r="36" spans="3:22" x14ac:dyDescent="0.3">
      <c r="C36" s="7">
        <f t="shared" si="2"/>
        <v>29</v>
      </c>
      <c r="D36" s="24" t="s">
        <v>159</v>
      </c>
      <c r="E36" s="25" t="s">
        <v>276</v>
      </c>
      <c r="F36" s="8">
        <v>3022500087247</v>
      </c>
      <c r="G36" s="26">
        <v>45736</v>
      </c>
      <c r="H36" s="26">
        <v>46101</v>
      </c>
      <c r="I36" s="88">
        <v>140</v>
      </c>
      <c r="J36" s="8">
        <f t="shared" ca="1" si="0"/>
        <v>133</v>
      </c>
      <c r="K36" s="7" t="str">
        <f t="shared" ca="1" si="1"/>
        <v>Vigente</v>
      </c>
      <c r="L36" s="27" t="s">
        <v>132</v>
      </c>
      <c r="M36" s="27" t="s">
        <v>48</v>
      </c>
      <c r="N36" s="156"/>
      <c r="O36" s="27" t="s">
        <v>575</v>
      </c>
      <c r="P36" s="27" t="s">
        <v>575</v>
      </c>
      <c r="Q36" s="27" t="s">
        <v>575</v>
      </c>
      <c r="R36" s="27" t="s">
        <v>575</v>
      </c>
      <c r="S36" s="27">
        <v>140</v>
      </c>
      <c r="T36" s="27">
        <v>140.00700000000001</v>
      </c>
      <c r="U36" s="27">
        <v>140</v>
      </c>
      <c r="V36" s="27"/>
    </row>
    <row r="37" spans="3:22" x14ac:dyDescent="0.3">
      <c r="C37" s="7">
        <f t="shared" si="2"/>
        <v>30</v>
      </c>
      <c r="D37" s="24" t="s">
        <v>91</v>
      </c>
      <c r="E37" s="25" t="s">
        <v>276</v>
      </c>
      <c r="F37" s="8" t="s">
        <v>378</v>
      </c>
      <c r="G37" s="26" t="s">
        <v>379</v>
      </c>
      <c r="H37" s="26" t="s">
        <v>380</v>
      </c>
      <c r="I37" s="88">
        <v>55</v>
      </c>
      <c r="J37" s="8">
        <f t="shared" ca="1" si="0"/>
        <v>321</v>
      </c>
      <c r="K37" s="7" t="str">
        <f t="shared" ca="1" si="1"/>
        <v>Vigente</v>
      </c>
      <c r="L37" s="27" t="s">
        <v>92</v>
      </c>
      <c r="M37" s="27" t="s">
        <v>54</v>
      </c>
      <c r="O37" s="27" t="s">
        <v>378</v>
      </c>
      <c r="P37" s="27" t="s">
        <v>379</v>
      </c>
      <c r="Q37" s="27" t="s">
        <v>380</v>
      </c>
      <c r="R37" s="27">
        <v>55</v>
      </c>
      <c r="S37" s="27">
        <v>65</v>
      </c>
      <c r="T37" s="27" t="s">
        <v>575</v>
      </c>
      <c r="U37" s="27">
        <v>65</v>
      </c>
      <c r="V37" s="27"/>
    </row>
    <row r="38" spans="3:22" x14ac:dyDescent="0.3">
      <c r="C38" s="7">
        <f t="shared" si="2"/>
        <v>31</v>
      </c>
      <c r="D38" s="24" t="s">
        <v>72</v>
      </c>
      <c r="E38" s="25" t="s">
        <v>276</v>
      </c>
      <c r="F38" s="8" t="s">
        <v>385</v>
      </c>
      <c r="G38" s="26" t="s">
        <v>379</v>
      </c>
      <c r="H38" s="26" t="s">
        <v>380</v>
      </c>
      <c r="I38" s="88">
        <v>55</v>
      </c>
      <c r="J38" s="8">
        <f t="shared" ca="1" si="0"/>
        <v>321</v>
      </c>
      <c r="K38" s="7" t="str">
        <f t="shared" ca="1" si="1"/>
        <v>Vigente</v>
      </c>
      <c r="L38" s="27" t="s">
        <v>73</v>
      </c>
      <c r="M38" s="27" t="s">
        <v>54</v>
      </c>
      <c r="O38" s="27" t="s">
        <v>385</v>
      </c>
      <c r="P38" s="27" t="s">
        <v>379</v>
      </c>
      <c r="Q38" s="27" t="s">
        <v>380</v>
      </c>
      <c r="R38" s="27">
        <v>55</v>
      </c>
      <c r="S38" s="27">
        <v>65</v>
      </c>
      <c r="T38" s="27" t="s">
        <v>575</v>
      </c>
      <c r="U38" s="27">
        <v>65</v>
      </c>
      <c r="V38" s="27"/>
    </row>
    <row r="39" spans="3:22" x14ac:dyDescent="0.3">
      <c r="C39" s="7">
        <f t="shared" si="2"/>
        <v>32</v>
      </c>
      <c r="D39" s="24" t="s">
        <v>74</v>
      </c>
      <c r="E39" s="25" t="s">
        <v>276</v>
      </c>
      <c r="F39" s="8" t="s">
        <v>390</v>
      </c>
      <c r="G39" s="26" t="s">
        <v>379</v>
      </c>
      <c r="H39" s="26" t="s">
        <v>380</v>
      </c>
      <c r="I39" s="88">
        <v>55</v>
      </c>
      <c r="J39" s="8">
        <f t="shared" ca="1" si="0"/>
        <v>321</v>
      </c>
      <c r="K39" s="7" t="str">
        <f t="shared" ca="1" si="1"/>
        <v>Vigente</v>
      </c>
      <c r="L39" s="27" t="s">
        <v>73</v>
      </c>
      <c r="M39" s="27" t="s">
        <v>54</v>
      </c>
      <c r="O39" s="27" t="s">
        <v>390</v>
      </c>
      <c r="P39" s="27" t="s">
        <v>379</v>
      </c>
      <c r="Q39" s="27" t="s">
        <v>380</v>
      </c>
      <c r="R39" s="27">
        <v>55</v>
      </c>
      <c r="S39" s="27">
        <v>65</v>
      </c>
      <c r="T39" s="27" t="s">
        <v>575</v>
      </c>
      <c r="U39" s="27">
        <v>65</v>
      </c>
      <c r="V39" s="27"/>
    </row>
    <row r="40" spans="3:22" x14ac:dyDescent="0.3">
      <c r="C40" s="7">
        <f t="shared" si="2"/>
        <v>33</v>
      </c>
      <c r="D40" s="24" t="s">
        <v>93</v>
      </c>
      <c r="E40" s="25" t="s">
        <v>276</v>
      </c>
      <c r="F40" s="8" t="s">
        <v>392</v>
      </c>
      <c r="G40" s="26" t="s">
        <v>379</v>
      </c>
      <c r="H40" s="26" t="s">
        <v>380</v>
      </c>
      <c r="I40" s="88">
        <v>55</v>
      </c>
      <c r="J40" s="8">
        <f t="shared" ref="J40:J71" ca="1" si="3">IFERROR(H40-(TODAY()),"")</f>
        <v>321</v>
      </c>
      <c r="K40" s="7" t="str">
        <f t="shared" ref="K40:K71" ca="1" si="4">IF(H40="","",IF(H40&lt;TODAY(),"Vencido","Vigente"))</f>
        <v>Vigente</v>
      </c>
      <c r="L40" s="27" t="s">
        <v>92</v>
      </c>
      <c r="M40" s="27" t="s">
        <v>54</v>
      </c>
      <c r="O40" s="27" t="s">
        <v>392</v>
      </c>
      <c r="P40" s="27" t="s">
        <v>379</v>
      </c>
      <c r="Q40" s="27" t="s">
        <v>380</v>
      </c>
      <c r="R40" s="27">
        <v>55</v>
      </c>
      <c r="S40" s="27">
        <v>65</v>
      </c>
      <c r="T40" s="27" t="s">
        <v>575</v>
      </c>
      <c r="U40" s="27">
        <v>65</v>
      </c>
      <c r="V40" s="27"/>
    </row>
    <row r="41" spans="3:22" x14ac:dyDescent="0.3">
      <c r="C41" s="7">
        <f t="shared" si="2"/>
        <v>34</v>
      </c>
      <c r="D41" s="24" t="s">
        <v>94</v>
      </c>
      <c r="E41" s="25" t="s">
        <v>276</v>
      </c>
      <c r="F41" s="8" t="s">
        <v>394</v>
      </c>
      <c r="G41" s="26" t="s">
        <v>379</v>
      </c>
      <c r="H41" s="26" t="s">
        <v>380</v>
      </c>
      <c r="I41" s="88">
        <v>55</v>
      </c>
      <c r="J41" s="8">
        <f t="shared" ca="1" si="3"/>
        <v>321</v>
      </c>
      <c r="K41" s="7" t="str">
        <f t="shared" ca="1" si="4"/>
        <v>Vigente</v>
      </c>
      <c r="L41" s="27" t="s">
        <v>92</v>
      </c>
      <c r="M41" s="27" t="s">
        <v>54</v>
      </c>
      <c r="O41" s="27" t="s">
        <v>394</v>
      </c>
      <c r="P41" s="27" t="s">
        <v>379</v>
      </c>
      <c r="Q41" s="27" t="s">
        <v>380</v>
      </c>
      <c r="R41" s="27">
        <v>55</v>
      </c>
      <c r="S41" s="27">
        <v>65</v>
      </c>
      <c r="T41" s="27" t="s">
        <v>575</v>
      </c>
      <c r="U41" s="27">
        <v>65</v>
      </c>
      <c r="V41" s="27"/>
    </row>
    <row r="42" spans="3:22" x14ac:dyDescent="0.3">
      <c r="C42" s="7">
        <f t="shared" si="2"/>
        <v>35</v>
      </c>
      <c r="D42" s="24" t="s">
        <v>95</v>
      </c>
      <c r="E42" s="25" t="s">
        <v>276</v>
      </c>
      <c r="F42" s="8" t="s">
        <v>396</v>
      </c>
      <c r="G42" s="26" t="s">
        <v>379</v>
      </c>
      <c r="H42" s="26" t="s">
        <v>380</v>
      </c>
      <c r="I42" s="88">
        <v>55</v>
      </c>
      <c r="J42" s="8">
        <f t="shared" ca="1" si="3"/>
        <v>321</v>
      </c>
      <c r="K42" s="7" t="str">
        <f t="shared" ca="1" si="4"/>
        <v>Vigente</v>
      </c>
      <c r="L42" s="27" t="s">
        <v>92</v>
      </c>
      <c r="M42" s="27" t="s">
        <v>54</v>
      </c>
      <c r="O42" s="27" t="s">
        <v>396</v>
      </c>
      <c r="P42" s="27" t="s">
        <v>379</v>
      </c>
      <c r="Q42" s="27" t="s">
        <v>380</v>
      </c>
      <c r="R42" s="27">
        <v>55</v>
      </c>
      <c r="S42" s="27">
        <v>65</v>
      </c>
      <c r="T42" s="27" t="s">
        <v>575</v>
      </c>
      <c r="U42" s="27">
        <v>65</v>
      </c>
      <c r="V42" s="27"/>
    </row>
    <row r="43" spans="3:22" x14ac:dyDescent="0.3">
      <c r="C43" s="7">
        <f t="shared" si="2"/>
        <v>36</v>
      </c>
      <c r="D43" s="24" t="s">
        <v>75</v>
      </c>
      <c r="E43" s="25" t="s">
        <v>276</v>
      </c>
      <c r="F43" s="8" t="s">
        <v>398</v>
      </c>
      <c r="G43" s="26" t="s">
        <v>379</v>
      </c>
      <c r="H43" s="26" t="s">
        <v>380</v>
      </c>
      <c r="I43" s="88">
        <v>55</v>
      </c>
      <c r="J43" s="8">
        <f t="shared" ca="1" si="3"/>
        <v>321</v>
      </c>
      <c r="K43" s="7" t="str">
        <f t="shared" ca="1" si="4"/>
        <v>Vigente</v>
      </c>
      <c r="L43" s="27" t="s">
        <v>73</v>
      </c>
      <c r="M43" s="27" t="s">
        <v>54</v>
      </c>
      <c r="O43" s="27" t="s">
        <v>398</v>
      </c>
      <c r="P43" s="27" t="s">
        <v>379</v>
      </c>
      <c r="Q43" s="27" t="s">
        <v>380</v>
      </c>
      <c r="R43" s="27">
        <v>55</v>
      </c>
      <c r="S43" s="27">
        <v>65</v>
      </c>
      <c r="T43" s="27" t="s">
        <v>575</v>
      </c>
      <c r="U43" s="27">
        <v>65</v>
      </c>
      <c r="V43" s="27"/>
    </row>
    <row r="44" spans="3:22" x14ac:dyDescent="0.3">
      <c r="C44" s="7">
        <f t="shared" si="2"/>
        <v>37</v>
      </c>
      <c r="D44" s="24" t="s">
        <v>96</v>
      </c>
      <c r="E44" s="25" t="s">
        <v>276</v>
      </c>
      <c r="F44" s="8" t="s">
        <v>400</v>
      </c>
      <c r="G44" s="26" t="s">
        <v>379</v>
      </c>
      <c r="H44" s="26" t="s">
        <v>380</v>
      </c>
      <c r="I44" s="88">
        <v>55</v>
      </c>
      <c r="J44" s="8">
        <f t="shared" ca="1" si="3"/>
        <v>321</v>
      </c>
      <c r="K44" s="7" t="str">
        <f t="shared" ca="1" si="4"/>
        <v>Vigente</v>
      </c>
      <c r="L44" s="27" t="s">
        <v>92</v>
      </c>
      <c r="M44" s="27" t="s">
        <v>54</v>
      </c>
      <c r="O44" s="27" t="s">
        <v>400</v>
      </c>
      <c r="P44" s="27" t="s">
        <v>379</v>
      </c>
      <c r="Q44" s="27" t="s">
        <v>380</v>
      </c>
      <c r="R44" s="27">
        <v>55</v>
      </c>
      <c r="S44" s="27">
        <v>65</v>
      </c>
      <c r="T44" s="27" t="s">
        <v>575</v>
      </c>
      <c r="U44" s="27">
        <v>65</v>
      </c>
      <c r="V44" s="27"/>
    </row>
    <row r="45" spans="3:22" x14ac:dyDescent="0.3">
      <c r="C45" s="7">
        <f t="shared" si="2"/>
        <v>38</v>
      </c>
      <c r="D45" s="24" t="s">
        <v>76</v>
      </c>
      <c r="E45" s="25" t="s">
        <v>276</v>
      </c>
      <c r="F45" s="8" t="s">
        <v>402</v>
      </c>
      <c r="G45" s="26" t="s">
        <v>379</v>
      </c>
      <c r="H45" s="26" t="s">
        <v>380</v>
      </c>
      <c r="I45" s="88">
        <v>55</v>
      </c>
      <c r="J45" s="8">
        <f t="shared" ca="1" si="3"/>
        <v>321</v>
      </c>
      <c r="K45" s="7" t="str">
        <f t="shared" ca="1" si="4"/>
        <v>Vigente</v>
      </c>
      <c r="L45" s="27" t="s">
        <v>73</v>
      </c>
      <c r="M45" s="27" t="s">
        <v>54</v>
      </c>
      <c r="O45" s="27" t="s">
        <v>402</v>
      </c>
      <c r="P45" s="27" t="s">
        <v>379</v>
      </c>
      <c r="Q45" s="27" t="s">
        <v>380</v>
      </c>
      <c r="R45" s="27">
        <v>55</v>
      </c>
      <c r="S45" s="27">
        <v>65</v>
      </c>
      <c r="T45" s="27" t="s">
        <v>575</v>
      </c>
      <c r="U45" s="27">
        <v>65</v>
      </c>
      <c r="V45" s="27"/>
    </row>
    <row r="46" spans="3:22" x14ac:dyDescent="0.3">
      <c r="C46" s="7">
        <f t="shared" si="2"/>
        <v>39</v>
      </c>
      <c r="D46" s="24" t="s">
        <v>77</v>
      </c>
      <c r="E46" s="25" t="s">
        <v>276</v>
      </c>
      <c r="F46" s="8" t="s">
        <v>405</v>
      </c>
      <c r="G46" s="26" t="s">
        <v>379</v>
      </c>
      <c r="H46" s="26" t="s">
        <v>380</v>
      </c>
      <c r="I46" s="88">
        <v>55</v>
      </c>
      <c r="J46" s="8">
        <f t="shared" ca="1" si="3"/>
        <v>321</v>
      </c>
      <c r="K46" s="7" t="str">
        <f t="shared" ca="1" si="4"/>
        <v>Vigente</v>
      </c>
      <c r="L46" s="27" t="s">
        <v>73</v>
      </c>
      <c r="M46" s="27" t="s">
        <v>54</v>
      </c>
      <c r="O46" s="27" t="s">
        <v>405</v>
      </c>
      <c r="P46" s="27" t="s">
        <v>379</v>
      </c>
      <c r="Q46" s="27" t="s">
        <v>380</v>
      </c>
      <c r="R46" s="27">
        <v>55</v>
      </c>
      <c r="S46" s="27">
        <v>65</v>
      </c>
      <c r="T46" s="27" t="s">
        <v>575</v>
      </c>
      <c r="U46" s="27">
        <v>65</v>
      </c>
      <c r="V46" s="27"/>
    </row>
    <row r="47" spans="3:22" x14ac:dyDescent="0.3">
      <c r="C47" s="7">
        <f t="shared" si="2"/>
        <v>40</v>
      </c>
      <c r="D47" s="24" t="s">
        <v>97</v>
      </c>
      <c r="E47" s="25" t="s">
        <v>276</v>
      </c>
      <c r="F47" s="8" t="s">
        <v>407</v>
      </c>
      <c r="G47" s="26" t="s">
        <v>379</v>
      </c>
      <c r="H47" s="26" t="s">
        <v>380</v>
      </c>
      <c r="I47" s="88">
        <v>55</v>
      </c>
      <c r="J47" s="8">
        <f t="shared" ca="1" si="3"/>
        <v>321</v>
      </c>
      <c r="K47" s="7" t="str">
        <f t="shared" ca="1" si="4"/>
        <v>Vigente</v>
      </c>
      <c r="L47" s="27" t="s">
        <v>92</v>
      </c>
      <c r="M47" s="27" t="s">
        <v>54</v>
      </c>
      <c r="O47" s="27" t="s">
        <v>407</v>
      </c>
      <c r="P47" s="27" t="s">
        <v>379</v>
      </c>
      <c r="Q47" s="27" t="s">
        <v>380</v>
      </c>
      <c r="R47" s="27">
        <v>55</v>
      </c>
      <c r="S47" s="27">
        <v>65</v>
      </c>
      <c r="T47" s="27" t="s">
        <v>575</v>
      </c>
      <c r="U47" s="27">
        <v>65</v>
      </c>
      <c r="V47" s="27"/>
    </row>
    <row r="48" spans="3:22" x14ac:dyDescent="0.3">
      <c r="C48" s="7">
        <f t="shared" si="2"/>
        <v>41</v>
      </c>
      <c r="D48" s="24" t="s">
        <v>98</v>
      </c>
      <c r="E48" s="25" t="s">
        <v>276</v>
      </c>
      <c r="F48" s="8" t="s">
        <v>410</v>
      </c>
      <c r="G48" s="26" t="s">
        <v>379</v>
      </c>
      <c r="H48" s="26" t="s">
        <v>380</v>
      </c>
      <c r="I48" s="88">
        <v>55</v>
      </c>
      <c r="J48" s="8">
        <f t="shared" ca="1" si="3"/>
        <v>321</v>
      </c>
      <c r="K48" s="7" t="str">
        <f t="shared" ca="1" si="4"/>
        <v>Vigente</v>
      </c>
      <c r="L48" s="27" t="s">
        <v>92</v>
      </c>
      <c r="M48" s="27" t="s">
        <v>54</v>
      </c>
      <c r="O48" s="27" t="s">
        <v>410</v>
      </c>
      <c r="P48" s="27" t="s">
        <v>379</v>
      </c>
      <c r="Q48" s="27" t="s">
        <v>380</v>
      </c>
      <c r="R48" s="27">
        <v>55</v>
      </c>
      <c r="S48" s="27">
        <v>130</v>
      </c>
      <c r="T48" s="27" t="s">
        <v>575</v>
      </c>
      <c r="U48" s="27">
        <v>130</v>
      </c>
      <c r="V48" s="27"/>
    </row>
    <row r="49" spans="3:22" x14ac:dyDescent="0.3">
      <c r="C49" s="7">
        <f t="shared" si="2"/>
        <v>42</v>
      </c>
      <c r="D49" s="24" t="s">
        <v>99</v>
      </c>
      <c r="E49" s="25" t="s">
        <v>276</v>
      </c>
      <c r="F49" s="8" t="s">
        <v>412</v>
      </c>
      <c r="G49" s="26" t="s">
        <v>379</v>
      </c>
      <c r="H49" s="26" t="s">
        <v>380</v>
      </c>
      <c r="I49" s="88">
        <v>55</v>
      </c>
      <c r="J49" s="8">
        <f t="shared" ca="1" si="3"/>
        <v>321</v>
      </c>
      <c r="K49" s="7" t="str">
        <f t="shared" ca="1" si="4"/>
        <v>Vigente</v>
      </c>
      <c r="L49" s="27" t="s">
        <v>92</v>
      </c>
      <c r="M49" s="27" t="s">
        <v>54</v>
      </c>
      <c r="O49" s="27" t="s">
        <v>412</v>
      </c>
      <c r="P49" s="27" t="s">
        <v>379</v>
      </c>
      <c r="Q49" s="27" t="s">
        <v>380</v>
      </c>
      <c r="R49" s="27">
        <v>55</v>
      </c>
      <c r="S49" s="27">
        <v>65</v>
      </c>
      <c r="T49" s="27" t="s">
        <v>575</v>
      </c>
      <c r="U49" s="27">
        <v>65</v>
      </c>
      <c r="V49" s="27"/>
    </row>
    <row r="50" spans="3:22" x14ac:dyDescent="0.3">
      <c r="C50" s="7">
        <f t="shared" si="2"/>
        <v>43</v>
      </c>
      <c r="D50" s="24" t="s">
        <v>100</v>
      </c>
      <c r="E50" s="25" t="s">
        <v>276</v>
      </c>
      <c r="F50" s="8" t="s">
        <v>415</v>
      </c>
      <c r="G50" s="26" t="s">
        <v>379</v>
      </c>
      <c r="H50" s="26" t="s">
        <v>380</v>
      </c>
      <c r="I50" s="88">
        <v>55</v>
      </c>
      <c r="J50" s="8">
        <f t="shared" ca="1" si="3"/>
        <v>321</v>
      </c>
      <c r="K50" s="7" t="str">
        <f t="shared" ca="1" si="4"/>
        <v>Vigente</v>
      </c>
      <c r="L50" s="27" t="s">
        <v>92</v>
      </c>
      <c r="M50" s="27" t="s">
        <v>54</v>
      </c>
      <c r="O50" s="27" t="s">
        <v>415</v>
      </c>
      <c r="P50" s="27" t="s">
        <v>379</v>
      </c>
      <c r="Q50" s="27" t="s">
        <v>380</v>
      </c>
      <c r="R50" s="27">
        <v>55</v>
      </c>
      <c r="S50" s="27">
        <v>65</v>
      </c>
      <c r="T50" s="27" t="s">
        <v>575</v>
      </c>
      <c r="U50" s="27">
        <v>65</v>
      </c>
      <c r="V50" s="27"/>
    </row>
    <row r="51" spans="3:22" x14ac:dyDescent="0.3">
      <c r="C51" s="7">
        <f t="shared" si="2"/>
        <v>44</v>
      </c>
      <c r="D51" s="24" t="s">
        <v>78</v>
      </c>
      <c r="E51" s="25" t="s">
        <v>276</v>
      </c>
      <c r="F51" s="8" t="s">
        <v>417</v>
      </c>
      <c r="G51" s="26" t="s">
        <v>379</v>
      </c>
      <c r="H51" s="26" t="s">
        <v>380</v>
      </c>
      <c r="I51" s="88">
        <v>55</v>
      </c>
      <c r="J51" s="8">
        <f t="shared" ca="1" si="3"/>
        <v>321</v>
      </c>
      <c r="K51" s="7" t="str">
        <f t="shared" ca="1" si="4"/>
        <v>Vigente</v>
      </c>
      <c r="L51" s="27" t="s">
        <v>73</v>
      </c>
      <c r="M51" s="27" t="s">
        <v>54</v>
      </c>
      <c r="O51" s="27" t="s">
        <v>417</v>
      </c>
      <c r="P51" s="27" t="s">
        <v>379</v>
      </c>
      <c r="Q51" s="27" t="s">
        <v>380</v>
      </c>
      <c r="R51" s="27">
        <v>55</v>
      </c>
      <c r="S51" s="27">
        <v>65</v>
      </c>
      <c r="T51" s="27" t="s">
        <v>575</v>
      </c>
      <c r="U51" s="27">
        <v>65</v>
      </c>
      <c r="V51" s="27"/>
    </row>
    <row r="52" spans="3:22" x14ac:dyDescent="0.3">
      <c r="C52" s="7">
        <f t="shared" si="2"/>
        <v>45</v>
      </c>
      <c r="D52" s="24" t="s">
        <v>79</v>
      </c>
      <c r="E52" s="25" t="s">
        <v>276</v>
      </c>
      <c r="F52" s="8" t="s">
        <v>419</v>
      </c>
      <c r="G52" s="26" t="s">
        <v>379</v>
      </c>
      <c r="H52" s="26" t="s">
        <v>380</v>
      </c>
      <c r="I52" s="88">
        <v>55</v>
      </c>
      <c r="J52" s="8">
        <f t="shared" ca="1" si="3"/>
        <v>321</v>
      </c>
      <c r="K52" s="7" t="str">
        <f t="shared" ca="1" si="4"/>
        <v>Vigente</v>
      </c>
      <c r="L52" s="27" t="s">
        <v>73</v>
      </c>
      <c r="M52" s="27" t="s">
        <v>54</v>
      </c>
      <c r="O52" s="27" t="s">
        <v>419</v>
      </c>
      <c r="P52" s="27" t="s">
        <v>379</v>
      </c>
      <c r="Q52" s="27" t="s">
        <v>380</v>
      </c>
      <c r="R52" s="27">
        <v>55</v>
      </c>
      <c r="S52" s="27">
        <v>65</v>
      </c>
      <c r="T52" s="27" t="s">
        <v>575</v>
      </c>
      <c r="U52" s="27">
        <v>65</v>
      </c>
      <c r="V52" s="27"/>
    </row>
    <row r="53" spans="3:22" x14ac:dyDescent="0.3">
      <c r="C53" s="7">
        <f t="shared" si="2"/>
        <v>46</v>
      </c>
      <c r="D53" s="24" t="s">
        <v>80</v>
      </c>
      <c r="E53" s="25" t="s">
        <v>276</v>
      </c>
      <c r="F53" s="8" t="s">
        <v>421</v>
      </c>
      <c r="G53" s="26" t="s">
        <v>379</v>
      </c>
      <c r="H53" s="26" t="s">
        <v>380</v>
      </c>
      <c r="I53" s="88">
        <v>55</v>
      </c>
      <c r="J53" s="8">
        <f t="shared" ca="1" si="3"/>
        <v>321</v>
      </c>
      <c r="K53" s="7" t="str">
        <f t="shared" ca="1" si="4"/>
        <v>Vigente</v>
      </c>
      <c r="L53" s="27" t="s">
        <v>73</v>
      </c>
      <c r="M53" s="27" t="s">
        <v>54</v>
      </c>
      <c r="O53" s="27" t="s">
        <v>421</v>
      </c>
      <c r="P53" s="27" t="s">
        <v>379</v>
      </c>
      <c r="Q53" s="27" t="s">
        <v>380</v>
      </c>
      <c r="R53" s="27">
        <v>55</v>
      </c>
      <c r="S53" s="27">
        <v>65</v>
      </c>
      <c r="T53" s="27" t="s">
        <v>575</v>
      </c>
      <c r="U53" s="27">
        <v>65</v>
      </c>
      <c r="V53" s="27"/>
    </row>
    <row r="54" spans="3:22" x14ac:dyDescent="0.3">
      <c r="C54" s="7">
        <f t="shared" si="2"/>
        <v>47</v>
      </c>
      <c r="D54" s="24" t="s">
        <v>81</v>
      </c>
      <c r="E54" s="25" t="s">
        <v>276</v>
      </c>
      <c r="F54" s="8" t="s">
        <v>423</v>
      </c>
      <c r="G54" s="26" t="s">
        <v>379</v>
      </c>
      <c r="H54" s="26" t="s">
        <v>380</v>
      </c>
      <c r="I54" s="88">
        <v>55</v>
      </c>
      <c r="J54" s="8">
        <f t="shared" ca="1" si="3"/>
        <v>321</v>
      </c>
      <c r="K54" s="7" t="str">
        <f t="shared" ca="1" si="4"/>
        <v>Vigente</v>
      </c>
      <c r="L54" s="27" t="s">
        <v>73</v>
      </c>
      <c r="M54" s="27" t="s">
        <v>54</v>
      </c>
      <c r="O54" s="27" t="s">
        <v>423</v>
      </c>
      <c r="P54" s="27" t="s">
        <v>379</v>
      </c>
      <c r="Q54" s="27" t="s">
        <v>380</v>
      </c>
      <c r="R54" s="27">
        <v>55</v>
      </c>
      <c r="S54" s="27">
        <v>65</v>
      </c>
      <c r="T54" s="27" t="s">
        <v>575</v>
      </c>
      <c r="U54" s="27">
        <v>65</v>
      </c>
      <c r="V54" s="27"/>
    </row>
    <row r="55" spans="3:22" x14ac:dyDescent="0.3">
      <c r="C55" s="7">
        <f t="shared" si="2"/>
        <v>48</v>
      </c>
      <c r="D55" s="24" t="s">
        <v>82</v>
      </c>
      <c r="E55" s="25" t="s">
        <v>276</v>
      </c>
      <c r="F55" s="8" t="s">
        <v>425</v>
      </c>
      <c r="G55" s="26" t="s">
        <v>379</v>
      </c>
      <c r="H55" s="26" t="s">
        <v>380</v>
      </c>
      <c r="I55" s="88">
        <v>55</v>
      </c>
      <c r="J55" s="8">
        <f t="shared" ca="1" si="3"/>
        <v>321</v>
      </c>
      <c r="K55" s="7" t="str">
        <f t="shared" ca="1" si="4"/>
        <v>Vigente</v>
      </c>
      <c r="L55" s="27" t="s">
        <v>73</v>
      </c>
      <c r="M55" s="27" t="s">
        <v>54</v>
      </c>
      <c r="O55" s="27" t="s">
        <v>425</v>
      </c>
      <c r="P55" s="27" t="s">
        <v>379</v>
      </c>
      <c r="Q55" s="27" t="s">
        <v>380</v>
      </c>
      <c r="R55" s="27">
        <v>55</v>
      </c>
      <c r="S55" s="27">
        <v>65</v>
      </c>
      <c r="T55" s="27" t="s">
        <v>575</v>
      </c>
      <c r="U55" s="27">
        <v>65</v>
      </c>
      <c r="V55" s="27"/>
    </row>
    <row r="56" spans="3:22" x14ac:dyDescent="0.3">
      <c r="C56" s="7">
        <f t="shared" si="2"/>
        <v>49</v>
      </c>
      <c r="D56" s="24" t="s">
        <v>83</v>
      </c>
      <c r="E56" s="25" t="s">
        <v>276</v>
      </c>
      <c r="F56" s="8" t="s">
        <v>426</v>
      </c>
      <c r="G56" s="26" t="s">
        <v>379</v>
      </c>
      <c r="H56" s="26" t="s">
        <v>380</v>
      </c>
      <c r="I56" s="88">
        <v>55</v>
      </c>
      <c r="J56" s="8">
        <f t="shared" ca="1" si="3"/>
        <v>321</v>
      </c>
      <c r="K56" s="7" t="str">
        <f t="shared" ca="1" si="4"/>
        <v>Vigente</v>
      </c>
      <c r="L56" s="27" t="s">
        <v>73</v>
      </c>
      <c r="M56" s="27" t="s">
        <v>54</v>
      </c>
      <c r="O56" s="27" t="s">
        <v>426</v>
      </c>
      <c r="P56" s="27" t="s">
        <v>379</v>
      </c>
      <c r="Q56" s="27" t="s">
        <v>380</v>
      </c>
      <c r="R56" s="27">
        <v>55</v>
      </c>
      <c r="S56" s="27">
        <v>65</v>
      </c>
      <c r="T56" s="27" t="s">
        <v>575</v>
      </c>
      <c r="U56" s="27">
        <v>65</v>
      </c>
      <c r="V56" s="27"/>
    </row>
    <row r="57" spans="3:22" x14ac:dyDescent="0.3">
      <c r="C57" s="7">
        <f t="shared" si="2"/>
        <v>50</v>
      </c>
      <c r="D57" s="24" t="s">
        <v>84</v>
      </c>
      <c r="E57" s="25" t="s">
        <v>276</v>
      </c>
      <c r="F57" s="8" t="s">
        <v>427</v>
      </c>
      <c r="G57" s="26" t="s">
        <v>379</v>
      </c>
      <c r="H57" s="26" t="s">
        <v>380</v>
      </c>
      <c r="I57" s="88">
        <v>55</v>
      </c>
      <c r="J57" s="8">
        <f t="shared" ca="1" si="3"/>
        <v>321</v>
      </c>
      <c r="K57" s="7" t="str">
        <f t="shared" ca="1" si="4"/>
        <v>Vigente</v>
      </c>
      <c r="L57" s="27" t="s">
        <v>73</v>
      </c>
      <c r="M57" s="27" t="s">
        <v>54</v>
      </c>
      <c r="O57" s="27" t="s">
        <v>427</v>
      </c>
      <c r="P57" s="27" t="s">
        <v>379</v>
      </c>
      <c r="Q57" s="27" t="s">
        <v>380</v>
      </c>
      <c r="R57" s="27">
        <v>55</v>
      </c>
      <c r="S57" s="27">
        <v>65</v>
      </c>
      <c r="T57" s="27" t="s">
        <v>575</v>
      </c>
      <c r="U57" s="27">
        <v>65</v>
      </c>
      <c r="V57" s="27"/>
    </row>
    <row r="58" spans="3:22" x14ac:dyDescent="0.3">
      <c r="C58" s="7">
        <f t="shared" si="2"/>
        <v>51</v>
      </c>
      <c r="D58" s="24" t="s">
        <v>59</v>
      </c>
      <c r="E58" s="25" t="s">
        <v>276</v>
      </c>
      <c r="F58" s="8" t="s">
        <v>428</v>
      </c>
      <c r="G58" s="26" t="s">
        <v>379</v>
      </c>
      <c r="H58" s="26" t="s">
        <v>380</v>
      </c>
      <c r="I58" s="88">
        <v>140</v>
      </c>
      <c r="J58" s="8">
        <f t="shared" ca="1" si="3"/>
        <v>321</v>
      </c>
      <c r="K58" s="7" t="str">
        <f t="shared" ca="1" si="4"/>
        <v>Vigente</v>
      </c>
      <c r="L58" s="27" t="s">
        <v>60</v>
      </c>
      <c r="M58" s="27" t="s">
        <v>58</v>
      </c>
      <c r="O58" s="27" t="s">
        <v>428</v>
      </c>
      <c r="P58" s="27" t="s">
        <v>379</v>
      </c>
      <c r="Q58" s="27" t="s">
        <v>380</v>
      </c>
      <c r="R58" s="27">
        <v>140</v>
      </c>
      <c r="S58" s="27">
        <v>130</v>
      </c>
      <c r="T58" s="27" t="s">
        <v>575</v>
      </c>
      <c r="U58" s="27">
        <v>130</v>
      </c>
      <c r="V58" s="27"/>
    </row>
    <row r="59" spans="3:22" x14ac:dyDescent="0.3">
      <c r="C59" s="7">
        <f t="shared" si="2"/>
        <v>52</v>
      </c>
      <c r="D59" s="24" t="s">
        <v>160</v>
      </c>
      <c r="E59" s="25" t="s">
        <v>276</v>
      </c>
      <c r="F59" s="8">
        <v>3022500087235</v>
      </c>
      <c r="G59" s="26">
        <v>45736</v>
      </c>
      <c r="H59" s="26">
        <v>46101</v>
      </c>
      <c r="I59" s="88">
        <v>140</v>
      </c>
      <c r="J59" s="8">
        <f t="shared" ca="1" si="3"/>
        <v>133</v>
      </c>
      <c r="K59" s="7" t="str">
        <f t="shared" ca="1" si="4"/>
        <v>Vigente</v>
      </c>
      <c r="L59" s="27" t="s">
        <v>132</v>
      </c>
      <c r="M59" s="27" t="s">
        <v>48</v>
      </c>
      <c r="N59" s="156"/>
      <c r="O59" s="27" t="s">
        <v>575</v>
      </c>
      <c r="P59" s="27" t="s">
        <v>575</v>
      </c>
      <c r="Q59" s="27" t="s">
        <v>575</v>
      </c>
      <c r="R59" s="27" t="s">
        <v>575</v>
      </c>
      <c r="S59" s="27">
        <v>140</v>
      </c>
      <c r="T59" s="27">
        <v>140.00700000000001</v>
      </c>
      <c r="U59" s="27">
        <v>140</v>
      </c>
      <c r="V59" s="27"/>
    </row>
    <row r="60" spans="3:22" x14ac:dyDescent="0.3">
      <c r="C60" s="7">
        <f t="shared" si="2"/>
        <v>53</v>
      </c>
      <c r="D60" s="24" t="s">
        <v>161</v>
      </c>
      <c r="E60" s="25" t="s">
        <v>276</v>
      </c>
      <c r="F60" s="8">
        <v>3022500087237</v>
      </c>
      <c r="G60" s="26">
        <v>45736</v>
      </c>
      <c r="H60" s="26">
        <v>46101</v>
      </c>
      <c r="I60" s="88">
        <v>140</v>
      </c>
      <c r="J60" s="8">
        <f t="shared" ca="1" si="3"/>
        <v>133</v>
      </c>
      <c r="K60" s="7" t="str">
        <f t="shared" ca="1" si="4"/>
        <v>Vigente</v>
      </c>
      <c r="L60" s="27" t="s">
        <v>132</v>
      </c>
      <c r="M60" s="27" t="s">
        <v>48</v>
      </c>
      <c r="N60" s="156"/>
      <c r="O60" s="27" t="s">
        <v>575</v>
      </c>
      <c r="P60" s="27" t="s">
        <v>575</v>
      </c>
      <c r="Q60" s="27" t="s">
        <v>575</v>
      </c>
      <c r="R60" s="27" t="s">
        <v>575</v>
      </c>
      <c r="S60" s="27">
        <v>140</v>
      </c>
      <c r="T60" s="27">
        <v>140.00700000000001</v>
      </c>
      <c r="U60" s="27">
        <v>140</v>
      </c>
      <c r="V60" s="27"/>
    </row>
    <row r="61" spans="3:22" x14ac:dyDescent="0.3">
      <c r="C61" s="7">
        <f t="shared" si="2"/>
        <v>54</v>
      </c>
      <c r="D61" s="24" t="s">
        <v>162</v>
      </c>
      <c r="E61" s="25" t="s">
        <v>276</v>
      </c>
      <c r="F61" s="8">
        <v>3022500087238</v>
      </c>
      <c r="G61" s="26">
        <v>45736</v>
      </c>
      <c r="H61" s="26">
        <v>46101</v>
      </c>
      <c r="I61" s="88">
        <v>140</v>
      </c>
      <c r="J61" s="8">
        <f t="shared" ca="1" si="3"/>
        <v>133</v>
      </c>
      <c r="K61" s="7" t="str">
        <f t="shared" ca="1" si="4"/>
        <v>Vigente</v>
      </c>
      <c r="L61" s="27" t="s">
        <v>132</v>
      </c>
      <c r="M61" s="27" t="s">
        <v>48</v>
      </c>
      <c r="N61" s="156"/>
      <c r="O61" s="27" t="s">
        <v>575</v>
      </c>
      <c r="P61" s="27" t="s">
        <v>575</v>
      </c>
      <c r="Q61" s="27" t="s">
        <v>575</v>
      </c>
      <c r="R61" s="27" t="s">
        <v>575</v>
      </c>
      <c r="S61" s="27">
        <v>140</v>
      </c>
      <c r="T61" s="27">
        <v>140.00700000000001</v>
      </c>
      <c r="U61" s="27">
        <v>140</v>
      </c>
      <c r="V61" s="27"/>
    </row>
    <row r="62" spans="3:22" x14ac:dyDescent="0.3">
      <c r="C62" s="7">
        <f t="shared" si="2"/>
        <v>55</v>
      </c>
      <c r="D62" s="24" t="s">
        <v>163</v>
      </c>
      <c r="E62" s="25" t="s">
        <v>276</v>
      </c>
      <c r="F62" s="8">
        <v>3022500087241</v>
      </c>
      <c r="G62" s="26">
        <v>45736</v>
      </c>
      <c r="H62" s="26">
        <v>46101</v>
      </c>
      <c r="I62" s="88">
        <v>140</v>
      </c>
      <c r="J62" s="8">
        <f t="shared" ca="1" si="3"/>
        <v>133</v>
      </c>
      <c r="K62" s="7" t="str">
        <f t="shared" ca="1" si="4"/>
        <v>Vigente</v>
      </c>
      <c r="L62" s="27" t="s">
        <v>132</v>
      </c>
      <c r="M62" s="27" t="s">
        <v>48</v>
      </c>
      <c r="N62" s="156"/>
      <c r="O62" s="27" t="s">
        <v>575</v>
      </c>
      <c r="P62" s="27" t="s">
        <v>575</v>
      </c>
      <c r="Q62" s="27" t="s">
        <v>575</v>
      </c>
      <c r="R62" s="27" t="s">
        <v>575</v>
      </c>
      <c r="S62" s="27">
        <v>140</v>
      </c>
      <c r="T62" s="27">
        <v>140.00700000000001</v>
      </c>
      <c r="U62" s="27">
        <v>140</v>
      </c>
      <c r="V62" s="27"/>
    </row>
    <row r="63" spans="3:22" x14ac:dyDescent="0.3">
      <c r="C63" s="7">
        <f t="shared" si="2"/>
        <v>56</v>
      </c>
      <c r="D63" s="24" t="s">
        <v>164</v>
      </c>
      <c r="E63" s="25" t="s">
        <v>276</v>
      </c>
      <c r="F63" s="8">
        <v>3022500087242</v>
      </c>
      <c r="G63" s="26">
        <v>45736</v>
      </c>
      <c r="H63" s="26">
        <v>46101</v>
      </c>
      <c r="I63" s="88">
        <v>140</v>
      </c>
      <c r="J63" s="8">
        <f t="shared" ca="1" si="3"/>
        <v>133</v>
      </c>
      <c r="K63" s="7" t="str">
        <f t="shared" ca="1" si="4"/>
        <v>Vigente</v>
      </c>
      <c r="L63" s="27" t="s">
        <v>132</v>
      </c>
      <c r="M63" s="27" t="s">
        <v>48</v>
      </c>
      <c r="N63" s="156"/>
      <c r="O63" s="27" t="s">
        <v>575</v>
      </c>
      <c r="P63" s="27" t="s">
        <v>575</v>
      </c>
      <c r="Q63" s="27" t="s">
        <v>575</v>
      </c>
      <c r="R63" s="27" t="s">
        <v>575</v>
      </c>
      <c r="S63" s="27">
        <v>140</v>
      </c>
      <c r="T63" s="27">
        <v>140.00700000000001</v>
      </c>
      <c r="U63" s="27">
        <v>140</v>
      </c>
      <c r="V63" s="27"/>
    </row>
    <row r="64" spans="3:22" x14ac:dyDescent="0.3">
      <c r="C64" s="7">
        <f t="shared" si="2"/>
        <v>57</v>
      </c>
      <c r="D64" s="24" t="s">
        <v>165</v>
      </c>
      <c r="E64" s="25" t="s">
        <v>276</v>
      </c>
      <c r="F64" s="8">
        <v>3022500087246</v>
      </c>
      <c r="G64" s="26">
        <v>45736</v>
      </c>
      <c r="H64" s="26">
        <v>46101</v>
      </c>
      <c r="I64" s="88">
        <v>140</v>
      </c>
      <c r="J64" s="8">
        <f t="shared" ca="1" si="3"/>
        <v>133</v>
      </c>
      <c r="K64" s="7" t="str">
        <f t="shared" ca="1" si="4"/>
        <v>Vigente</v>
      </c>
      <c r="L64" s="27" t="s">
        <v>132</v>
      </c>
      <c r="M64" s="27" t="s">
        <v>48</v>
      </c>
      <c r="N64" s="156"/>
      <c r="O64" s="27" t="s">
        <v>575</v>
      </c>
      <c r="P64" s="27" t="s">
        <v>575</v>
      </c>
      <c r="Q64" s="27" t="s">
        <v>575</v>
      </c>
      <c r="R64" s="27" t="s">
        <v>575</v>
      </c>
      <c r="S64" s="27">
        <v>140</v>
      </c>
      <c r="T64" s="27">
        <v>140.00700000000001</v>
      </c>
      <c r="U64" s="27">
        <v>140</v>
      </c>
      <c r="V64" s="27"/>
    </row>
    <row r="65" spans="3:22" x14ac:dyDescent="0.3">
      <c r="C65" s="7">
        <f t="shared" si="2"/>
        <v>58</v>
      </c>
      <c r="D65" s="24" t="s">
        <v>166</v>
      </c>
      <c r="E65" s="25" t="s">
        <v>276</v>
      </c>
      <c r="F65" s="8">
        <v>3022500087261</v>
      </c>
      <c r="G65" s="26">
        <v>45736</v>
      </c>
      <c r="H65" s="26">
        <v>46101</v>
      </c>
      <c r="I65" s="88">
        <v>140</v>
      </c>
      <c r="J65" s="8">
        <f t="shared" ca="1" si="3"/>
        <v>133</v>
      </c>
      <c r="K65" s="7" t="str">
        <f t="shared" ca="1" si="4"/>
        <v>Vigente</v>
      </c>
      <c r="L65" s="27" t="s">
        <v>132</v>
      </c>
      <c r="M65" s="27" t="s">
        <v>48</v>
      </c>
      <c r="N65" s="156"/>
      <c r="O65" s="27" t="s">
        <v>575</v>
      </c>
      <c r="P65" s="27" t="s">
        <v>575</v>
      </c>
      <c r="Q65" s="27" t="s">
        <v>575</v>
      </c>
      <c r="R65" s="27" t="s">
        <v>575</v>
      </c>
      <c r="S65" s="27">
        <v>140</v>
      </c>
      <c r="T65" s="27">
        <v>140.00700000000001</v>
      </c>
      <c r="U65" s="27">
        <v>140</v>
      </c>
      <c r="V65" s="27"/>
    </row>
    <row r="66" spans="3:22" x14ac:dyDescent="0.3">
      <c r="C66" s="7">
        <f t="shared" si="2"/>
        <v>59</v>
      </c>
      <c r="D66" s="24" t="s">
        <v>167</v>
      </c>
      <c r="E66" s="25" t="s">
        <v>276</v>
      </c>
      <c r="F66" s="8">
        <v>3022500087259</v>
      </c>
      <c r="G66" s="26">
        <v>45736</v>
      </c>
      <c r="H66" s="26">
        <v>46101</v>
      </c>
      <c r="I66" s="88">
        <v>140</v>
      </c>
      <c r="J66" s="8">
        <f t="shared" ca="1" si="3"/>
        <v>133</v>
      </c>
      <c r="K66" s="7" t="str">
        <f t="shared" ca="1" si="4"/>
        <v>Vigente</v>
      </c>
      <c r="L66" s="27" t="s">
        <v>132</v>
      </c>
      <c r="M66" s="27" t="s">
        <v>48</v>
      </c>
      <c r="N66" s="156"/>
      <c r="O66" s="27" t="s">
        <v>575</v>
      </c>
      <c r="P66" s="27" t="s">
        <v>575</v>
      </c>
      <c r="Q66" s="27" t="s">
        <v>575</v>
      </c>
      <c r="R66" s="27" t="s">
        <v>575</v>
      </c>
      <c r="S66" s="27">
        <v>140</v>
      </c>
      <c r="T66" s="27">
        <v>140.00700000000001</v>
      </c>
      <c r="U66" s="27">
        <v>140</v>
      </c>
      <c r="V66" s="27"/>
    </row>
    <row r="67" spans="3:22" x14ac:dyDescent="0.3">
      <c r="C67" s="7">
        <f t="shared" si="2"/>
        <v>60</v>
      </c>
      <c r="D67" s="24" t="s">
        <v>168</v>
      </c>
      <c r="E67" s="25" t="s">
        <v>276</v>
      </c>
      <c r="F67" s="8">
        <v>3022500087262</v>
      </c>
      <c r="G67" s="26">
        <v>45736</v>
      </c>
      <c r="H67" s="26">
        <v>46101</v>
      </c>
      <c r="I67" s="88">
        <v>140</v>
      </c>
      <c r="J67" s="8">
        <f t="shared" ca="1" si="3"/>
        <v>133</v>
      </c>
      <c r="K67" s="7" t="str">
        <f t="shared" ca="1" si="4"/>
        <v>Vigente</v>
      </c>
      <c r="L67" s="27" t="s">
        <v>132</v>
      </c>
      <c r="M67" s="27" t="s">
        <v>48</v>
      </c>
      <c r="N67" s="156"/>
      <c r="O67" s="27" t="s">
        <v>575</v>
      </c>
      <c r="P67" s="27" t="s">
        <v>575</v>
      </c>
      <c r="Q67" s="27" t="s">
        <v>575</v>
      </c>
      <c r="R67" s="27" t="s">
        <v>575</v>
      </c>
      <c r="S67" s="27">
        <v>140</v>
      </c>
      <c r="T67" s="27">
        <v>140.00700000000001</v>
      </c>
      <c r="U67" s="27">
        <v>140</v>
      </c>
      <c r="V67" s="27"/>
    </row>
    <row r="68" spans="3:22" x14ac:dyDescent="0.3">
      <c r="C68" s="7">
        <f t="shared" si="2"/>
        <v>61</v>
      </c>
      <c r="D68" s="24" t="s">
        <v>169</v>
      </c>
      <c r="E68" s="25" t="s">
        <v>276</v>
      </c>
      <c r="F68" s="8">
        <v>3022500087263</v>
      </c>
      <c r="G68" s="26">
        <v>45736</v>
      </c>
      <c r="H68" s="26">
        <v>46101</v>
      </c>
      <c r="I68" s="88">
        <v>140</v>
      </c>
      <c r="J68" s="8">
        <f t="shared" ca="1" si="3"/>
        <v>133</v>
      </c>
      <c r="K68" s="7" t="str">
        <f t="shared" ca="1" si="4"/>
        <v>Vigente</v>
      </c>
      <c r="L68" s="27" t="s">
        <v>132</v>
      </c>
      <c r="M68" s="27" t="s">
        <v>48</v>
      </c>
      <c r="N68" s="156"/>
      <c r="O68" s="27" t="s">
        <v>575</v>
      </c>
      <c r="P68" s="27" t="s">
        <v>575</v>
      </c>
      <c r="Q68" s="27" t="s">
        <v>575</v>
      </c>
      <c r="R68" s="27" t="s">
        <v>575</v>
      </c>
      <c r="S68" s="27">
        <v>140</v>
      </c>
      <c r="T68" s="27">
        <v>140.00700000000001</v>
      </c>
      <c r="U68" s="27">
        <v>140</v>
      </c>
      <c r="V68" s="27"/>
    </row>
    <row r="69" spans="3:22" x14ac:dyDescent="0.3">
      <c r="C69" s="7">
        <f t="shared" si="2"/>
        <v>62</v>
      </c>
      <c r="D69" s="24" t="s">
        <v>170</v>
      </c>
      <c r="E69" s="25" t="s">
        <v>276</v>
      </c>
      <c r="F69" s="8">
        <v>3022500087260</v>
      </c>
      <c r="G69" s="26">
        <v>45736</v>
      </c>
      <c r="H69" s="26">
        <v>46101</v>
      </c>
      <c r="I69" s="88">
        <v>140</v>
      </c>
      <c r="J69" s="8">
        <f t="shared" ca="1" si="3"/>
        <v>133</v>
      </c>
      <c r="K69" s="7" t="str">
        <f t="shared" ca="1" si="4"/>
        <v>Vigente</v>
      </c>
      <c r="L69" s="27" t="s">
        <v>132</v>
      </c>
      <c r="M69" s="27" t="s">
        <v>48</v>
      </c>
      <c r="N69" s="156"/>
      <c r="O69" s="27" t="s">
        <v>575</v>
      </c>
      <c r="P69" s="27" t="s">
        <v>575</v>
      </c>
      <c r="Q69" s="27" t="s">
        <v>575</v>
      </c>
      <c r="R69" s="27" t="s">
        <v>575</v>
      </c>
      <c r="S69" s="27">
        <v>140</v>
      </c>
      <c r="T69" s="27">
        <v>140.00700000000001</v>
      </c>
      <c r="U69" s="27">
        <v>140</v>
      </c>
      <c r="V69" s="27"/>
    </row>
    <row r="70" spans="3:22" x14ac:dyDescent="0.3">
      <c r="C70" s="7">
        <f t="shared" si="2"/>
        <v>63</v>
      </c>
      <c r="D70" s="24" t="s">
        <v>118</v>
      </c>
      <c r="E70" s="25" t="s">
        <v>276</v>
      </c>
      <c r="F70" s="8">
        <v>3022500188818</v>
      </c>
      <c r="G70" s="26">
        <v>45827</v>
      </c>
      <c r="H70" s="26">
        <v>46192</v>
      </c>
      <c r="I70" s="88">
        <v>148</v>
      </c>
      <c r="J70" s="8">
        <f t="shared" ca="1" si="3"/>
        <v>224</v>
      </c>
      <c r="K70" s="7" t="str">
        <f t="shared" ca="1" si="4"/>
        <v>Vigente</v>
      </c>
      <c r="L70" s="27" t="s">
        <v>119</v>
      </c>
      <c r="M70" s="27" t="s">
        <v>40</v>
      </c>
      <c r="O70" s="27" t="s">
        <v>1145</v>
      </c>
      <c r="P70" s="27" t="s">
        <v>1146</v>
      </c>
      <c r="Q70" s="27" t="s">
        <v>1147</v>
      </c>
      <c r="R70" s="27">
        <v>148</v>
      </c>
      <c r="S70" s="27" t="s">
        <v>575</v>
      </c>
      <c r="T70" s="27">
        <v>147.99855000000002</v>
      </c>
      <c r="U70" s="27">
        <v>148</v>
      </c>
      <c r="V70" s="27"/>
    </row>
    <row r="71" spans="3:22" x14ac:dyDescent="0.3">
      <c r="C71" s="7">
        <f t="shared" si="2"/>
        <v>64</v>
      </c>
      <c r="D71" s="24" t="s">
        <v>120</v>
      </c>
      <c r="E71" s="25" t="s">
        <v>276</v>
      </c>
      <c r="F71" s="8">
        <v>3022500188764</v>
      </c>
      <c r="G71" s="26">
        <v>45827</v>
      </c>
      <c r="H71" s="26">
        <v>46192</v>
      </c>
      <c r="I71" s="88">
        <v>148</v>
      </c>
      <c r="J71" s="8">
        <f t="shared" ca="1" si="3"/>
        <v>224</v>
      </c>
      <c r="K71" s="7" t="str">
        <f t="shared" ca="1" si="4"/>
        <v>Vigente</v>
      </c>
      <c r="L71" s="27" t="s">
        <v>119</v>
      </c>
      <c r="M71" s="27" t="s">
        <v>40</v>
      </c>
      <c r="O71" s="27" t="s">
        <v>1148</v>
      </c>
      <c r="P71" s="27" t="s">
        <v>1146</v>
      </c>
      <c r="Q71" s="27" t="s">
        <v>1147</v>
      </c>
      <c r="R71" s="27">
        <v>148</v>
      </c>
      <c r="S71" s="27" t="s">
        <v>575</v>
      </c>
      <c r="T71" s="27">
        <v>147.99855000000002</v>
      </c>
      <c r="U71" s="27">
        <v>148</v>
      </c>
      <c r="V71" s="27"/>
    </row>
    <row r="72" spans="3:22" x14ac:dyDescent="0.3">
      <c r="C72" s="7">
        <f t="shared" si="2"/>
        <v>65</v>
      </c>
      <c r="D72" s="24" t="s">
        <v>121</v>
      </c>
      <c r="E72" s="25" t="s">
        <v>276</v>
      </c>
      <c r="F72" s="8" t="s">
        <v>465</v>
      </c>
      <c r="G72" s="26">
        <v>45827</v>
      </c>
      <c r="H72" s="26">
        <v>46192</v>
      </c>
      <c r="I72" s="88">
        <v>148</v>
      </c>
      <c r="J72" s="8">
        <f t="shared" ref="J72:J81" ca="1" si="5">IFERROR(H72-(TODAY()),"")</f>
        <v>224</v>
      </c>
      <c r="K72" s="7" t="str">
        <f t="shared" ref="K72:K103" ca="1" si="6">IF(H72="","",IF(H72&lt;TODAY(),"Vencido","Vigente"))</f>
        <v>Vigente</v>
      </c>
      <c r="L72" s="27" t="s">
        <v>119</v>
      </c>
      <c r="M72" s="27" t="s">
        <v>40</v>
      </c>
      <c r="O72" s="27" t="s">
        <v>1149</v>
      </c>
      <c r="P72" s="27" t="s">
        <v>1146</v>
      </c>
      <c r="Q72" s="27" t="s">
        <v>1147</v>
      </c>
      <c r="R72" s="27">
        <v>148</v>
      </c>
      <c r="S72" s="27" t="s">
        <v>575</v>
      </c>
      <c r="T72" s="27">
        <v>147.99855000000002</v>
      </c>
      <c r="U72" s="27">
        <v>148</v>
      </c>
      <c r="V72" s="27"/>
    </row>
    <row r="73" spans="3:22" x14ac:dyDescent="0.3">
      <c r="C73" s="7">
        <f t="shared" si="2"/>
        <v>66</v>
      </c>
      <c r="D73" s="24" t="s">
        <v>122</v>
      </c>
      <c r="E73" s="25" t="s">
        <v>276</v>
      </c>
      <c r="F73" s="8">
        <v>3022500188798</v>
      </c>
      <c r="G73" s="26">
        <v>45827</v>
      </c>
      <c r="H73" s="26">
        <v>46192</v>
      </c>
      <c r="I73" s="88">
        <v>148</v>
      </c>
      <c r="J73" s="8">
        <f t="shared" ca="1" si="5"/>
        <v>224</v>
      </c>
      <c r="K73" s="7" t="str">
        <f t="shared" ca="1" si="6"/>
        <v>Vigente</v>
      </c>
      <c r="L73" s="27" t="s">
        <v>119</v>
      </c>
      <c r="M73" s="27" t="s">
        <v>40</v>
      </c>
      <c r="O73" s="27" t="s">
        <v>1150</v>
      </c>
      <c r="P73" s="27" t="s">
        <v>1146</v>
      </c>
      <c r="Q73" s="27" t="s">
        <v>1147</v>
      </c>
      <c r="R73" s="27">
        <v>148</v>
      </c>
      <c r="S73" s="27" t="s">
        <v>575</v>
      </c>
      <c r="T73" s="27">
        <v>147.99855000000002</v>
      </c>
      <c r="U73" s="27">
        <v>148</v>
      </c>
      <c r="V73" s="27"/>
    </row>
    <row r="74" spans="3:22" x14ac:dyDescent="0.3">
      <c r="C74" s="7">
        <f t="shared" ref="C74:C115" si="7">ROW(A67)</f>
        <v>67</v>
      </c>
      <c r="D74" s="24" t="s">
        <v>123</v>
      </c>
      <c r="E74" s="25" t="s">
        <v>276</v>
      </c>
      <c r="F74" s="8">
        <v>3022500188823</v>
      </c>
      <c r="G74" s="26">
        <v>45827</v>
      </c>
      <c r="H74" s="26">
        <v>46192</v>
      </c>
      <c r="I74" s="88">
        <v>148</v>
      </c>
      <c r="J74" s="8">
        <f t="shared" ca="1" si="5"/>
        <v>224</v>
      </c>
      <c r="K74" s="7" t="str">
        <f t="shared" ca="1" si="6"/>
        <v>Vigente</v>
      </c>
      <c r="L74" s="27" t="s">
        <v>119</v>
      </c>
      <c r="M74" s="27" t="s">
        <v>40</v>
      </c>
      <c r="O74" s="27" t="s">
        <v>1151</v>
      </c>
      <c r="P74" s="27" t="s">
        <v>1146</v>
      </c>
      <c r="Q74" s="27" t="s">
        <v>1147</v>
      </c>
      <c r="R74" s="27">
        <v>148</v>
      </c>
      <c r="S74" s="27" t="s">
        <v>575</v>
      </c>
      <c r="T74" s="27">
        <v>147.99855000000002</v>
      </c>
      <c r="U74" s="27">
        <v>148</v>
      </c>
      <c r="V74" s="27"/>
    </row>
    <row r="75" spans="3:22" x14ac:dyDescent="0.3">
      <c r="C75" s="7">
        <f t="shared" si="7"/>
        <v>68</v>
      </c>
      <c r="D75" s="24" t="s">
        <v>124</v>
      </c>
      <c r="E75" s="25" t="s">
        <v>276</v>
      </c>
      <c r="F75" s="8">
        <v>3022500188838</v>
      </c>
      <c r="G75" s="26">
        <v>45827</v>
      </c>
      <c r="H75" s="26">
        <v>46192</v>
      </c>
      <c r="I75" s="88">
        <v>148</v>
      </c>
      <c r="J75" s="8">
        <f t="shared" ca="1" si="5"/>
        <v>224</v>
      </c>
      <c r="K75" s="7" t="str">
        <f t="shared" ca="1" si="6"/>
        <v>Vigente</v>
      </c>
      <c r="L75" s="27" t="s">
        <v>119</v>
      </c>
      <c r="M75" s="27" t="s">
        <v>40</v>
      </c>
      <c r="O75" s="27" t="s">
        <v>1152</v>
      </c>
      <c r="P75" s="27" t="s">
        <v>1146</v>
      </c>
      <c r="Q75" s="27" t="s">
        <v>1147</v>
      </c>
      <c r="R75" s="27">
        <v>148</v>
      </c>
      <c r="S75" s="27" t="s">
        <v>575</v>
      </c>
      <c r="T75" s="27">
        <v>147.99855000000002</v>
      </c>
      <c r="U75" s="27">
        <v>148</v>
      </c>
      <c r="V75" s="27"/>
    </row>
    <row r="76" spans="3:22" x14ac:dyDescent="0.3">
      <c r="C76" s="7">
        <f t="shared" si="7"/>
        <v>69</v>
      </c>
      <c r="D76" s="24" t="s">
        <v>125</v>
      </c>
      <c r="E76" s="25" t="s">
        <v>276</v>
      </c>
      <c r="F76" s="8">
        <v>3022500188843</v>
      </c>
      <c r="G76" s="26">
        <v>45827</v>
      </c>
      <c r="H76" s="26">
        <v>46192</v>
      </c>
      <c r="I76" s="88">
        <v>148</v>
      </c>
      <c r="J76" s="8">
        <f t="shared" ca="1" si="5"/>
        <v>224</v>
      </c>
      <c r="K76" s="7" t="str">
        <f t="shared" ca="1" si="6"/>
        <v>Vigente</v>
      </c>
      <c r="L76" s="27" t="s">
        <v>119</v>
      </c>
      <c r="M76" s="27" t="s">
        <v>40</v>
      </c>
      <c r="O76" s="27" t="s">
        <v>1153</v>
      </c>
      <c r="P76" s="27" t="s">
        <v>1146</v>
      </c>
      <c r="Q76" s="27" t="s">
        <v>1147</v>
      </c>
      <c r="R76" s="27">
        <v>148</v>
      </c>
      <c r="S76" s="27" t="s">
        <v>575</v>
      </c>
      <c r="T76" s="27">
        <v>147.99855000000002</v>
      </c>
      <c r="U76" s="27">
        <v>148</v>
      </c>
      <c r="V76" s="27"/>
    </row>
    <row r="77" spans="3:22" x14ac:dyDescent="0.3">
      <c r="C77" s="7">
        <f t="shared" si="7"/>
        <v>70</v>
      </c>
      <c r="D77" s="24" t="s">
        <v>126</v>
      </c>
      <c r="E77" s="25" t="s">
        <v>276</v>
      </c>
      <c r="F77" s="8">
        <v>3022500188845</v>
      </c>
      <c r="G77" s="26">
        <v>45827</v>
      </c>
      <c r="H77" s="26">
        <v>46192</v>
      </c>
      <c r="I77" s="88">
        <v>148</v>
      </c>
      <c r="J77" s="8">
        <f t="shared" ca="1" si="5"/>
        <v>224</v>
      </c>
      <c r="K77" s="7" t="str">
        <f t="shared" ca="1" si="6"/>
        <v>Vigente</v>
      </c>
      <c r="L77" s="27" t="s">
        <v>119</v>
      </c>
      <c r="M77" s="27" t="s">
        <v>40</v>
      </c>
      <c r="O77" s="27" t="s">
        <v>1154</v>
      </c>
      <c r="P77" s="27" t="s">
        <v>1146</v>
      </c>
      <c r="Q77" s="27" t="s">
        <v>1147</v>
      </c>
      <c r="R77" s="27">
        <v>148</v>
      </c>
      <c r="S77" s="27" t="s">
        <v>575</v>
      </c>
      <c r="T77" s="27">
        <v>147.99855000000002</v>
      </c>
      <c r="U77" s="27">
        <v>148</v>
      </c>
      <c r="V77" s="27"/>
    </row>
    <row r="78" spans="3:22" x14ac:dyDescent="0.3">
      <c r="C78" s="7">
        <f t="shared" si="7"/>
        <v>71</v>
      </c>
      <c r="D78" s="24" t="s">
        <v>127</v>
      </c>
      <c r="E78" s="25" t="s">
        <v>276</v>
      </c>
      <c r="F78" s="8">
        <v>3022500188832</v>
      </c>
      <c r="G78" s="26">
        <v>45827</v>
      </c>
      <c r="H78" s="26">
        <v>46192</v>
      </c>
      <c r="I78" s="88">
        <v>148</v>
      </c>
      <c r="J78" s="8">
        <f t="shared" ca="1" si="5"/>
        <v>224</v>
      </c>
      <c r="K78" s="7" t="str">
        <f t="shared" ca="1" si="6"/>
        <v>Vigente</v>
      </c>
      <c r="L78" s="27" t="s">
        <v>119</v>
      </c>
      <c r="M78" s="27" t="s">
        <v>40</v>
      </c>
      <c r="O78" s="27" t="s">
        <v>1155</v>
      </c>
      <c r="P78" s="27" t="s">
        <v>1146</v>
      </c>
      <c r="Q78" s="27" t="s">
        <v>1147</v>
      </c>
      <c r="R78" s="27">
        <v>148</v>
      </c>
      <c r="S78" s="27" t="s">
        <v>575</v>
      </c>
      <c r="T78" s="27">
        <v>147.99855000000002</v>
      </c>
      <c r="U78" s="27">
        <v>148</v>
      </c>
      <c r="V78" s="27"/>
    </row>
    <row r="79" spans="3:22" x14ac:dyDescent="0.3">
      <c r="C79" s="7">
        <f t="shared" si="7"/>
        <v>72</v>
      </c>
      <c r="D79" s="24" t="s">
        <v>128</v>
      </c>
      <c r="E79" s="25" t="s">
        <v>276</v>
      </c>
      <c r="F79" s="8">
        <v>3022500188861</v>
      </c>
      <c r="G79" s="26">
        <v>45827</v>
      </c>
      <c r="H79" s="26">
        <v>46192</v>
      </c>
      <c r="I79" s="88">
        <v>148</v>
      </c>
      <c r="J79" s="8">
        <f t="shared" ca="1" si="5"/>
        <v>224</v>
      </c>
      <c r="K79" s="7" t="str">
        <f t="shared" ca="1" si="6"/>
        <v>Vigente</v>
      </c>
      <c r="L79" s="27" t="s">
        <v>119</v>
      </c>
      <c r="M79" s="27" t="s">
        <v>40</v>
      </c>
      <c r="O79" s="27" t="s">
        <v>1156</v>
      </c>
      <c r="P79" s="27" t="s">
        <v>1146</v>
      </c>
      <c r="Q79" s="27" t="s">
        <v>1147</v>
      </c>
      <c r="R79" s="27">
        <v>148</v>
      </c>
      <c r="S79" s="27" t="s">
        <v>575</v>
      </c>
      <c r="T79" s="27">
        <v>147.99855000000002</v>
      </c>
      <c r="U79" s="27">
        <v>148</v>
      </c>
      <c r="V79" s="27"/>
    </row>
    <row r="80" spans="3:22" x14ac:dyDescent="0.3">
      <c r="C80" s="7">
        <f t="shared" si="7"/>
        <v>73</v>
      </c>
      <c r="D80" s="24" t="s">
        <v>129</v>
      </c>
      <c r="E80" s="25" t="s">
        <v>276</v>
      </c>
      <c r="F80" s="8">
        <v>3022500188791</v>
      </c>
      <c r="G80" s="26">
        <v>45827</v>
      </c>
      <c r="H80" s="26">
        <v>46192</v>
      </c>
      <c r="I80" s="88">
        <v>148</v>
      </c>
      <c r="J80" s="8">
        <f t="shared" ca="1" si="5"/>
        <v>224</v>
      </c>
      <c r="K80" s="7" t="str">
        <f t="shared" ca="1" si="6"/>
        <v>Vigente</v>
      </c>
      <c r="L80" s="27" t="s">
        <v>119</v>
      </c>
      <c r="M80" s="27" t="s">
        <v>40</v>
      </c>
      <c r="O80" s="27" t="s">
        <v>1157</v>
      </c>
      <c r="P80" s="27" t="s">
        <v>1146</v>
      </c>
      <c r="Q80" s="27" t="s">
        <v>1147</v>
      </c>
      <c r="R80" s="27">
        <v>148</v>
      </c>
      <c r="S80" s="27" t="s">
        <v>575</v>
      </c>
      <c r="T80" s="27">
        <v>147.99855000000002</v>
      </c>
      <c r="U80" s="27">
        <v>148</v>
      </c>
      <c r="V80" s="27"/>
    </row>
    <row r="81" spans="3:22" x14ac:dyDescent="0.3">
      <c r="C81" s="7">
        <f t="shared" si="7"/>
        <v>74</v>
      </c>
      <c r="D81" s="24" t="s">
        <v>130</v>
      </c>
      <c r="E81" s="25" t="s">
        <v>276</v>
      </c>
      <c r="F81" s="8">
        <v>3022500188866</v>
      </c>
      <c r="G81" s="26">
        <v>45828</v>
      </c>
      <c r="H81" s="26">
        <v>46193</v>
      </c>
      <c r="I81" s="88">
        <v>148</v>
      </c>
      <c r="J81" s="8">
        <f t="shared" ca="1" si="5"/>
        <v>225</v>
      </c>
      <c r="K81" s="7" t="str">
        <f t="shared" ca="1" si="6"/>
        <v>Vigente</v>
      </c>
      <c r="L81" s="27" t="s">
        <v>119</v>
      </c>
      <c r="M81" s="27" t="s">
        <v>40</v>
      </c>
      <c r="O81" s="27" t="s">
        <v>1158</v>
      </c>
      <c r="P81" s="27" t="s">
        <v>1159</v>
      </c>
      <c r="Q81" s="27" t="s">
        <v>1160</v>
      </c>
      <c r="R81" s="27">
        <v>148</v>
      </c>
      <c r="S81" s="27" t="s">
        <v>575</v>
      </c>
      <c r="T81" s="27">
        <v>147.99855000000002</v>
      </c>
      <c r="U81" s="27">
        <v>148</v>
      </c>
      <c r="V81" s="27"/>
    </row>
    <row r="82" spans="3:22" x14ac:dyDescent="0.3">
      <c r="C82" s="7">
        <f t="shared" si="7"/>
        <v>75</v>
      </c>
      <c r="D82" s="24" t="s">
        <v>101</v>
      </c>
      <c r="E82" s="25" t="s">
        <v>276</v>
      </c>
      <c r="F82" s="8" t="s">
        <v>490</v>
      </c>
      <c r="G82" s="26" t="s">
        <v>379</v>
      </c>
      <c r="H82" s="26" t="s">
        <v>380</v>
      </c>
      <c r="I82" s="88">
        <v>65</v>
      </c>
      <c r="J82" s="8">
        <v>55</v>
      </c>
      <c r="K82" s="7" t="str">
        <f t="shared" ca="1" si="6"/>
        <v>Vigente</v>
      </c>
      <c r="L82" s="27" t="s">
        <v>92</v>
      </c>
      <c r="M82" s="27" t="s">
        <v>54</v>
      </c>
      <c r="O82" s="27" t="s">
        <v>490</v>
      </c>
      <c r="P82" s="27" t="s">
        <v>379</v>
      </c>
      <c r="Q82" s="27" t="s">
        <v>380</v>
      </c>
      <c r="R82" s="27">
        <v>55</v>
      </c>
      <c r="S82" s="27">
        <v>65</v>
      </c>
      <c r="T82" s="27" t="s">
        <v>575</v>
      </c>
      <c r="U82" s="27">
        <v>65</v>
      </c>
      <c r="V82" s="27"/>
    </row>
    <row r="83" spans="3:22" x14ac:dyDescent="0.3">
      <c r="C83" s="7">
        <f t="shared" si="7"/>
        <v>76</v>
      </c>
      <c r="D83" s="24" t="s">
        <v>62</v>
      </c>
      <c r="E83" s="25" t="s">
        <v>276</v>
      </c>
      <c r="F83" s="8" t="s">
        <v>492</v>
      </c>
      <c r="G83" s="26" t="s">
        <v>379</v>
      </c>
      <c r="H83" s="26" t="s">
        <v>380</v>
      </c>
      <c r="I83" s="88">
        <v>130</v>
      </c>
      <c r="J83" s="8">
        <v>140</v>
      </c>
      <c r="K83" s="7" t="str">
        <f t="shared" ca="1" si="6"/>
        <v>Vigente</v>
      </c>
      <c r="L83" s="27" t="s">
        <v>60</v>
      </c>
      <c r="M83" s="27" t="s">
        <v>58</v>
      </c>
      <c r="O83" s="27" t="s">
        <v>492</v>
      </c>
      <c r="P83" s="27" t="s">
        <v>379</v>
      </c>
      <c r="Q83" s="27" t="s">
        <v>380</v>
      </c>
      <c r="R83" s="27">
        <v>140</v>
      </c>
      <c r="S83" s="27">
        <v>130</v>
      </c>
      <c r="T83" s="27" t="s">
        <v>575</v>
      </c>
      <c r="U83" s="27">
        <v>130</v>
      </c>
      <c r="V83" s="27"/>
    </row>
    <row r="84" spans="3:22" x14ac:dyDescent="0.3">
      <c r="C84" s="7">
        <f t="shared" si="7"/>
        <v>77</v>
      </c>
      <c r="D84" s="24" t="s">
        <v>63</v>
      </c>
      <c r="E84" s="25" t="s">
        <v>276</v>
      </c>
      <c r="F84" s="8" t="s">
        <v>493</v>
      </c>
      <c r="G84" s="26" t="s">
        <v>379</v>
      </c>
      <c r="H84" s="26" t="s">
        <v>380</v>
      </c>
      <c r="I84" s="88">
        <v>130</v>
      </c>
      <c r="J84" s="8">
        <v>140</v>
      </c>
      <c r="K84" s="7" t="str">
        <f t="shared" ca="1" si="6"/>
        <v>Vigente</v>
      </c>
      <c r="L84" s="27" t="s">
        <v>60</v>
      </c>
      <c r="M84" s="27" t="s">
        <v>58</v>
      </c>
      <c r="O84" s="27" t="s">
        <v>493</v>
      </c>
      <c r="P84" s="27" t="s">
        <v>379</v>
      </c>
      <c r="Q84" s="27" t="s">
        <v>380</v>
      </c>
      <c r="R84" s="27">
        <v>140</v>
      </c>
      <c r="S84" s="27">
        <v>130</v>
      </c>
      <c r="T84" s="27" t="s">
        <v>575</v>
      </c>
      <c r="U84" s="27">
        <v>130</v>
      </c>
      <c r="V84" s="27"/>
    </row>
    <row r="85" spans="3:22" x14ac:dyDescent="0.3">
      <c r="C85" s="7">
        <f t="shared" si="7"/>
        <v>78</v>
      </c>
      <c r="D85" s="24" t="s">
        <v>64</v>
      </c>
      <c r="E85" s="25" t="s">
        <v>276</v>
      </c>
      <c r="F85" s="8" t="s">
        <v>495</v>
      </c>
      <c r="G85" s="26" t="s">
        <v>379</v>
      </c>
      <c r="H85" s="26" t="s">
        <v>380</v>
      </c>
      <c r="I85" s="88">
        <v>130</v>
      </c>
      <c r="J85" s="8">
        <v>140</v>
      </c>
      <c r="K85" s="7" t="str">
        <f t="shared" ca="1" si="6"/>
        <v>Vigente</v>
      </c>
      <c r="L85" s="27" t="s">
        <v>60</v>
      </c>
      <c r="M85" s="27" t="s">
        <v>58</v>
      </c>
      <c r="O85" s="27" t="s">
        <v>495</v>
      </c>
      <c r="P85" s="27" t="s">
        <v>379</v>
      </c>
      <c r="Q85" s="27" t="s">
        <v>380</v>
      </c>
      <c r="R85" s="27">
        <v>140</v>
      </c>
      <c r="S85" s="27">
        <v>130</v>
      </c>
      <c r="T85" s="27" t="s">
        <v>575</v>
      </c>
      <c r="U85" s="27">
        <v>130</v>
      </c>
      <c r="V85" s="27"/>
    </row>
    <row r="86" spans="3:22" x14ac:dyDescent="0.3">
      <c r="C86" s="7">
        <f t="shared" si="7"/>
        <v>79</v>
      </c>
      <c r="D86" s="24" t="s">
        <v>85</v>
      </c>
      <c r="E86" s="25" t="s">
        <v>276</v>
      </c>
      <c r="F86" s="8" t="s">
        <v>496</v>
      </c>
      <c r="G86" s="26" t="s">
        <v>379</v>
      </c>
      <c r="H86" s="26" t="s">
        <v>380</v>
      </c>
      <c r="I86" s="88">
        <v>65</v>
      </c>
      <c r="J86" s="8">
        <v>55</v>
      </c>
      <c r="K86" s="7" t="str">
        <f t="shared" ca="1" si="6"/>
        <v>Vigente</v>
      </c>
      <c r="L86" s="27" t="s">
        <v>73</v>
      </c>
      <c r="M86" s="27" t="s">
        <v>54</v>
      </c>
      <c r="O86" s="27" t="s">
        <v>496</v>
      </c>
      <c r="P86" s="27" t="s">
        <v>379</v>
      </c>
      <c r="Q86" s="27" t="s">
        <v>380</v>
      </c>
      <c r="R86" s="27">
        <v>55</v>
      </c>
      <c r="S86" s="27">
        <v>65</v>
      </c>
      <c r="T86" s="27" t="s">
        <v>575</v>
      </c>
      <c r="U86" s="27">
        <v>65</v>
      </c>
      <c r="V86" s="27"/>
    </row>
    <row r="87" spans="3:22" x14ac:dyDescent="0.3">
      <c r="C87" s="7">
        <f t="shared" si="7"/>
        <v>80</v>
      </c>
      <c r="D87" s="24" t="s">
        <v>102</v>
      </c>
      <c r="E87" s="25" t="s">
        <v>276</v>
      </c>
      <c r="F87" s="8" t="s">
        <v>497</v>
      </c>
      <c r="G87" s="26" t="s">
        <v>379</v>
      </c>
      <c r="H87" s="26" t="s">
        <v>380</v>
      </c>
      <c r="I87" s="88">
        <v>65</v>
      </c>
      <c r="J87" s="8">
        <v>55</v>
      </c>
      <c r="K87" s="7" t="str">
        <f t="shared" ca="1" si="6"/>
        <v>Vigente</v>
      </c>
      <c r="L87" s="27" t="s">
        <v>92</v>
      </c>
      <c r="M87" s="27" t="s">
        <v>54</v>
      </c>
      <c r="O87" s="27" t="s">
        <v>497</v>
      </c>
      <c r="P87" s="27" t="s">
        <v>379</v>
      </c>
      <c r="Q87" s="27" t="s">
        <v>380</v>
      </c>
      <c r="R87" s="27">
        <v>55</v>
      </c>
      <c r="S87" s="27">
        <v>65</v>
      </c>
      <c r="T87" s="27" t="s">
        <v>575</v>
      </c>
      <c r="U87" s="27">
        <v>65</v>
      </c>
      <c r="V87" s="27"/>
    </row>
    <row r="88" spans="3:22" x14ac:dyDescent="0.3">
      <c r="C88" s="7">
        <f t="shared" si="7"/>
        <v>81</v>
      </c>
      <c r="D88" s="24" t="s">
        <v>86</v>
      </c>
      <c r="E88" s="25" t="s">
        <v>276</v>
      </c>
      <c r="F88" s="8" t="s">
        <v>499</v>
      </c>
      <c r="G88" s="26" t="s">
        <v>379</v>
      </c>
      <c r="H88" s="26" t="s">
        <v>380</v>
      </c>
      <c r="I88" s="88">
        <v>65</v>
      </c>
      <c r="J88" s="8">
        <v>55</v>
      </c>
      <c r="K88" s="7" t="str">
        <f t="shared" ca="1" si="6"/>
        <v>Vigente</v>
      </c>
      <c r="L88" s="27" t="s">
        <v>73</v>
      </c>
      <c r="M88" s="27" t="s">
        <v>54</v>
      </c>
      <c r="O88" s="27" t="s">
        <v>499</v>
      </c>
      <c r="P88" s="27" t="s">
        <v>379</v>
      </c>
      <c r="Q88" s="27" t="s">
        <v>380</v>
      </c>
      <c r="R88" s="27">
        <v>55</v>
      </c>
      <c r="S88" s="27">
        <v>65</v>
      </c>
      <c r="T88" s="27" t="s">
        <v>575</v>
      </c>
      <c r="U88" s="27">
        <v>65</v>
      </c>
      <c r="V88" s="27"/>
    </row>
    <row r="89" spans="3:22" x14ac:dyDescent="0.3">
      <c r="C89" s="7">
        <f t="shared" si="7"/>
        <v>82</v>
      </c>
      <c r="D89" s="24" t="s">
        <v>87</v>
      </c>
      <c r="E89" s="25" t="s">
        <v>276</v>
      </c>
      <c r="F89" s="8" t="s">
        <v>500</v>
      </c>
      <c r="G89" s="26" t="s">
        <v>379</v>
      </c>
      <c r="H89" s="26" t="s">
        <v>380</v>
      </c>
      <c r="I89" s="88">
        <v>65</v>
      </c>
      <c r="J89" s="8">
        <v>55</v>
      </c>
      <c r="K89" s="7" t="str">
        <f t="shared" ca="1" si="6"/>
        <v>Vigente</v>
      </c>
      <c r="L89" s="27" t="s">
        <v>73</v>
      </c>
      <c r="M89" s="27" t="s">
        <v>54</v>
      </c>
      <c r="O89" s="27" t="s">
        <v>500</v>
      </c>
      <c r="P89" s="27" t="s">
        <v>379</v>
      </c>
      <c r="Q89" s="27" t="s">
        <v>380</v>
      </c>
      <c r="R89" s="27">
        <v>55</v>
      </c>
      <c r="S89" s="27">
        <v>65</v>
      </c>
      <c r="T89" s="27" t="s">
        <v>575</v>
      </c>
      <c r="U89" s="27">
        <v>65</v>
      </c>
      <c r="V89" s="27"/>
    </row>
    <row r="90" spans="3:22" x14ac:dyDescent="0.3">
      <c r="C90" s="7">
        <f t="shared" si="7"/>
        <v>83</v>
      </c>
      <c r="D90" s="24" t="s">
        <v>103</v>
      </c>
      <c r="E90" s="25" t="s">
        <v>276</v>
      </c>
      <c r="F90" s="8" t="s">
        <v>503</v>
      </c>
      <c r="G90" s="26" t="s">
        <v>379</v>
      </c>
      <c r="H90" s="26" t="s">
        <v>380</v>
      </c>
      <c r="I90" s="88">
        <v>65</v>
      </c>
      <c r="J90" s="8">
        <v>55</v>
      </c>
      <c r="K90" s="7" t="str">
        <f t="shared" ca="1" si="6"/>
        <v>Vigente</v>
      </c>
      <c r="L90" s="27" t="s">
        <v>92</v>
      </c>
      <c r="M90" s="27" t="s">
        <v>54</v>
      </c>
      <c r="O90" s="27" t="s">
        <v>503</v>
      </c>
      <c r="P90" s="27" t="s">
        <v>379</v>
      </c>
      <c r="Q90" s="27" t="s">
        <v>380</v>
      </c>
      <c r="R90" s="27">
        <v>55</v>
      </c>
      <c r="S90" s="27" t="s">
        <v>575</v>
      </c>
      <c r="T90" s="27" t="s">
        <v>575</v>
      </c>
      <c r="U90" s="27" t="s">
        <v>575</v>
      </c>
      <c r="V90" s="27" t="s">
        <v>504</v>
      </c>
    </row>
    <row r="91" spans="3:22" x14ac:dyDescent="0.3">
      <c r="C91" s="7">
        <f t="shared" si="7"/>
        <v>84</v>
      </c>
      <c r="D91" s="24" t="s">
        <v>88</v>
      </c>
      <c r="E91" s="25" t="s">
        <v>276</v>
      </c>
      <c r="F91" s="8" t="s">
        <v>506</v>
      </c>
      <c r="G91" s="26" t="s">
        <v>379</v>
      </c>
      <c r="H91" s="26" t="s">
        <v>380</v>
      </c>
      <c r="I91" s="88">
        <v>65</v>
      </c>
      <c r="J91" s="8">
        <v>55</v>
      </c>
      <c r="K91" s="7" t="str">
        <f t="shared" ca="1" si="6"/>
        <v>Vigente</v>
      </c>
      <c r="L91" s="27" t="s">
        <v>73</v>
      </c>
      <c r="M91" s="27" t="s">
        <v>54</v>
      </c>
      <c r="O91" s="27" t="s">
        <v>506</v>
      </c>
      <c r="P91" s="27" t="s">
        <v>379</v>
      </c>
      <c r="Q91" s="27" t="s">
        <v>380</v>
      </c>
      <c r="R91" s="27">
        <v>55</v>
      </c>
      <c r="S91" s="27">
        <v>65</v>
      </c>
      <c r="T91" s="27" t="s">
        <v>575</v>
      </c>
      <c r="U91" s="27">
        <v>65</v>
      </c>
      <c r="V91" s="27"/>
    </row>
    <row r="92" spans="3:22" x14ac:dyDescent="0.3">
      <c r="C92" s="7">
        <f t="shared" si="7"/>
        <v>85</v>
      </c>
      <c r="D92" s="24" t="s">
        <v>89</v>
      </c>
      <c r="E92" s="25" t="s">
        <v>276</v>
      </c>
      <c r="F92" s="8" t="s">
        <v>507</v>
      </c>
      <c r="G92" s="26" t="s">
        <v>379</v>
      </c>
      <c r="H92" s="26" t="s">
        <v>380</v>
      </c>
      <c r="I92" s="88">
        <v>65</v>
      </c>
      <c r="J92" s="8">
        <v>55</v>
      </c>
      <c r="K92" s="7" t="str">
        <f t="shared" ca="1" si="6"/>
        <v>Vigente</v>
      </c>
      <c r="L92" s="27" t="s">
        <v>73</v>
      </c>
      <c r="M92" s="27" t="s">
        <v>54</v>
      </c>
      <c r="O92" s="27" t="s">
        <v>507</v>
      </c>
      <c r="P92" s="27" t="s">
        <v>379</v>
      </c>
      <c r="Q92" s="27" t="s">
        <v>380</v>
      </c>
      <c r="R92" s="27">
        <v>55</v>
      </c>
      <c r="S92" s="27">
        <v>65</v>
      </c>
      <c r="T92" s="27" t="s">
        <v>575</v>
      </c>
      <c r="U92" s="27">
        <v>65</v>
      </c>
      <c r="V92" s="27"/>
    </row>
    <row r="93" spans="3:22" x14ac:dyDescent="0.3">
      <c r="C93" s="7">
        <f t="shared" si="7"/>
        <v>86</v>
      </c>
      <c r="D93" s="24" t="s">
        <v>90</v>
      </c>
      <c r="E93" s="25" t="s">
        <v>276</v>
      </c>
      <c r="F93" s="8" t="s">
        <v>510</v>
      </c>
      <c r="G93" s="26" t="s">
        <v>379</v>
      </c>
      <c r="H93" s="26" t="s">
        <v>380</v>
      </c>
      <c r="I93" s="88">
        <v>65</v>
      </c>
      <c r="J93" s="8">
        <v>55</v>
      </c>
      <c r="K93" s="7" t="str">
        <f t="shared" ca="1" si="6"/>
        <v>Vigente</v>
      </c>
      <c r="L93" s="27" t="s">
        <v>73</v>
      </c>
      <c r="M93" s="27" t="s">
        <v>54</v>
      </c>
      <c r="O93" s="27" t="s">
        <v>510</v>
      </c>
      <c r="P93" s="27" t="s">
        <v>379</v>
      </c>
      <c r="Q93" s="27" t="s">
        <v>380</v>
      </c>
      <c r="R93" s="27">
        <v>55</v>
      </c>
      <c r="S93" s="27">
        <v>65</v>
      </c>
      <c r="T93" s="27" t="s">
        <v>575</v>
      </c>
      <c r="U93" s="27">
        <v>65</v>
      </c>
      <c r="V93" s="27"/>
    </row>
    <row r="94" spans="3:22" x14ac:dyDescent="0.3">
      <c r="C94" s="7">
        <f t="shared" si="7"/>
        <v>87</v>
      </c>
      <c r="D94" s="24" t="s">
        <v>104</v>
      </c>
      <c r="E94" s="25" t="s">
        <v>276</v>
      </c>
      <c r="F94" s="8" t="s">
        <v>512</v>
      </c>
      <c r="G94" s="26" t="s">
        <v>379</v>
      </c>
      <c r="H94" s="26" t="s">
        <v>380</v>
      </c>
      <c r="I94" s="88">
        <v>65</v>
      </c>
      <c r="J94" s="8">
        <v>55</v>
      </c>
      <c r="K94" s="7" t="str">
        <f t="shared" ca="1" si="6"/>
        <v>Vigente</v>
      </c>
      <c r="L94" s="27" t="s">
        <v>92</v>
      </c>
      <c r="M94" s="27" t="s">
        <v>54</v>
      </c>
      <c r="O94" s="27" t="s">
        <v>512</v>
      </c>
      <c r="P94" s="27" t="s">
        <v>379</v>
      </c>
      <c r="Q94" s="27" t="s">
        <v>380</v>
      </c>
      <c r="R94" s="27">
        <v>55</v>
      </c>
      <c r="S94" s="27">
        <v>65</v>
      </c>
      <c r="T94" s="27" t="s">
        <v>575</v>
      </c>
      <c r="U94" s="27">
        <v>65</v>
      </c>
      <c r="V94" s="27"/>
    </row>
    <row r="95" spans="3:22" x14ac:dyDescent="0.3">
      <c r="C95" s="7">
        <f t="shared" si="7"/>
        <v>88</v>
      </c>
      <c r="D95" s="24" t="s">
        <v>105</v>
      </c>
      <c r="E95" s="25" t="s">
        <v>276</v>
      </c>
      <c r="F95" s="8" t="s">
        <v>514</v>
      </c>
      <c r="G95" s="26" t="s">
        <v>379</v>
      </c>
      <c r="H95" s="26" t="s">
        <v>380</v>
      </c>
      <c r="I95" s="88">
        <v>65</v>
      </c>
      <c r="J95" s="8">
        <v>55</v>
      </c>
      <c r="K95" s="7" t="str">
        <f t="shared" ca="1" si="6"/>
        <v>Vigente</v>
      </c>
      <c r="L95" s="27" t="s">
        <v>92</v>
      </c>
      <c r="M95" s="27" t="s">
        <v>54</v>
      </c>
      <c r="O95" s="27" t="s">
        <v>514</v>
      </c>
      <c r="P95" s="27" t="s">
        <v>379</v>
      </c>
      <c r="Q95" s="27" t="s">
        <v>380</v>
      </c>
      <c r="R95" s="27">
        <v>55</v>
      </c>
      <c r="S95" s="27">
        <v>65</v>
      </c>
      <c r="T95" s="27" t="s">
        <v>575</v>
      </c>
      <c r="U95" s="27">
        <v>65</v>
      </c>
      <c r="V95" s="27"/>
    </row>
    <row r="96" spans="3:22" x14ac:dyDescent="0.3">
      <c r="C96" s="7">
        <f t="shared" si="7"/>
        <v>89</v>
      </c>
      <c r="D96" s="24" t="s">
        <v>106</v>
      </c>
      <c r="E96" s="25" t="s">
        <v>276</v>
      </c>
      <c r="F96" s="8" t="s">
        <v>516</v>
      </c>
      <c r="G96" s="26" t="s">
        <v>379</v>
      </c>
      <c r="H96" s="26" t="s">
        <v>380</v>
      </c>
      <c r="I96" s="88">
        <v>65</v>
      </c>
      <c r="J96" s="8">
        <v>55</v>
      </c>
      <c r="K96" s="7" t="str">
        <f t="shared" ca="1" si="6"/>
        <v>Vigente</v>
      </c>
      <c r="L96" s="27" t="s">
        <v>92</v>
      </c>
      <c r="M96" s="27" t="s">
        <v>54</v>
      </c>
      <c r="O96" s="27" t="s">
        <v>516</v>
      </c>
      <c r="P96" s="27" t="s">
        <v>379</v>
      </c>
      <c r="Q96" s="27" t="s">
        <v>380</v>
      </c>
      <c r="R96" s="27">
        <v>55</v>
      </c>
      <c r="S96" s="27">
        <v>65</v>
      </c>
      <c r="T96" s="27" t="s">
        <v>575</v>
      </c>
      <c r="U96" s="27">
        <v>65</v>
      </c>
      <c r="V96" s="27"/>
    </row>
    <row r="97" spans="3:22" x14ac:dyDescent="0.3">
      <c r="C97" s="7">
        <f t="shared" si="7"/>
        <v>90</v>
      </c>
      <c r="D97" s="24" t="s">
        <v>107</v>
      </c>
      <c r="E97" s="25" t="s">
        <v>276</v>
      </c>
      <c r="F97" s="8" t="s">
        <v>518</v>
      </c>
      <c r="G97" s="26" t="s">
        <v>379</v>
      </c>
      <c r="H97" s="26" t="s">
        <v>380</v>
      </c>
      <c r="I97" s="88">
        <v>65</v>
      </c>
      <c r="J97" s="8">
        <v>55</v>
      </c>
      <c r="K97" s="7" t="str">
        <f t="shared" ca="1" si="6"/>
        <v>Vigente</v>
      </c>
      <c r="L97" s="27" t="s">
        <v>92</v>
      </c>
      <c r="M97" s="27" t="s">
        <v>54</v>
      </c>
      <c r="O97" s="27" t="s">
        <v>518</v>
      </c>
      <c r="P97" s="27" t="s">
        <v>379</v>
      </c>
      <c r="Q97" s="27" t="s">
        <v>380</v>
      </c>
      <c r="R97" s="27">
        <v>55</v>
      </c>
      <c r="S97" s="27">
        <v>65</v>
      </c>
      <c r="T97" s="27" t="s">
        <v>575</v>
      </c>
      <c r="U97" s="27">
        <v>65</v>
      </c>
      <c r="V97" s="27"/>
    </row>
    <row r="98" spans="3:22" x14ac:dyDescent="0.3">
      <c r="C98" s="7">
        <f t="shared" si="7"/>
        <v>91</v>
      </c>
      <c r="D98" s="24" t="s">
        <v>108</v>
      </c>
      <c r="E98" s="25" t="s">
        <v>276</v>
      </c>
      <c r="F98" s="8" t="s">
        <v>520</v>
      </c>
      <c r="G98" s="26" t="s">
        <v>379</v>
      </c>
      <c r="H98" s="26" t="s">
        <v>380</v>
      </c>
      <c r="I98" s="88">
        <v>65</v>
      </c>
      <c r="J98" s="8">
        <v>55</v>
      </c>
      <c r="K98" s="7" t="str">
        <f t="shared" ca="1" si="6"/>
        <v>Vigente</v>
      </c>
      <c r="L98" s="27" t="s">
        <v>92</v>
      </c>
      <c r="M98" s="27" t="s">
        <v>54</v>
      </c>
      <c r="O98" s="27" t="s">
        <v>520</v>
      </c>
      <c r="P98" s="27" t="s">
        <v>379</v>
      </c>
      <c r="Q98" s="27" t="s">
        <v>380</v>
      </c>
      <c r="R98" s="27">
        <v>55</v>
      </c>
      <c r="S98" s="27">
        <v>65</v>
      </c>
      <c r="T98" s="27" t="s">
        <v>575</v>
      </c>
      <c r="U98" s="27">
        <v>65</v>
      </c>
      <c r="V98" s="27"/>
    </row>
    <row r="99" spans="3:22" x14ac:dyDescent="0.3">
      <c r="C99" s="7">
        <f t="shared" si="7"/>
        <v>92</v>
      </c>
      <c r="D99" s="24" t="s">
        <v>41</v>
      </c>
      <c r="E99" s="25" t="s">
        <v>276</v>
      </c>
      <c r="F99" s="8">
        <v>3022500093758</v>
      </c>
      <c r="G99" s="26">
        <v>45723</v>
      </c>
      <c r="H99" s="26">
        <v>46088</v>
      </c>
      <c r="I99" s="88">
        <v>140</v>
      </c>
      <c r="J99" s="8">
        <f t="shared" ref="J99:J115" ca="1" si="8">IFERROR(H99-(TODAY()),"")</f>
        <v>120</v>
      </c>
      <c r="K99" s="7" t="str">
        <f t="shared" ca="1" si="6"/>
        <v>Vigente</v>
      </c>
      <c r="L99" s="27" t="s">
        <v>42</v>
      </c>
      <c r="M99" s="27" t="s">
        <v>45</v>
      </c>
      <c r="N99" s="156"/>
      <c r="O99" s="27" t="s">
        <v>575</v>
      </c>
      <c r="P99" s="27" t="s">
        <v>575</v>
      </c>
      <c r="Q99" s="27" t="s">
        <v>575</v>
      </c>
      <c r="R99" s="27" t="s">
        <v>575</v>
      </c>
      <c r="S99" s="27">
        <v>140</v>
      </c>
      <c r="T99" s="27">
        <v>140.00700000000001</v>
      </c>
      <c r="U99" s="27">
        <v>140</v>
      </c>
      <c r="V99" s="27"/>
    </row>
    <row r="100" spans="3:22" x14ac:dyDescent="0.3">
      <c r="C100" s="7">
        <f t="shared" si="7"/>
        <v>93</v>
      </c>
      <c r="D100" s="24" t="s">
        <v>47</v>
      </c>
      <c r="E100" s="25" t="s">
        <v>276</v>
      </c>
      <c r="F100" s="8">
        <v>3022500093741</v>
      </c>
      <c r="G100" s="26">
        <v>45723</v>
      </c>
      <c r="H100" s="26">
        <v>46088</v>
      </c>
      <c r="I100" s="88">
        <v>140</v>
      </c>
      <c r="J100" s="8">
        <f t="shared" ca="1" si="8"/>
        <v>120</v>
      </c>
      <c r="K100" s="7" t="str">
        <f t="shared" ca="1" si="6"/>
        <v>Vigente</v>
      </c>
      <c r="L100" s="27" t="s">
        <v>42</v>
      </c>
      <c r="M100" s="27" t="s">
        <v>45</v>
      </c>
      <c r="N100" s="156"/>
      <c r="O100" s="27" t="s">
        <v>575</v>
      </c>
      <c r="P100" s="27" t="s">
        <v>575</v>
      </c>
      <c r="Q100" s="27" t="s">
        <v>575</v>
      </c>
      <c r="R100" s="27" t="s">
        <v>575</v>
      </c>
      <c r="S100" s="27">
        <v>140</v>
      </c>
      <c r="T100" s="27">
        <v>140.00700000000001</v>
      </c>
      <c r="U100" s="27">
        <v>140</v>
      </c>
      <c r="V100" s="27"/>
    </row>
    <row r="101" spans="3:22" x14ac:dyDescent="0.3">
      <c r="C101" s="7">
        <f t="shared" si="7"/>
        <v>94</v>
      </c>
      <c r="D101" s="24" t="s">
        <v>49</v>
      </c>
      <c r="E101" s="25" t="s">
        <v>276</v>
      </c>
      <c r="F101" s="8">
        <v>3022500093726</v>
      </c>
      <c r="G101" s="26">
        <v>45723</v>
      </c>
      <c r="H101" s="26">
        <v>46088</v>
      </c>
      <c r="I101" s="88">
        <v>140</v>
      </c>
      <c r="J101" s="8">
        <f t="shared" ca="1" si="8"/>
        <v>120</v>
      </c>
      <c r="K101" s="7" t="str">
        <f t="shared" ca="1" si="6"/>
        <v>Vigente</v>
      </c>
      <c r="L101" s="27" t="s">
        <v>42</v>
      </c>
      <c r="M101" s="27" t="s">
        <v>45</v>
      </c>
      <c r="N101" s="156"/>
      <c r="O101" s="27" t="s">
        <v>575</v>
      </c>
      <c r="P101" s="27" t="s">
        <v>575</v>
      </c>
      <c r="Q101" s="27" t="s">
        <v>575</v>
      </c>
      <c r="R101" s="27" t="s">
        <v>575</v>
      </c>
      <c r="S101" s="27">
        <v>140</v>
      </c>
      <c r="T101" s="27">
        <v>140.00700000000001</v>
      </c>
      <c r="U101" s="27">
        <v>140</v>
      </c>
      <c r="V101" s="27"/>
    </row>
    <row r="102" spans="3:22" x14ac:dyDescent="0.3">
      <c r="C102" s="7">
        <f t="shared" si="7"/>
        <v>95</v>
      </c>
      <c r="D102" s="24" t="s">
        <v>50</v>
      </c>
      <c r="E102" s="25" t="s">
        <v>276</v>
      </c>
      <c r="F102" s="8">
        <v>3022500099463</v>
      </c>
      <c r="G102" s="26">
        <v>45727</v>
      </c>
      <c r="H102" s="26">
        <v>46092</v>
      </c>
      <c r="I102" s="88">
        <v>140</v>
      </c>
      <c r="J102" s="8">
        <f t="shared" ca="1" si="8"/>
        <v>124</v>
      </c>
      <c r="K102" s="7" t="str">
        <f t="shared" ca="1" si="6"/>
        <v>Vigente</v>
      </c>
      <c r="L102" s="27" t="s">
        <v>42</v>
      </c>
      <c r="M102" s="27" t="s">
        <v>45</v>
      </c>
      <c r="N102" s="156"/>
      <c r="O102" s="27" t="s">
        <v>575</v>
      </c>
      <c r="P102" s="27" t="s">
        <v>575</v>
      </c>
      <c r="Q102" s="27" t="s">
        <v>575</v>
      </c>
      <c r="R102" s="27" t="s">
        <v>575</v>
      </c>
      <c r="S102" s="27">
        <v>140</v>
      </c>
      <c r="T102" s="27">
        <v>140.00700000000001</v>
      </c>
      <c r="U102" s="27">
        <v>140</v>
      </c>
      <c r="V102" s="27"/>
    </row>
    <row r="103" spans="3:22" x14ac:dyDescent="0.3">
      <c r="C103" s="7">
        <f t="shared" si="7"/>
        <v>96</v>
      </c>
      <c r="D103" s="24" t="s">
        <v>51</v>
      </c>
      <c r="E103" s="25" t="s">
        <v>276</v>
      </c>
      <c r="F103" s="8">
        <v>3022500093677</v>
      </c>
      <c r="G103" s="26">
        <v>45723</v>
      </c>
      <c r="H103" s="26">
        <v>46088</v>
      </c>
      <c r="I103" s="88">
        <v>140</v>
      </c>
      <c r="J103" s="8">
        <f t="shared" ca="1" si="8"/>
        <v>120</v>
      </c>
      <c r="K103" s="7" t="str">
        <f t="shared" ca="1" si="6"/>
        <v>Vigente</v>
      </c>
      <c r="L103" s="27" t="s">
        <v>42</v>
      </c>
      <c r="M103" s="27" t="s">
        <v>45</v>
      </c>
      <c r="N103" s="156"/>
      <c r="O103" s="27" t="s">
        <v>575</v>
      </c>
      <c r="P103" s="27" t="s">
        <v>575</v>
      </c>
      <c r="Q103" s="27" t="s">
        <v>575</v>
      </c>
      <c r="R103" s="27" t="s">
        <v>575</v>
      </c>
      <c r="S103" s="27">
        <v>140</v>
      </c>
      <c r="T103" s="27">
        <v>140.00700000000001</v>
      </c>
      <c r="U103" s="27">
        <v>140</v>
      </c>
      <c r="V103" s="27"/>
    </row>
    <row r="104" spans="3:22" x14ac:dyDescent="0.3">
      <c r="C104" s="7">
        <f t="shared" si="7"/>
        <v>97</v>
      </c>
      <c r="D104" s="24" t="s">
        <v>53</v>
      </c>
      <c r="E104" s="25" t="s">
        <v>276</v>
      </c>
      <c r="F104" s="8">
        <v>3022500093766</v>
      </c>
      <c r="G104" s="26">
        <v>45723</v>
      </c>
      <c r="H104" s="26">
        <v>46088</v>
      </c>
      <c r="I104" s="88">
        <v>140</v>
      </c>
      <c r="J104" s="8">
        <f t="shared" ca="1" si="8"/>
        <v>120</v>
      </c>
      <c r="K104" s="7" t="str">
        <f t="shared" ref="K104:K115" ca="1" si="9">IF(H104="","",IF(H104&lt;TODAY(),"Vencido","Vigente"))</f>
        <v>Vigente</v>
      </c>
      <c r="L104" s="27" t="s">
        <v>42</v>
      </c>
      <c r="M104" s="27" t="s">
        <v>45</v>
      </c>
      <c r="N104" s="156"/>
      <c r="O104" s="27" t="s">
        <v>575</v>
      </c>
      <c r="P104" s="27" t="s">
        <v>575</v>
      </c>
      <c r="Q104" s="27" t="s">
        <v>575</v>
      </c>
      <c r="R104" s="27" t="s">
        <v>575</v>
      </c>
      <c r="S104" s="27">
        <v>140</v>
      </c>
      <c r="T104" s="27">
        <v>140.00700000000001</v>
      </c>
      <c r="U104" s="27">
        <v>140</v>
      </c>
      <c r="V104" s="27"/>
    </row>
    <row r="105" spans="3:22" x14ac:dyDescent="0.3">
      <c r="C105" s="7">
        <f t="shared" si="7"/>
        <v>98</v>
      </c>
      <c r="D105" s="24" t="s">
        <v>55</v>
      </c>
      <c r="E105" s="25" t="s">
        <v>276</v>
      </c>
      <c r="F105" s="8">
        <v>3022500099472</v>
      </c>
      <c r="G105" s="26">
        <v>45727</v>
      </c>
      <c r="H105" s="26">
        <v>46092</v>
      </c>
      <c r="I105" s="88">
        <v>140</v>
      </c>
      <c r="J105" s="8">
        <f t="shared" ca="1" si="8"/>
        <v>124</v>
      </c>
      <c r="K105" s="7" t="str">
        <f t="shared" ca="1" si="9"/>
        <v>Vigente</v>
      </c>
      <c r="L105" s="27" t="s">
        <v>42</v>
      </c>
      <c r="M105" s="27" t="s">
        <v>45</v>
      </c>
      <c r="N105" s="156"/>
      <c r="O105" s="27" t="s">
        <v>575</v>
      </c>
      <c r="P105" s="27" t="s">
        <v>575</v>
      </c>
      <c r="Q105" s="27" t="s">
        <v>575</v>
      </c>
      <c r="R105" s="27" t="s">
        <v>575</v>
      </c>
      <c r="S105" s="27">
        <v>140</v>
      </c>
      <c r="T105" s="27">
        <v>140.00700000000001</v>
      </c>
      <c r="U105" s="27">
        <v>140</v>
      </c>
      <c r="V105" s="27"/>
    </row>
    <row r="106" spans="3:22" x14ac:dyDescent="0.3">
      <c r="C106" s="7">
        <f t="shared" si="7"/>
        <v>99</v>
      </c>
      <c r="D106" s="24" t="s">
        <v>57</v>
      </c>
      <c r="E106" s="25" t="s">
        <v>276</v>
      </c>
      <c r="F106" s="8">
        <v>3022500093748</v>
      </c>
      <c r="G106" s="26">
        <v>45723</v>
      </c>
      <c r="H106" s="26">
        <v>46088</v>
      </c>
      <c r="I106" s="88">
        <v>140</v>
      </c>
      <c r="J106" s="8">
        <f t="shared" ca="1" si="8"/>
        <v>120</v>
      </c>
      <c r="K106" s="7" t="str">
        <f t="shared" ca="1" si="9"/>
        <v>Vigente</v>
      </c>
      <c r="L106" s="27" t="s">
        <v>42</v>
      </c>
      <c r="M106" s="27" t="s">
        <v>45</v>
      </c>
      <c r="N106" s="156"/>
      <c r="O106" s="27" t="s">
        <v>575</v>
      </c>
      <c r="P106" s="27" t="s">
        <v>575</v>
      </c>
      <c r="Q106" s="27" t="s">
        <v>575</v>
      </c>
      <c r="R106" s="27" t="s">
        <v>575</v>
      </c>
      <c r="S106" s="27">
        <v>140</v>
      </c>
      <c r="T106" s="27">
        <v>140.00700000000001</v>
      </c>
      <c r="U106" s="27">
        <v>140</v>
      </c>
      <c r="V106" s="27"/>
    </row>
    <row r="107" spans="3:22" x14ac:dyDescent="0.3">
      <c r="C107" s="7">
        <f t="shared" si="7"/>
        <v>100</v>
      </c>
      <c r="D107" s="24" t="s">
        <v>33</v>
      </c>
      <c r="E107" s="25" t="s">
        <v>276</v>
      </c>
      <c r="F107" s="8" t="s">
        <v>537</v>
      </c>
      <c r="G107" s="26" t="s">
        <v>379</v>
      </c>
      <c r="H107" s="26" t="s">
        <v>380</v>
      </c>
      <c r="I107" s="88">
        <v>55</v>
      </c>
      <c r="J107" s="8">
        <f t="shared" ca="1" si="8"/>
        <v>321</v>
      </c>
      <c r="K107" s="7" t="str">
        <f t="shared" ca="1" si="9"/>
        <v>Vigente</v>
      </c>
      <c r="L107" s="27" t="s">
        <v>35</v>
      </c>
      <c r="M107" s="27" t="s">
        <v>39</v>
      </c>
      <c r="O107" s="27" t="s">
        <v>537</v>
      </c>
      <c r="P107" s="27" t="s">
        <v>379</v>
      </c>
      <c r="Q107" s="27" t="s">
        <v>380</v>
      </c>
      <c r="R107" s="27">
        <v>55</v>
      </c>
      <c r="S107" s="27">
        <v>65</v>
      </c>
      <c r="T107" s="27" t="s">
        <v>575</v>
      </c>
      <c r="U107" s="27">
        <v>65</v>
      </c>
      <c r="V107" s="27"/>
    </row>
    <row r="108" spans="3:22" x14ac:dyDescent="0.3">
      <c r="C108" s="7">
        <f t="shared" si="7"/>
        <v>101</v>
      </c>
      <c r="D108" s="24" t="s">
        <v>65</v>
      </c>
      <c r="E108" s="25" t="s">
        <v>276</v>
      </c>
      <c r="F108" s="8" t="s">
        <v>540</v>
      </c>
      <c r="G108" s="26" t="s">
        <v>379</v>
      </c>
      <c r="H108" s="26" t="s">
        <v>380</v>
      </c>
      <c r="I108" s="88">
        <v>140</v>
      </c>
      <c r="J108" s="8">
        <f t="shared" ca="1" si="8"/>
        <v>321</v>
      </c>
      <c r="K108" s="7" t="str">
        <f t="shared" ca="1" si="9"/>
        <v>Vigente</v>
      </c>
      <c r="L108" s="27" t="s">
        <v>60</v>
      </c>
      <c r="M108" s="27" t="s">
        <v>58</v>
      </c>
      <c r="O108" s="27" t="s">
        <v>540</v>
      </c>
      <c r="P108" s="27" t="s">
        <v>379</v>
      </c>
      <c r="Q108" s="27" t="s">
        <v>380</v>
      </c>
      <c r="R108" s="27">
        <v>140</v>
      </c>
      <c r="S108" s="27">
        <v>130</v>
      </c>
      <c r="T108" s="27" t="s">
        <v>575</v>
      </c>
      <c r="U108" s="27">
        <v>130</v>
      </c>
      <c r="V108" s="27"/>
    </row>
    <row r="109" spans="3:22" x14ac:dyDescent="0.3">
      <c r="C109" s="7">
        <f t="shared" si="7"/>
        <v>102</v>
      </c>
      <c r="D109" s="24" t="s">
        <v>67</v>
      </c>
      <c r="E109" s="25" t="s">
        <v>276</v>
      </c>
      <c r="F109" s="8" t="s">
        <v>543</v>
      </c>
      <c r="G109" s="26" t="s">
        <v>379</v>
      </c>
      <c r="H109" s="26" t="s">
        <v>380</v>
      </c>
      <c r="I109" s="88">
        <v>140</v>
      </c>
      <c r="J109" s="8">
        <f t="shared" ca="1" si="8"/>
        <v>321</v>
      </c>
      <c r="K109" s="7" t="str">
        <f t="shared" ca="1" si="9"/>
        <v>Vigente</v>
      </c>
      <c r="L109" s="27" t="s">
        <v>60</v>
      </c>
      <c r="M109" s="27" t="s">
        <v>58</v>
      </c>
      <c r="O109" s="27" t="s">
        <v>543</v>
      </c>
      <c r="P109" s="27" t="s">
        <v>379</v>
      </c>
      <c r="Q109" s="27" t="s">
        <v>380</v>
      </c>
      <c r="R109" s="27">
        <v>140</v>
      </c>
      <c r="S109" s="27">
        <v>130</v>
      </c>
      <c r="T109" s="27" t="s">
        <v>575</v>
      </c>
      <c r="U109" s="27">
        <v>130</v>
      </c>
      <c r="V109" s="27"/>
    </row>
    <row r="110" spans="3:22" x14ac:dyDescent="0.3">
      <c r="C110" s="7">
        <f t="shared" si="7"/>
        <v>103</v>
      </c>
      <c r="D110" s="24" t="s">
        <v>68</v>
      </c>
      <c r="E110" s="25" t="s">
        <v>276</v>
      </c>
      <c r="F110" s="8" t="s">
        <v>546</v>
      </c>
      <c r="G110" s="26" t="s">
        <v>547</v>
      </c>
      <c r="H110" s="26" t="s">
        <v>548</v>
      </c>
      <c r="I110" s="88">
        <v>140</v>
      </c>
      <c r="J110" s="8">
        <f t="shared" ca="1" si="8"/>
        <v>323</v>
      </c>
      <c r="K110" s="7" t="str">
        <f t="shared" ca="1" si="9"/>
        <v>Vigente</v>
      </c>
      <c r="L110" s="27" t="s">
        <v>60</v>
      </c>
      <c r="M110" s="27" t="s">
        <v>58</v>
      </c>
      <c r="O110" s="27" t="s">
        <v>546</v>
      </c>
      <c r="P110" s="27" t="s">
        <v>547</v>
      </c>
      <c r="Q110" s="27" t="s">
        <v>548</v>
      </c>
      <c r="R110" s="27">
        <v>140</v>
      </c>
      <c r="S110" s="27" t="s">
        <v>575</v>
      </c>
      <c r="T110" s="27" t="s">
        <v>575</v>
      </c>
      <c r="U110" s="27" t="s">
        <v>575</v>
      </c>
      <c r="V110" s="27" t="s">
        <v>504</v>
      </c>
    </row>
    <row r="111" spans="3:22" x14ac:dyDescent="0.3">
      <c r="C111" s="7">
        <f t="shared" si="7"/>
        <v>104</v>
      </c>
      <c r="D111" s="24" t="s">
        <v>8</v>
      </c>
      <c r="E111" s="25" t="s">
        <v>276</v>
      </c>
      <c r="F111" s="8" t="s">
        <v>551</v>
      </c>
      <c r="G111" s="26" t="s">
        <v>379</v>
      </c>
      <c r="H111" s="26" t="s">
        <v>380</v>
      </c>
      <c r="I111" s="88">
        <v>140</v>
      </c>
      <c r="J111" s="8">
        <f t="shared" ca="1" si="8"/>
        <v>321</v>
      </c>
      <c r="K111" s="7" t="str">
        <f t="shared" ca="1" si="9"/>
        <v>Vigente</v>
      </c>
      <c r="L111" s="27" t="s">
        <v>60</v>
      </c>
      <c r="M111" s="27" t="s">
        <v>58</v>
      </c>
      <c r="O111" s="27" t="s">
        <v>551</v>
      </c>
      <c r="P111" s="27" t="s">
        <v>379</v>
      </c>
      <c r="Q111" s="27" t="s">
        <v>380</v>
      </c>
      <c r="R111" s="27">
        <v>140</v>
      </c>
      <c r="S111" s="27">
        <v>130</v>
      </c>
      <c r="T111" s="27" t="s">
        <v>575</v>
      </c>
      <c r="U111" s="27">
        <v>130</v>
      </c>
      <c r="V111" s="27"/>
    </row>
    <row r="112" spans="3:22" x14ac:dyDescent="0.3">
      <c r="C112" s="7">
        <f t="shared" si="7"/>
        <v>105</v>
      </c>
      <c r="D112" s="24" t="s">
        <v>69</v>
      </c>
      <c r="E112" s="25" t="s">
        <v>276</v>
      </c>
      <c r="F112" s="8" t="s">
        <v>552</v>
      </c>
      <c r="G112" s="26" t="s">
        <v>379</v>
      </c>
      <c r="H112" s="26" t="s">
        <v>380</v>
      </c>
      <c r="I112" s="88">
        <v>55</v>
      </c>
      <c r="J112" s="8">
        <f t="shared" ca="1" si="8"/>
        <v>321</v>
      </c>
      <c r="K112" s="7" t="str">
        <f t="shared" ca="1" si="9"/>
        <v>Vigente</v>
      </c>
      <c r="L112" s="27" t="s">
        <v>70</v>
      </c>
      <c r="M112" s="27" t="s">
        <v>52</v>
      </c>
      <c r="O112" s="27" t="s">
        <v>552</v>
      </c>
      <c r="P112" s="27" t="s">
        <v>379</v>
      </c>
      <c r="Q112" s="27" t="s">
        <v>380</v>
      </c>
      <c r="R112" s="27">
        <v>55</v>
      </c>
      <c r="S112" s="27">
        <v>65</v>
      </c>
      <c r="T112" s="27" t="s">
        <v>575</v>
      </c>
      <c r="U112" s="27">
        <v>65</v>
      </c>
      <c r="V112" s="27"/>
    </row>
    <row r="113" spans="3:22" x14ac:dyDescent="0.3">
      <c r="C113" s="7">
        <f t="shared" si="7"/>
        <v>106</v>
      </c>
      <c r="D113" s="24" t="s">
        <v>109</v>
      </c>
      <c r="E113" s="25" t="s">
        <v>276</v>
      </c>
      <c r="F113" s="8" t="s">
        <v>553</v>
      </c>
      <c r="G113" s="26" t="s">
        <v>379</v>
      </c>
      <c r="H113" s="26" t="s">
        <v>380</v>
      </c>
      <c r="I113" s="88">
        <v>55</v>
      </c>
      <c r="J113" s="8">
        <f t="shared" ca="1" si="8"/>
        <v>321</v>
      </c>
      <c r="K113" s="7" t="str">
        <f t="shared" ca="1" si="9"/>
        <v>Vigente</v>
      </c>
      <c r="L113" s="27" t="s">
        <v>92</v>
      </c>
      <c r="M113" s="27" t="s">
        <v>54</v>
      </c>
      <c r="O113" s="27" t="s">
        <v>553</v>
      </c>
      <c r="P113" s="27" t="s">
        <v>379</v>
      </c>
      <c r="Q113" s="27" t="s">
        <v>380</v>
      </c>
      <c r="R113" s="27">
        <v>55</v>
      </c>
      <c r="S113" s="27">
        <v>65</v>
      </c>
      <c r="T113" s="27" t="s">
        <v>575</v>
      </c>
      <c r="U113" s="27">
        <v>65</v>
      </c>
      <c r="V113" s="27"/>
    </row>
    <row r="114" spans="3:22" x14ac:dyDescent="0.3">
      <c r="C114" s="7">
        <f t="shared" si="7"/>
        <v>107</v>
      </c>
      <c r="D114" s="24" t="s">
        <v>115</v>
      </c>
      <c r="E114" s="25" t="s">
        <v>276</v>
      </c>
      <c r="F114" s="8" t="s">
        <v>554</v>
      </c>
      <c r="G114" s="26" t="s">
        <v>555</v>
      </c>
      <c r="H114" s="26" t="s">
        <v>556</v>
      </c>
      <c r="I114" s="88">
        <v>148</v>
      </c>
      <c r="J114" s="8">
        <f t="shared" ca="1" si="8"/>
        <v>180</v>
      </c>
      <c r="K114" s="7" t="str">
        <f t="shared" ca="1" si="9"/>
        <v>Vigente</v>
      </c>
      <c r="L114" s="27" t="s">
        <v>116</v>
      </c>
      <c r="M114" s="27" t="s">
        <v>46</v>
      </c>
      <c r="O114" s="27" t="s">
        <v>554</v>
      </c>
      <c r="P114" s="27" t="s">
        <v>555</v>
      </c>
      <c r="Q114" s="27" t="s">
        <v>556</v>
      </c>
      <c r="R114" s="27">
        <v>148</v>
      </c>
      <c r="S114" s="27">
        <v>148</v>
      </c>
      <c r="T114" s="27">
        <v>147.99855000000002</v>
      </c>
      <c r="U114" s="27">
        <v>148</v>
      </c>
      <c r="V114" s="27"/>
    </row>
    <row r="115" spans="3:22" x14ac:dyDescent="0.3">
      <c r="C115" s="7">
        <f t="shared" si="7"/>
        <v>108</v>
      </c>
      <c r="D115" s="28" t="s">
        <v>171</v>
      </c>
      <c r="E115" s="25" t="s">
        <v>557</v>
      </c>
      <c r="F115" s="8">
        <v>0</v>
      </c>
      <c r="G115" s="26">
        <v>45603</v>
      </c>
      <c r="H115" s="26">
        <v>45968</v>
      </c>
      <c r="I115" s="88">
        <v>500</v>
      </c>
      <c r="J115" s="8">
        <f t="shared" ca="1" si="8"/>
        <v>0</v>
      </c>
      <c r="K115" s="7" t="str">
        <f t="shared" ca="1" si="9"/>
        <v>Vigente</v>
      </c>
      <c r="L115" s="27" t="s">
        <v>173</v>
      </c>
      <c r="M115" s="27" t="s">
        <v>32</v>
      </c>
      <c r="N115" s="156"/>
      <c r="O115" s="27" t="s">
        <v>575</v>
      </c>
      <c r="P115" s="27" t="s">
        <v>575</v>
      </c>
      <c r="Q115" s="27" t="s">
        <v>575</v>
      </c>
      <c r="R115" s="27" t="s">
        <v>575</v>
      </c>
      <c r="S115" s="27">
        <v>500</v>
      </c>
      <c r="T115" s="27" t="s">
        <v>575</v>
      </c>
      <c r="U115" s="27">
        <v>500</v>
      </c>
      <c r="V115" s="27"/>
    </row>
  </sheetData>
  <sheetProtection selectLockedCells="1"/>
  <phoneticPr fontId="28" type="noConversion"/>
  <conditionalFormatting sqref="C8:K115">
    <cfRule type="expression" dxfId="58" priority="4">
      <formula>$K8="Vencido"</formula>
    </cfRule>
  </conditionalFormatting>
  <conditionalFormatting sqref="J8:J115">
    <cfRule type="cellIs" dxfId="57" priority="1" operator="lessThan">
      <formula>30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E1BC-33A4-4E2D-A23C-EDD878A0A890}">
  <sheetPr>
    <tabColor rgb="FF00B050"/>
  </sheetPr>
  <dimension ref="A1:AD438"/>
  <sheetViews>
    <sheetView showGridLines="0" topLeftCell="C3" zoomScale="70" zoomScaleNormal="70" workbookViewId="0">
      <selection activeCell="O31" sqref="O31"/>
    </sheetView>
  </sheetViews>
  <sheetFormatPr baseColWidth="10" defaultColWidth="11" defaultRowHeight="14" x14ac:dyDescent="0.3"/>
  <cols>
    <col min="1" max="1" width="2.75" customWidth="1"/>
    <col min="2" max="2" width="1.58203125" customWidth="1"/>
    <col min="3" max="3" width="17.83203125" customWidth="1"/>
    <col min="4" max="4" width="9.58203125" customWidth="1"/>
    <col min="5" max="5" width="12.08203125" bestFit="1" customWidth="1"/>
    <col min="6" max="6" width="8.08203125" bestFit="1" customWidth="1"/>
    <col min="7" max="7" width="9.58203125" bestFit="1" customWidth="1"/>
    <col min="8" max="8" width="12.08203125" customWidth="1"/>
    <col min="9" max="9" width="7.33203125" customWidth="1"/>
    <col min="10" max="10" width="11.33203125" customWidth="1"/>
    <col min="11" max="11" width="11" bestFit="1" customWidth="1"/>
    <col min="12" max="12" width="9.08203125" customWidth="1"/>
    <col min="13" max="13" width="17.33203125" bestFit="1" customWidth="1"/>
    <col min="14" max="14" width="6.25" bestFit="1" customWidth="1"/>
    <col min="15" max="15" width="23.83203125" bestFit="1" customWidth="1"/>
    <col min="17" max="17" width="19.5" customWidth="1"/>
    <col min="19" max="19" width="11" style="34"/>
    <col min="21" max="21" width="12.33203125" bestFit="1" customWidth="1"/>
    <col min="22" max="23" width="11.33203125" customWidth="1"/>
    <col min="24" max="24" width="12.25" customWidth="1"/>
    <col min="25" max="25" width="11.58203125" customWidth="1"/>
    <col min="26" max="26" width="11" bestFit="1" customWidth="1"/>
  </cols>
  <sheetData>
    <row r="1" spans="1:30" s="18" customFormat="1" ht="36" thickBot="1" x14ac:dyDescent="0.35">
      <c r="A1"/>
      <c r="C1" s="19" t="s">
        <v>558</v>
      </c>
      <c r="D1" s="20"/>
      <c r="E1" s="20"/>
      <c r="S1" s="29"/>
      <c r="Y1" s="19"/>
      <c r="Z1" s="19"/>
    </row>
    <row r="2" spans="1:30" x14ac:dyDescent="0.3">
      <c r="S2"/>
    </row>
    <row r="3" spans="1:30" ht="8.15" customHeight="1" x14ac:dyDescent="0.3">
      <c r="S3"/>
    </row>
    <row r="4" spans="1:30" ht="28" x14ac:dyDescent="0.3">
      <c r="C4" s="31" t="s">
        <v>253</v>
      </c>
      <c r="D4" s="31" t="s">
        <v>24</v>
      </c>
      <c r="E4" s="31" t="s">
        <v>559</v>
      </c>
      <c r="F4" s="31" t="s">
        <v>560</v>
      </c>
      <c r="G4" s="31" t="s">
        <v>561</v>
      </c>
      <c r="H4" s="31" t="s">
        <v>562</v>
      </c>
      <c r="I4" s="31" t="s">
        <v>563</v>
      </c>
      <c r="J4" s="31" t="s">
        <v>564</v>
      </c>
      <c r="K4" s="31" t="s">
        <v>28</v>
      </c>
      <c r="L4" s="31" t="s">
        <v>565</v>
      </c>
      <c r="M4" s="32" t="s">
        <v>31</v>
      </c>
      <c r="N4" s="32" t="s">
        <v>566</v>
      </c>
      <c r="O4" s="32" t="s">
        <v>567</v>
      </c>
      <c r="Q4" t="s">
        <v>568</v>
      </c>
      <c r="S4"/>
    </row>
    <row r="5" spans="1:30" x14ac:dyDescent="0.3">
      <c r="C5" s="35" t="str">
        <f>CONCATENATE(Impuestos44[[#This Row],[Placa Vehiculo]],Impuestos44[[#This Row],[Vales]])</f>
        <v>BUR-9201 Vales</v>
      </c>
      <c r="D5" s="36" t="s">
        <v>131</v>
      </c>
      <c r="E5" s="37" t="s">
        <v>569</v>
      </c>
      <c r="F5" s="36">
        <v>2025</v>
      </c>
      <c r="G5" s="38">
        <v>286.51</v>
      </c>
      <c r="H5" s="39">
        <v>45698</v>
      </c>
      <c r="I5">
        <f>IF(Impuestos44[[#This Row],[Fecha]]="","",MONTH(Impuestos44[[#This Row],[Fecha]]))</f>
        <v>2</v>
      </c>
      <c r="J5" s="40" t="s">
        <v>570</v>
      </c>
      <c r="K5" s="40" t="s">
        <v>37</v>
      </c>
      <c r="L5" t="s">
        <v>571</v>
      </c>
      <c r="M5" s="30" t="s">
        <v>48</v>
      </c>
      <c r="N5" s="30" t="s">
        <v>572</v>
      </c>
      <c r="O5" s="30" t="str">
        <f>IFERROR(VLOOKUP(Impuestos44[[#This Row],[Nro]],[4]Placas!$A:$D,4,0),"")</f>
        <v>1 Vales Caja 2025021349.pdf</v>
      </c>
      <c r="Q5" t="s">
        <v>573</v>
      </c>
      <c r="S5"/>
    </row>
    <row r="6" spans="1:30" x14ac:dyDescent="0.3">
      <c r="C6" s="35" t="str">
        <f>CONCATENATE(Impuestos44[[#This Row],[Placa Vehiculo]],Impuestos44[[#This Row],[Vales]])</f>
        <v>BUR-9281 Vales</v>
      </c>
      <c r="D6" s="36" t="s">
        <v>134</v>
      </c>
      <c r="E6" s="37" t="s">
        <v>569</v>
      </c>
      <c r="F6" s="36">
        <v>2025</v>
      </c>
      <c r="G6" s="38">
        <v>286.51</v>
      </c>
      <c r="H6" s="39">
        <v>45698</v>
      </c>
      <c r="I6">
        <f>IF(Impuestos44[[#This Row],[Fecha]]="","",MONTH(Impuestos44[[#This Row],[Fecha]]))</f>
        <v>2</v>
      </c>
      <c r="J6" s="40" t="s">
        <v>570</v>
      </c>
      <c r="K6" s="40" t="s">
        <v>37</v>
      </c>
      <c r="L6" t="s">
        <v>571</v>
      </c>
      <c r="M6" s="30" t="s">
        <v>48</v>
      </c>
      <c r="N6" s="30" t="s">
        <v>572</v>
      </c>
      <c r="O6" s="30" t="str">
        <f>IFERROR(VLOOKUP(Impuestos44[[#This Row],[Nro]],[4]Placas!$A:$D,4,0),"")</f>
        <v>1 Vales Caja 2025021349.pdf</v>
      </c>
      <c r="S6"/>
    </row>
    <row r="7" spans="1:30" x14ac:dyDescent="0.3">
      <c r="C7" s="35" t="str">
        <f>CONCATENATE(Impuestos44[[#This Row],[Placa Vehiculo]],Impuestos44[[#This Row],[Vales]])</f>
        <v>BUR-9441 Vales</v>
      </c>
      <c r="D7" s="36" t="s">
        <v>135</v>
      </c>
      <c r="E7" s="37" t="s">
        <v>569</v>
      </c>
      <c r="F7" s="36">
        <v>2025</v>
      </c>
      <c r="G7" s="38">
        <v>286.51</v>
      </c>
      <c r="H7" s="39">
        <v>45698</v>
      </c>
      <c r="I7">
        <f>IF(Impuestos44[[#This Row],[Fecha]]="","",MONTH(Impuestos44[[#This Row],[Fecha]]))</f>
        <v>2</v>
      </c>
      <c r="J7" s="40" t="s">
        <v>570</v>
      </c>
      <c r="K7" s="40" t="s">
        <v>37</v>
      </c>
      <c r="L7" t="s">
        <v>571</v>
      </c>
      <c r="M7" s="30" t="s">
        <v>48</v>
      </c>
      <c r="N7" s="30" t="s">
        <v>572</v>
      </c>
      <c r="O7" s="30" t="str">
        <f>IFERROR(VLOOKUP(Impuestos44[[#This Row],[Nro]],[4]Placas!$A:$D,4,0),"")</f>
        <v>1 Vales Caja 2025021349.pdf</v>
      </c>
      <c r="Q7" s="157">
        <v>2025</v>
      </c>
      <c r="R7" s="157">
        <v>1</v>
      </c>
      <c r="S7" s="157">
        <v>2</v>
      </c>
      <c r="T7" s="157">
        <v>3</v>
      </c>
      <c r="U7" s="157">
        <v>4</v>
      </c>
      <c r="V7" s="157">
        <v>5</v>
      </c>
      <c r="W7" s="157">
        <v>6</v>
      </c>
      <c r="X7" s="157">
        <v>7</v>
      </c>
      <c r="Y7" s="157">
        <v>8</v>
      </c>
      <c r="Z7" s="157">
        <v>9</v>
      </c>
      <c r="AA7" s="157">
        <v>10</v>
      </c>
      <c r="AB7" s="157">
        <v>11</v>
      </c>
      <c r="AC7" s="157">
        <v>12</v>
      </c>
      <c r="AD7" s="157"/>
    </row>
    <row r="8" spans="1:30" x14ac:dyDescent="0.3">
      <c r="C8" s="35" t="str">
        <f>CONCATENATE(Impuestos44[[#This Row],[Placa Vehiculo]],Impuestos44[[#This Row],[Vales]])</f>
        <v>BUR-9461 Vales</v>
      </c>
      <c r="D8" s="36" t="s">
        <v>136</v>
      </c>
      <c r="E8" s="37" t="s">
        <v>569</v>
      </c>
      <c r="F8" s="36">
        <v>2025</v>
      </c>
      <c r="G8" s="38">
        <v>286.51</v>
      </c>
      <c r="H8" s="39">
        <v>45698</v>
      </c>
      <c r="I8">
        <f>IF(Impuestos44[[#This Row],[Fecha]]="","",MONTH(Impuestos44[[#This Row],[Fecha]]))</f>
        <v>2</v>
      </c>
      <c r="J8" s="40" t="s">
        <v>570</v>
      </c>
      <c r="K8" s="40" t="s">
        <v>37</v>
      </c>
      <c r="L8" t="s">
        <v>571</v>
      </c>
      <c r="M8" s="30" t="s">
        <v>48</v>
      </c>
      <c r="N8" s="30" t="s">
        <v>572</v>
      </c>
      <c r="O8" s="30" t="str">
        <f>IFERROR(VLOOKUP(Impuestos44[[#This Row],[Nro]],[4]Placas!$A:$D,4,0),"")</f>
        <v>1 Vales Caja 2025021349.pdf</v>
      </c>
      <c r="Q8" s="125" t="s">
        <v>31</v>
      </c>
      <c r="R8" s="126" t="s">
        <v>11</v>
      </c>
      <c r="S8" s="126" t="s">
        <v>12</v>
      </c>
      <c r="T8" s="126" t="s">
        <v>13</v>
      </c>
      <c r="U8" s="126" t="s">
        <v>14</v>
      </c>
      <c r="V8" s="126" t="s">
        <v>15</v>
      </c>
      <c r="W8" s="126" t="s">
        <v>16</v>
      </c>
      <c r="X8" s="126" t="s">
        <v>17</v>
      </c>
      <c r="Y8" s="126" t="s">
        <v>18</v>
      </c>
      <c r="Z8" s="126" t="s">
        <v>574</v>
      </c>
      <c r="AA8" s="126" t="s">
        <v>20</v>
      </c>
      <c r="AB8" s="126" t="s">
        <v>21</v>
      </c>
      <c r="AC8" s="126" t="s">
        <v>22</v>
      </c>
      <c r="AD8" s="127" t="s">
        <v>23</v>
      </c>
    </row>
    <row r="9" spans="1:30" x14ac:dyDescent="0.3">
      <c r="C9" s="35" t="str">
        <f>CONCATENATE(Impuestos44[[#This Row],[Placa Vehiculo]],Impuestos44[[#This Row],[Vales]])</f>
        <v>BUS-7351 Vales</v>
      </c>
      <c r="D9" s="36" t="s">
        <v>137</v>
      </c>
      <c r="E9" s="37" t="s">
        <v>569</v>
      </c>
      <c r="F9" s="36">
        <v>2025</v>
      </c>
      <c r="G9" s="38">
        <v>286.51</v>
      </c>
      <c r="H9" s="39">
        <v>45698</v>
      </c>
      <c r="I9">
        <f>IF(Impuestos44[[#This Row],[Fecha]]="","",MONTH(Impuestos44[[#This Row],[Fecha]]))</f>
        <v>2</v>
      </c>
      <c r="J9" s="40" t="s">
        <v>570</v>
      </c>
      <c r="K9" s="40" t="s">
        <v>37</v>
      </c>
      <c r="L9" t="s">
        <v>571</v>
      </c>
      <c r="M9" s="30" t="s">
        <v>48</v>
      </c>
      <c r="N9" s="30" t="s">
        <v>572</v>
      </c>
      <c r="O9" s="30" t="str">
        <f>IFERROR(VLOOKUP(Impuestos44[[#This Row],[Nro]],[4]Placas!$A:$D,4,0),"")</f>
        <v/>
      </c>
      <c r="Q9" s="129" t="s">
        <v>32</v>
      </c>
      <c r="R9" s="130">
        <f>SUMIFS(Impuestos44[Impuesto (S/)],Impuestos44[Familia],$Q9,Impuestos44[Mes],R$7)</f>
        <v>0</v>
      </c>
      <c r="S9" s="130">
        <f>SUMIFS(Impuestos44[Impuesto (S/)],Impuestos44[Familia],$Q9,Impuestos44[Mes],S$7)</f>
        <v>2079</v>
      </c>
      <c r="T9" s="130">
        <f>SUMIFS(Impuestos44[Impuesto (S/)],Impuestos44[Familia],$Q9,Impuestos44[Mes],T$7)</f>
        <v>0</v>
      </c>
      <c r="U9" s="130">
        <f>SUMIFS(Impuestos44[Impuesto (S/)],Impuestos44[Familia],$Q9,Impuestos44[Mes],U$7)</f>
        <v>0</v>
      </c>
      <c r="V9" s="130">
        <f>SUMIFS(Impuestos44[Impuesto (S/)],Impuestos44[Familia],$Q9,Impuestos44[Mes],V$7)</f>
        <v>2079</v>
      </c>
      <c r="W9" s="130">
        <f>SUMIFS(Impuestos44[Impuesto (S/)],Impuestos44[Familia],$Q9,Impuestos44[Mes],W$7)</f>
        <v>0</v>
      </c>
      <c r="X9" s="130">
        <f>SUMIFS(Impuestos44[Impuesto (S/)],Impuestos44[Familia],$Q9,Impuestos44[Mes],X$7)</f>
        <v>0</v>
      </c>
      <c r="Y9" s="130">
        <f>SUMIFS(Impuestos44[Impuesto (S/)],Impuestos44[Familia],$Q9,Impuestos44[Mes],Y$7)</f>
        <v>2079</v>
      </c>
      <c r="Z9" s="130">
        <f>SUMIFS(Impuestos44[Impuesto (S/)],Impuestos44[Familia],$Q9,Impuestos44[Mes],Z$7)</f>
        <v>0</v>
      </c>
      <c r="AA9" s="130">
        <f>SUMIFS(Impuestos44[Impuesto (S/)],Impuestos44[Familia],$Q9,Impuestos44[Mes],AA$7)</f>
        <v>0</v>
      </c>
      <c r="AB9" s="130">
        <f>SUMIFS(Impuestos44[Impuesto (S/)],Impuestos44[Familia],$Q9,Impuestos44[Mes],AB$7)</f>
        <v>0</v>
      </c>
      <c r="AC9" s="130">
        <f>SUMIFS(Impuestos44[Impuesto (S/)],Impuestos44[Familia],$Q9,Impuestos44[Mes],AC$7)</f>
        <v>0</v>
      </c>
      <c r="AD9" s="40">
        <f>SUM(R9:AC9)</f>
        <v>6237</v>
      </c>
    </row>
    <row r="10" spans="1:30" x14ac:dyDescent="0.3">
      <c r="C10" s="35" t="str">
        <f>CONCATENATE(Impuestos44[[#This Row],[Placa Vehiculo]],Impuestos44[[#This Row],[Vales]])</f>
        <v>BUR-9211 Vales</v>
      </c>
      <c r="D10" s="36" t="s">
        <v>138</v>
      </c>
      <c r="E10" s="37" t="s">
        <v>569</v>
      </c>
      <c r="F10" s="36">
        <v>2025</v>
      </c>
      <c r="G10" s="38">
        <v>286.51</v>
      </c>
      <c r="H10" s="39">
        <v>45698</v>
      </c>
      <c r="I10">
        <f>IF(Impuestos44[[#This Row],[Fecha]]="","",MONTH(Impuestos44[[#This Row],[Fecha]]))</f>
        <v>2</v>
      </c>
      <c r="J10" s="40" t="s">
        <v>570</v>
      </c>
      <c r="K10" s="40" t="s">
        <v>37</v>
      </c>
      <c r="L10" t="s">
        <v>571</v>
      </c>
      <c r="M10" s="30" t="s">
        <v>48</v>
      </c>
      <c r="N10" s="30" t="s">
        <v>572</v>
      </c>
      <c r="O10" s="30" t="str">
        <f>IFERROR(VLOOKUP(Impuestos44[[#This Row],[Nro]],[4]Placas!$A:$D,4,0),"")</f>
        <v>1 Vales Caja 2025021349.pdf</v>
      </c>
      <c r="Q10" s="129" t="s">
        <v>40</v>
      </c>
      <c r="R10" s="130">
        <f>SUMIFS(Impuestos44[Impuesto (S/)],Impuestos44[Familia],$Q10,Impuestos44[Mes],R$7)</f>
        <v>0</v>
      </c>
      <c r="S10" s="130">
        <f>SUMIFS(Impuestos44[Impuesto (S/)],Impuestos44[Familia],$Q10,Impuestos44[Mes],S$7)</f>
        <v>8510.7599999999984</v>
      </c>
      <c r="T10" s="130">
        <f>SUMIFS(Impuestos44[Impuesto (S/)],Impuestos44[Familia],$Q10,Impuestos44[Mes],T$7)</f>
        <v>0</v>
      </c>
      <c r="U10" s="130">
        <f>SUMIFS(Impuestos44[Impuesto (S/)],Impuestos44[Familia],$Q10,Impuestos44[Mes],U$7)</f>
        <v>0</v>
      </c>
      <c r="V10" s="130">
        <f>SUMIFS(Impuestos44[Impuesto (S/)],Impuestos44[Familia],$Q10,Impuestos44[Mes],V$7)</f>
        <v>8477.1600000000017</v>
      </c>
      <c r="W10" s="130">
        <f>SUMIFS(Impuestos44[Impuesto (S/)],Impuestos44[Familia],$Q10,Impuestos44[Mes],W$7)</f>
        <v>0</v>
      </c>
      <c r="X10" s="130">
        <f>SUMIFS(Impuestos44[Impuesto (S/)],Impuestos44[Familia],$Q10,Impuestos44[Mes],X$7)</f>
        <v>0</v>
      </c>
      <c r="Y10" s="130">
        <f>SUMIFS(Impuestos44[Impuesto (S/)],Impuestos44[Familia],$Q10,Impuestos44[Mes],Y$7)</f>
        <v>8477.1600000000017</v>
      </c>
      <c r="Z10" s="130">
        <f>SUMIFS(Impuestos44[Impuesto (S/)],Impuestos44[Familia],$Q10,Impuestos44[Mes],Z$7)</f>
        <v>0</v>
      </c>
      <c r="AA10" s="130">
        <f>SUMIFS(Impuestos44[Impuesto (S/)],Impuestos44[Familia],$Q10,Impuestos44[Mes],AA$7)</f>
        <v>0</v>
      </c>
      <c r="AB10" s="130">
        <f>SUMIFS(Impuestos44[Impuesto (S/)],Impuestos44[Familia],$Q10,Impuestos44[Mes],AB$7)</f>
        <v>0</v>
      </c>
      <c r="AC10" s="130">
        <f>SUMIFS(Impuestos44[Impuesto (S/)],Impuestos44[Familia],$Q10,Impuestos44[Mes],AC$7)</f>
        <v>0</v>
      </c>
      <c r="AD10" s="40">
        <f t="shared" ref="AD10:AD19" si="0">SUM(R10:AC10)</f>
        <v>25465.08</v>
      </c>
    </row>
    <row r="11" spans="1:30" x14ac:dyDescent="0.3">
      <c r="C11" s="35" t="str">
        <f>CONCATENATE(Impuestos44[[#This Row],[Placa Vehiculo]],Impuestos44[[#This Row],[Vales]])</f>
        <v>BUR-9291 Vales</v>
      </c>
      <c r="D11" s="36" t="s">
        <v>139</v>
      </c>
      <c r="E11" s="37" t="s">
        <v>569</v>
      </c>
      <c r="F11" s="36">
        <v>2025</v>
      </c>
      <c r="G11" s="38">
        <v>286.51</v>
      </c>
      <c r="H11" s="39">
        <v>45698</v>
      </c>
      <c r="I11">
        <f>IF(Impuestos44[[#This Row],[Fecha]]="","",MONTH(Impuestos44[[#This Row],[Fecha]]))</f>
        <v>2</v>
      </c>
      <c r="J11" s="40" t="s">
        <v>570</v>
      </c>
      <c r="K11" s="40" t="s">
        <v>37</v>
      </c>
      <c r="L11" t="s">
        <v>571</v>
      </c>
      <c r="M11" s="30" t="s">
        <v>48</v>
      </c>
      <c r="N11" s="30" t="s">
        <v>572</v>
      </c>
      <c r="O11" s="30" t="str">
        <f>IFERROR(VLOOKUP(Impuestos44[[#This Row],[Nro]],[4]Placas!$A:$D,4,0),"")</f>
        <v>1 Vales Caja 2025021349.pdf</v>
      </c>
      <c r="Q11" s="129" t="s">
        <v>46</v>
      </c>
      <c r="R11" s="130">
        <f>SUMIFS(Impuestos44[Impuesto (S/)],Impuestos44[Familia],$Q11,Impuestos44[Mes],R$7)</f>
        <v>0</v>
      </c>
      <c r="S11" s="130">
        <f>SUMIFS(Impuestos44[Impuesto (S/)],Impuestos44[Familia],$Q11,Impuestos44[Mes],S$7)</f>
        <v>0</v>
      </c>
      <c r="T11" s="130">
        <f>SUMIFS(Impuestos44[Impuesto (S/)],Impuestos44[Familia],$Q11,Impuestos44[Mes],T$7)</f>
        <v>0</v>
      </c>
      <c r="U11" s="130">
        <f>SUMIFS(Impuestos44[Impuesto (S/)],Impuestos44[Familia],$Q11,Impuestos44[Mes],U$7)</f>
        <v>0</v>
      </c>
      <c r="V11" s="130">
        <f>SUMIFS(Impuestos44[Impuesto (S/)],Impuestos44[Familia],$Q11,Impuestos44[Mes],V$7)</f>
        <v>0</v>
      </c>
      <c r="W11" s="130">
        <f>SUMIFS(Impuestos44[Impuesto (S/)],Impuestos44[Familia],$Q11,Impuestos44[Mes],W$7)</f>
        <v>0</v>
      </c>
      <c r="X11" s="130">
        <f>SUMIFS(Impuestos44[Impuesto (S/)],Impuestos44[Familia],$Q11,Impuestos44[Mes],X$7)</f>
        <v>0</v>
      </c>
      <c r="Y11" s="130">
        <f>SUMIFS(Impuestos44[Impuesto (S/)],Impuestos44[Familia],$Q11,Impuestos44[Mes],Y$7)</f>
        <v>0</v>
      </c>
      <c r="Z11" s="130">
        <f>SUMIFS(Impuestos44[Impuesto (S/)],Impuestos44[Familia],$Q11,Impuestos44[Mes],Z$7)</f>
        <v>0</v>
      </c>
      <c r="AA11" s="130">
        <f>SUMIFS(Impuestos44[Impuesto (S/)],Impuestos44[Familia],$Q11,Impuestos44[Mes],AA$7)</f>
        <v>0</v>
      </c>
      <c r="AB11" s="130">
        <f>SUMIFS(Impuestos44[Impuesto (S/)],Impuestos44[Familia],$Q11,Impuestos44[Mes],AB$7)</f>
        <v>0</v>
      </c>
      <c r="AC11" s="130">
        <f>SUMIFS(Impuestos44[Impuesto (S/)],Impuestos44[Familia],$Q11,Impuestos44[Mes],AC$7)</f>
        <v>0</v>
      </c>
      <c r="AD11" s="40">
        <f t="shared" si="0"/>
        <v>0</v>
      </c>
    </row>
    <row r="12" spans="1:30" x14ac:dyDescent="0.3">
      <c r="C12" s="35" t="str">
        <f>CONCATENATE(Impuestos44[[#This Row],[Placa Vehiculo]],Impuestos44[[#This Row],[Vales]])</f>
        <v>BUR-9451 Vales</v>
      </c>
      <c r="D12" s="36" t="s">
        <v>140</v>
      </c>
      <c r="E12" s="37" t="s">
        <v>569</v>
      </c>
      <c r="F12" s="36">
        <v>2025</v>
      </c>
      <c r="G12" s="38">
        <v>286.51</v>
      </c>
      <c r="H12" s="39">
        <v>45698</v>
      </c>
      <c r="I12">
        <f>IF(Impuestos44[[#This Row],[Fecha]]="","",MONTH(Impuestos44[[#This Row],[Fecha]]))</f>
        <v>2</v>
      </c>
      <c r="J12" s="40" t="s">
        <v>570</v>
      </c>
      <c r="K12" s="40" t="s">
        <v>37</v>
      </c>
      <c r="L12" t="s">
        <v>571</v>
      </c>
      <c r="M12" s="30" t="s">
        <v>48</v>
      </c>
      <c r="N12" s="30" t="s">
        <v>572</v>
      </c>
      <c r="O12" s="30" t="str">
        <f>IFERROR(VLOOKUP(Impuestos44[[#This Row],[Nro]],[4]Placas!$A:$D,4,0),"")</f>
        <v>1 Vales Caja 2025021349.pdf</v>
      </c>
      <c r="Q12" s="129" t="s">
        <v>48</v>
      </c>
      <c r="R12" s="130">
        <f>SUMIFS(Impuestos44[Impuesto (S/)],Impuestos44[Familia],$Q12,Impuestos44[Mes],R$7)</f>
        <v>0</v>
      </c>
      <c r="S12" s="130">
        <f>SUMIFS(Impuestos44[Impuesto (S/)],Impuestos44[Familia],$Q12,Impuestos44[Mes],S$7)</f>
        <v>11929.479999999994</v>
      </c>
      <c r="T12" s="130">
        <f>SUMIFS(Impuestos44[Impuesto (S/)],Impuestos44[Familia],$Q12,Impuestos44[Mes],T$7)</f>
        <v>0</v>
      </c>
      <c r="U12" s="130">
        <f>SUMIFS(Impuestos44[Impuesto (S/)],Impuestos44[Familia],$Q12,Impuestos44[Mes],U$7)</f>
        <v>0</v>
      </c>
      <c r="V12" s="130">
        <f>SUMIFS(Impuestos44[Impuesto (S/)],Impuestos44[Familia],$Q12,Impuestos44[Mes],V$7)</f>
        <v>11825.88</v>
      </c>
      <c r="W12" s="130">
        <f>SUMIFS(Impuestos44[Impuesto (S/)],Impuestos44[Familia],$Q12,Impuestos44[Mes],W$7)</f>
        <v>0</v>
      </c>
      <c r="X12" s="130">
        <f>SUMIFS(Impuestos44[Impuesto (S/)],Impuestos44[Familia],$Q12,Impuestos44[Mes],X$7)</f>
        <v>0</v>
      </c>
      <c r="Y12" s="130">
        <f>SUMIFS(Impuestos44[Impuesto (S/)],Impuestos44[Familia],$Q12,Impuestos44[Mes],Y$7)</f>
        <v>11825.88</v>
      </c>
      <c r="Z12" s="130">
        <f>SUMIFS(Impuestos44[Impuesto (S/)],Impuestos44[Familia],$Q12,Impuestos44[Mes],Z$7)</f>
        <v>0</v>
      </c>
      <c r="AA12" s="130">
        <f>SUMIFS(Impuestos44[Impuesto (S/)],Impuestos44[Familia],$Q12,Impuestos44[Mes],AA$7)</f>
        <v>0</v>
      </c>
      <c r="AB12" s="130">
        <f>SUMIFS(Impuestos44[Impuesto (S/)],Impuestos44[Familia],$Q12,Impuestos44[Mes],AB$7)</f>
        <v>0</v>
      </c>
      <c r="AC12" s="130">
        <f>SUMIFS(Impuestos44[Impuesto (S/)],Impuestos44[Familia],$Q12,Impuestos44[Mes],AC$7)</f>
        <v>0</v>
      </c>
      <c r="AD12" s="40">
        <f t="shared" si="0"/>
        <v>35581.239999999991</v>
      </c>
    </row>
    <row r="13" spans="1:30" x14ac:dyDescent="0.3">
      <c r="C13" s="35" t="str">
        <f>CONCATENATE(Impuestos44[[#This Row],[Placa Vehiculo]],Impuestos44[[#This Row],[Vales]])</f>
        <v>BUS-7281 Vales</v>
      </c>
      <c r="D13" s="36" t="s">
        <v>141</v>
      </c>
      <c r="E13" s="37" t="s">
        <v>569</v>
      </c>
      <c r="F13" s="36">
        <v>2025</v>
      </c>
      <c r="G13" s="38">
        <v>286.51</v>
      </c>
      <c r="H13" s="39">
        <v>45698</v>
      </c>
      <c r="I13">
        <f>IF(Impuestos44[[#This Row],[Fecha]]="","",MONTH(Impuestos44[[#This Row],[Fecha]]))</f>
        <v>2</v>
      </c>
      <c r="J13" s="40" t="s">
        <v>570</v>
      </c>
      <c r="K13" s="40" t="s">
        <v>37</v>
      </c>
      <c r="L13" t="s">
        <v>571</v>
      </c>
      <c r="M13" s="30" t="s">
        <v>48</v>
      </c>
      <c r="N13" s="30" t="s">
        <v>572</v>
      </c>
      <c r="O13" s="30" t="str">
        <f>IFERROR(VLOOKUP(Impuestos44[[#This Row],[Nro]],[4]Placas!$A:$D,4,0),"")</f>
        <v/>
      </c>
      <c r="Q13" s="129" t="s">
        <v>45</v>
      </c>
      <c r="R13" s="130">
        <f>SUMIFS(Impuestos44[Impuesto (S/)],Impuestos44[Familia],$Q13,Impuestos44[Mes],R$7)</f>
        <v>0</v>
      </c>
      <c r="S13" s="130">
        <f>SUMIFS(Impuestos44[Impuesto (S/)],Impuestos44[Familia],$Q13,Impuestos44[Mes],S$7)</f>
        <v>0</v>
      </c>
      <c r="T13" s="130">
        <f>SUMIFS(Impuestos44[Impuesto (S/)],Impuestos44[Familia],$Q13,Impuestos44[Mes],T$7)</f>
        <v>0</v>
      </c>
      <c r="U13" s="130">
        <f>SUMIFS(Impuestos44[Impuesto (S/)],Impuestos44[Familia],$Q13,Impuestos44[Mes],U$7)</f>
        <v>0</v>
      </c>
      <c r="V13" s="130">
        <f>SUMIFS(Impuestos44[Impuesto (S/)],Impuestos44[Familia],$Q13,Impuestos44[Mes],V$7)</f>
        <v>0</v>
      </c>
      <c r="W13" s="130">
        <f>SUMIFS(Impuestos44[Impuesto (S/)],Impuestos44[Familia],$Q13,Impuestos44[Mes],W$7)</f>
        <v>0</v>
      </c>
      <c r="X13" s="130">
        <f>SUMIFS(Impuestos44[Impuesto (S/)],Impuestos44[Familia],$Q13,Impuestos44[Mes],X$7)</f>
        <v>0</v>
      </c>
      <c r="Y13" s="130">
        <f>SUMIFS(Impuestos44[Impuesto (S/)],Impuestos44[Familia],$Q13,Impuestos44[Mes],Y$7)</f>
        <v>0</v>
      </c>
      <c r="Z13" s="130">
        <f>SUMIFS(Impuestos44[Impuesto (S/)],Impuestos44[Familia],$Q13,Impuestos44[Mes],Z$7)</f>
        <v>0</v>
      </c>
      <c r="AA13" s="130">
        <f>SUMIFS(Impuestos44[Impuesto (S/)],Impuestos44[Familia],$Q13,Impuestos44[Mes],AA$7)</f>
        <v>0</v>
      </c>
      <c r="AB13" s="130">
        <f>SUMIFS(Impuestos44[Impuesto (S/)],Impuestos44[Familia],$Q13,Impuestos44[Mes],AB$7)</f>
        <v>0</v>
      </c>
      <c r="AC13" s="130">
        <f>SUMIFS(Impuestos44[Impuesto (S/)],Impuestos44[Familia],$Q13,Impuestos44[Mes],AC$7)</f>
        <v>0</v>
      </c>
      <c r="AD13" s="40">
        <f t="shared" si="0"/>
        <v>0</v>
      </c>
    </row>
    <row r="14" spans="1:30" x14ac:dyDescent="0.3">
      <c r="C14" s="35" t="str">
        <f>CONCATENATE(Impuestos44[[#This Row],[Placa Vehiculo]],Impuestos44[[#This Row],[Vales]])</f>
        <v>BUS-7771 Vales</v>
      </c>
      <c r="D14" s="36" t="s">
        <v>142</v>
      </c>
      <c r="E14" s="37" t="s">
        <v>569</v>
      </c>
      <c r="F14" s="36">
        <v>2025</v>
      </c>
      <c r="G14" s="38">
        <v>150.88</v>
      </c>
      <c r="H14" s="39">
        <v>45698</v>
      </c>
      <c r="I14">
        <f>IF(Impuestos44[[#This Row],[Fecha]]="","",MONTH(Impuestos44[[#This Row],[Fecha]]))</f>
        <v>2</v>
      </c>
      <c r="J14" s="40" t="s">
        <v>570</v>
      </c>
      <c r="K14" s="40" t="s">
        <v>37</v>
      </c>
      <c r="L14" t="s">
        <v>571</v>
      </c>
      <c r="M14" s="30" t="s">
        <v>48</v>
      </c>
      <c r="N14" s="30" t="s">
        <v>572</v>
      </c>
      <c r="O14" s="30" t="str">
        <f>IFERROR(VLOOKUP(Impuestos44[[#This Row],[Nro]],[4]Placas!$A:$D,4,0),"")</f>
        <v/>
      </c>
      <c r="Q14" s="129" t="s">
        <v>39</v>
      </c>
      <c r="R14" s="130">
        <f>SUMIFS(Impuestos44[Impuesto (S/)],Impuestos44[Familia],$Q14,Impuestos44[Mes],R$7)</f>
        <v>0</v>
      </c>
      <c r="S14" s="130">
        <f>SUMIFS(Impuestos44[Impuesto (S/)],Impuestos44[Familia],$Q14,Impuestos44[Mes],S$7)</f>
        <v>578.04999999999995</v>
      </c>
      <c r="T14" s="130">
        <f>SUMIFS(Impuestos44[Impuesto (S/)],Impuestos44[Familia],$Q14,Impuestos44[Mes],T$7)</f>
        <v>0</v>
      </c>
      <c r="U14" s="130">
        <f>SUMIFS(Impuestos44[Impuesto (S/)],Impuestos44[Familia],$Q14,Impuestos44[Mes],U$7)</f>
        <v>0</v>
      </c>
      <c r="V14" s="130">
        <f>SUMIFS(Impuestos44[Impuesto (S/)],Impuestos44[Familia],$Q14,Impuestos44[Mes],V$7)</f>
        <v>575.25</v>
      </c>
      <c r="W14" s="130">
        <f>SUMIFS(Impuestos44[Impuesto (S/)],Impuestos44[Familia],$Q14,Impuestos44[Mes],W$7)</f>
        <v>0</v>
      </c>
      <c r="X14" s="130">
        <f>SUMIFS(Impuestos44[Impuesto (S/)],Impuestos44[Familia],$Q14,Impuestos44[Mes],X$7)</f>
        <v>0</v>
      </c>
      <c r="Y14" s="130">
        <f>SUMIFS(Impuestos44[Impuesto (S/)],Impuestos44[Familia],$Q14,Impuestos44[Mes],Y$7)</f>
        <v>575.25</v>
      </c>
      <c r="Z14" s="130">
        <f>SUMIFS(Impuestos44[Impuesto (S/)],Impuestos44[Familia],$Q14,Impuestos44[Mes],Z$7)</f>
        <v>0</v>
      </c>
      <c r="AA14" s="130">
        <f>SUMIFS(Impuestos44[Impuesto (S/)],Impuestos44[Familia],$Q14,Impuestos44[Mes],AA$7)</f>
        <v>0</v>
      </c>
      <c r="AB14" s="130">
        <f>SUMIFS(Impuestos44[Impuesto (S/)],Impuestos44[Familia],$Q14,Impuestos44[Mes],AB$7)</f>
        <v>0</v>
      </c>
      <c r="AC14" s="130">
        <f>SUMIFS(Impuestos44[Impuesto (S/)],Impuestos44[Familia],$Q14,Impuestos44[Mes],AC$7)</f>
        <v>0</v>
      </c>
      <c r="AD14" s="40">
        <f t="shared" si="0"/>
        <v>1728.55</v>
      </c>
    </row>
    <row r="15" spans="1:30" x14ac:dyDescent="0.3">
      <c r="C15" s="35" t="str">
        <f>CONCATENATE(Impuestos44[[#This Row],[Placa Vehiculo]],Impuestos44[[#This Row],[Vales]])</f>
        <v>BUS-7781 Vales</v>
      </c>
      <c r="D15" s="36" t="s">
        <v>143</v>
      </c>
      <c r="E15" s="37" t="s">
        <v>569</v>
      </c>
      <c r="F15" s="36">
        <v>2025</v>
      </c>
      <c r="G15" s="38">
        <v>150.88</v>
      </c>
      <c r="H15" s="39">
        <v>45698</v>
      </c>
      <c r="I15">
        <f>IF(Impuestos44[[#This Row],[Fecha]]="","",MONTH(Impuestos44[[#This Row],[Fecha]]))</f>
        <v>2</v>
      </c>
      <c r="J15" s="40" t="s">
        <v>570</v>
      </c>
      <c r="K15" s="40" t="s">
        <v>37</v>
      </c>
      <c r="L15" t="s">
        <v>571</v>
      </c>
      <c r="M15" s="30" t="s">
        <v>48</v>
      </c>
      <c r="N15" s="30" t="s">
        <v>572</v>
      </c>
      <c r="O15" s="30" t="str">
        <f>IFERROR(VLOOKUP(Impuestos44[[#This Row],[Nro]],[4]Placas!$A:$D,4,0),"")</f>
        <v/>
      </c>
      <c r="Q15" s="129" t="s">
        <v>52</v>
      </c>
      <c r="R15" s="130">
        <f>SUMIFS(Impuestos44[Impuesto (S/)],Impuestos44[Familia],$Q15,Impuestos44[Mes],R$7)</f>
        <v>0</v>
      </c>
      <c r="S15" s="130">
        <f>SUMIFS(Impuestos44[Impuesto (S/)],Impuestos44[Familia],$Q15,Impuestos44[Mes],S$7)</f>
        <v>677.61</v>
      </c>
      <c r="T15" s="130">
        <f>SUMIFS(Impuestos44[Impuesto (S/)],Impuestos44[Familia],$Q15,Impuestos44[Mes],T$7)</f>
        <v>0</v>
      </c>
      <c r="U15" s="130">
        <f>SUMIFS(Impuestos44[Impuesto (S/)],Impuestos44[Familia],$Q15,Impuestos44[Mes],U$7)</f>
        <v>0</v>
      </c>
      <c r="V15" s="130">
        <f>SUMIFS(Impuestos44[Impuesto (S/)],Impuestos44[Familia],$Q15,Impuestos44[Mes],V$7)</f>
        <v>674.81</v>
      </c>
      <c r="W15" s="130">
        <f>SUMIFS(Impuestos44[Impuesto (S/)],Impuestos44[Familia],$Q15,Impuestos44[Mes],W$7)</f>
        <v>0</v>
      </c>
      <c r="X15" s="130">
        <f>SUMIFS(Impuestos44[Impuesto (S/)],Impuestos44[Familia],$Q15,Impuestos44[Mes],X$7)</f>
        <v>0</v>
      </c>
      <c r="Y15" s="130">
        <f>SUMIFS(Impuestos44[Impuesto (S/)],Impuestos44[Familia],$Q15,Impuestos44[Mes],Y$7)</f>
        <v>674.81</v>
      </c>
      <c r="Z15" s="130">
        <f>SUMIFS(Impuestos44[Impuesto (S/)],Impuestos44[Familia],$Q15,Impuestos44[Mes],Z$7)</f>
        <v>0</v>
      </c>
      <c r="AA15" s="130">
        <f>SUMIFS(Impuestos44[Impuesto (S/)],Impuestos44[Familia],$Q15,Impuestos44[Mes],AA$7)</f>
        <v>0</v>
      </c>
      <c r="AB15" s="130">
        <f>SUMIFS(Impuestos44[Impuesto (S/)],Impuestos44[Familia],$Q15,Impuestos44[Mes],AB$7)</f>
        <v>0</v>
      </c>
      <c r="AC15" s="130">
        <f>SUMIFS(Impuestos44[Impuesto (S/)],Impuestos44[Familia],$Q15,Impuestos44[Mes],AC$7)</f>
        <v>0</v>
      </c>
      <c r="AD15" s="40">
        <f t="shared" si="0"/>
        <v>2027.23</v>
      </c>
    </row>
    <row r="16" spans="1:30" x14ac:dyDescent="0.3">
      <c r="C16" s="35" t="str">
        <f>CONCATENATE(Impuestos44[[#This Row],[Placa Vehiculo]],Impuestos44[[#This Row],[Vales]])</f>
        <v>BUS-7791 Vales</v>
      </c>
      <c r="D16" s="36" t="s">
        <v>144</v>
      </c>
      <c r="E16" s="37" t="s">
        <v>569</v>
      </c>
      <c r="F16" s="36">
        <v>2025</v>
      </c>
      <c r="G16" s="38">
        <v>286.51</v>
      </c>
      <c r="H16" s="39">
        <v>45698</v>
      </c>
      <c r="I16">
        <f>IF(Impuestos44[[#This Row],[Fecha]]="","",MONTH(Impuestos44[[#This Row],[Fecha]]))</f>
        <v>2</v>
      </c>
      <c r="J16" s="40" t="s">
        <v>570</v>
      </c>
      <c r="K16" s="40" t="s">
        <v>37</v>
      </c>
      <c r="L16" t="s">
        <v>571</v>
      </c>
      <c r="M16" s="30" t="s">
        <v>48</v>
      </c>
      <c r="N16" s="30" t="s">
        <v>572</v>
      </c>
      <c r="O16" s="30" t="str">
        <f>IFERROR(VLOOKUP(Impuestos44[[#This Row],[Nro]],[4]Placas!$A:$D,4,0),"")</f>
        <v/>
      </c>
      <c r="Q16" s="129" t="s">
        <v>54</v>
      </c>
      <c r="R16" s="130">
        <f>SUMIFS(Impuestos44[Impuesto (S/)],Impuestos44[Familia],$Q16,Impuestos44[Mes],R$7)</f>
        <v>0</v>
      </c>
      <c r="S16" s="130">
        <f>SUMIFS(Impuestos44[Impuesto (S/)],Impuestos44[Familia],$Q16,Impuestos44[Mes],S$7)</f>
        <v>12267.36</v>
      </c>
      <c r="T16" s="130">
        <f>SUMIFS(Impuestos44[Impuesto (S/)],Impuestos44[Familia],$Q16,Impuestos44[Mes],T$7)</f>
        <v>0</v>
      </c>
      <c r="U16" s="130">
        <f>SUMIFS(Impuestos44[Impuesto (S/)],Impuestos44[Familia],$Q16,Impuestos44[Mes],U$7)</f>
        <v>0</v>
      </c>
      <c r="V16" s="130">
        <f>SUMIFS(Impuestos44[Impuesto (S/)],Impuestos44[Familia],$Q16,Impuestos44[Mes],V$7)</f>
        <v>12166.560000000001</v>
      </c>
      <c r="W16" s="130">
        <f>SUMIFS(Impuestos44[Impuesto (S/)],Impuestos44[Familia],$Q16,Impuestos44[Mes],W$7)</f>
        <v>0</v>
      </c>
      <c r="X16" s="130">
        <f>SUMIFS(Impuestos44[Impuesto (S/)],Impuestos44[Familia],$Q16,Impuestos44[Mes],X$7)</f>
        <v>0</v>
      </c>
      <c r="Y16" s="130">
        <f>SUMIFS(Impuestos44[Impuesto (S/)],Impuestos44[Familia],$Q16,Impuestos44[Mes],Y$7)</f>
        <v>12166.560000000001</v>
      </c>
      <c r="Z16" s="130">
        <f>SUMIFS(Impuestos44[Impuesto (S/)],Impuestos44[Familia],$Q16,Impuestos44[Mes],Z$7)</f>
        <v>0</v>
      </c>
      <c r="AA16" s="130">
        <f>SUMIFS(Impuestos44[Impuesto (S/)],Impuestos44[Familia],$Q16,Impuestos44[Mes],AA$7)</f>
        <v>0</v>
      </c>
      <c r="AB16" s="130">
        <f>SUMIFS(Impuestos44[Impuesto (S/)],Impuestos44[Familia],$Q16,Impuestos44[Mes],AB$7)</f>
        <v>0</v>
      </c>
      <c r="AC16" s="130">
        <f>SUMIFS(Impuestos44[Impuesto (S/)],Impuestos44[Familia],$Q16,Impuestos44[Mes],AC$7)</f>
        <v>0</v>
      </c>
      <c r="AD16" s="40">
        <f t="shared" si="0"/>
        <v>36600.480000000003</v>
      </c>
    </row>
    <row r="17" spans="3:30" x14ac:dyDescent="0.3">
      <c r="C17" s="35" t="str">
        <f>CONCATENATE(Impuestos44[[#This Row],[Placa Vehiculo]],Impuestos44[[#This Row],[Vales]])</f>
        <v>BUS-7821 Vales</v>
      </c>
      <c r="D17" s="36" t="s">
        <v>145</v>
      </c>
      <c r="E17" s="37" t="s">
        <v>569</v>
      </c>
      <c r="F17" s="36">
        <v>2025</v>
      </c>
      <c r="G17" s="38">
        <v>286.51</v>
      </c>
      <c r="H17" s="39">
        <v>45698</v>
      </c>
      <c r="I17">
        <f>IF(Impuestos44[[#This Row],[Fecha]]="","",MONTH(Impuestos44[[#This Row],[Fecha]]))</f>
        <v>2</v>
      </c>
      <c r="J17" s="40" t="s">
        <v>570</v>
      </c>
      <c r="K17" s="40" t="s">
        <v>37</v>
      </c>
      <c r="L17" t="s">
        <v>571</v>
      </c>
      <c r="M17" s="30" t="s">
        <v>48</v>
      </c>
      <c r="N17" s="30" t="s">
        <v>572</v>
      </c>
      <c r="O17" s="30" t="str">
        <f>IFERROR(VLOOKUP(Impuestos44[[#This Row],[Nro]],[4]Placas!$A:$D,4,0),"")</f>
        <v/>
      </c>
      <c r="Q17" s="129" t="s">
        <v>56</v>
      </c>
      <c r="R17" s="130">
        <f>SUMIFS(Impuestos44[Impuesto (S/)],Impuestos44[Familia],$Q17,Impuestos44[Mes],R$7)</f>
        <v>0</v>
      </c>
      <c r="S17" s="130">
        <f>SUMIFS(Impuestos44[Impuesto (S/)],Impuestos44[Familia],$Q17,Impuestos44[Mes],S$7)</f>
        <v>486.16</v>
      </c>
      <c r="T17" s="130">
        <f>SUMIFS(Impuestos44[Impuesto (S/)],Impuestos44[Familia],$Q17,Impuestos44[Mes],T$7)</f>
        <v>0</v>
      </c>
      <c r="U17" s="130">
        <f>SUMIFS(Impuestos44[Impuesto (S/)],Impuestos44[Familia],$Q17,Impuestos44[Mes],U$7)</f>
        <v>0</v>
      </c>
      <c r="V17" s="130">
        <f>SUMIFS(Impuestos44[Impuesto (S/)],Impuestos44[Familia],$Q17,Impuestos44[Mes],V$7)</f>
        <v>480.56</v>
      </c>
      <c r="W17" s="130">
        <f>SUMIFS(Impuestos44[Impuesto (S/)],Impuestos44[Familia],$Q17,Impuestos44[Mes],W$7)</f>
        <v>0</v>
      </c>
      <c r="X17" s="130">
        <f>SUMIFS(Impuestos44[Impuesto (S/)],Impuestos44[Familia],$Q17,Impuestos44[Mes],X$7)</f>
        <v>0</v>
      </c>
      <c r="Y17" s="130">
        <f>SUMIFS(Impuestos44[Impuesto (S/)],Impuestos44[Familia],$Q17,Impuestos44[Mes],Y$7)</f>
        <v>480.56</v>
      </c>
      <c r="Z17" s="130">
        <f>SUMIFS(Impuestos44[Impuesto (S/)],Impuestos44[Familia],$Q17,Impuestos44[Mes],Z$7)</f>
        <v>0</v>
      </c>
      <c r="AA17" s="130">
        <f>SUMIFS(Impuestos44[Impuesto (S/)],Impuestos44[Familia],$Q17,Impuestos44[Mes],AA$7)</f>
        <v>0</v>
      </c>
      <c r="AB17" s="130">
        <f>SUMIFS(Impuestos44[Impuesto (S/)],Impuestos44[Familia],$Q17,Impuestos44[Mes],AB$7)</f>
        <v>0</v>
      </c>
      <c r="AC17" s="130">
        <f>SUMIFS(Impuestos44[Impuesto (S/)],Impuestos44[Familia],$Q17,Impuestos44[Mes],AC$7)</f>
        <v>0</v>
      </c>
      <c r="AD17" s="40">
        <f t="shared" si="0"/>
        <v>1447.28</v>
      </c>
    </row>
    <row r="18" spans="3:30" x14ac:dyDescent="0.3">
      <c r="C18" s="35" t="str">
        <f>CONCATENATE(Impuestos44[[#This Row],[Placa Vehiculo]],Impuestos44[[#This Row],[Vales]])</f>
        <v>BUS-8011 Vales</v>
      </c>
      <c r="D18" s="36" t="s">
        <v>146</v>
      </c>
      <c r="E18" s="37" t="s">
        <v>569</v>
      </c>
      <c r="F18" s="36">
        <v>2025</v>
      </c>
      <c r="G18" s="38">
        <v>286.51</v>
      </c>
      <c r="H18" s="39">
        <v>45698</v>
      </c>
      <c r="I18">
        <f>IF(Impuestos44[[#This Row],[Fecha]]="","",MONTH(Impuestos44[[#This Row],[Fecha]]))</f>
        <v>2</v>
      </c>
      <c r="J18" s="40" t="s">
        <v>570</v>
      </c>
      <c r="K18" s="40" t="s">
        <v>37</v>
      </c>
      <c r="L18" t="s">
        <v>571</v>
      </c>
      <c r="M18" s="30" t="s">
        <v>48</v>
      </c>
      <c r="N18" s="30" t="s">
        <v>572</v>
      </c>
      <c r="O18" s="30" t="str">
        <f>IFERROR(VLOOKUP(Impuestos44[[#This Row],[Nro]],[4]Placas!$A:$D,4,0),"")</f>
        <v/>
      </c>
      <c r="Q18" s="129" t="s">
        <v>58</v>
      </c>
      <c r="R18" s="130">
        <f>SUMIFS(Impuestos44[Impuesto (S/)],Impuestos44[Familia],$Q18,Impuestos44[Mes],R$7)</f>
        <v>0</v>
      </c>
      <c r="S18" s="130">
        <f>SUMIFS(Impuestos44[Impuesto (S/)],Impuestos44[Familia],$Q18,Impuestos44[Mes],S$7)</f>
        <v>2571.2000000000003</v>
      </c>
      <c r="T18" s="130">
        <f>SUMIFS(Impuestos44[Impuesto (S/)],Impuestos44[Familia],$Q18,Impuestos44[Mes],T$7)</f>
        <v>0</v>
      </c>
      <c r="U18" s="130">
        <f>SUMIFS(Impuestos44[Impuesto (S/)],Impuestos44[Familia],$Q18,Impuestos44[Mes],U$7)</f>
        <v>0</v>
      </c>
      <c r="V18" s="130">
        <f>SUMIFS(Impuestos44[Impuesto (S/)],Impuestos44[Familia],$Q18,Impuestos44[Mes],V$7)</f>
        <v>2548.7999999999997</v>
      </c>
      <c r="W18" s="130">
        <f>SUMIFS(Impuestos44[Impuesto (S/)],Impuestos44[Familia],$Q18,Impuestos44[Mes],W$7)</f>
        <v>0</v>
      </c>
      <c r="X18" s="130">
        <f>SUMIFS(Impuestos44[Impuesto (S/)],Impuestos44[Familia],$Q18,Impuestos44[Mes],X$7)</f>
        <v>0</v>
      </c>
      <c r="Y18" s="130">
        <f>SUMIFS(Impuestos44[Impuesto (S/)],Impuestos44[Familia],$Q18,Impuestos44[Mes],Y$7)</f>
        <v>2548.7999999999997</v>
      </c>
      <c r="Z18" s="130">
        <f>SUMIFS(Impuestos44[Impuesto (S/)],Impuestos44[Familia],$Q18,Impuestos44[Mes],Z$7)</f>
        <v>0</v>
      </c>
      <c r="AA18" s="130">
        <f>SUMIFS(Impuestos44[Impuesto (S/)],Impuestos44[Familia],$Q18,Impuestos44[Mes],AA$7)</f>
        <v>0</v>
      </c>
      <c r="AB18" s="130">
        <f>SUMIFS(Impuestos44[Impuesto (S/)],Impuestos44[Familia],$Q18,Impuestos44[Mes],AB$7)</f>
        <v>0</v>
      </c>
      <c r="AC18" s="130">
        <f>SUMIFS(Impuestos44[Impuesto (S/)],Impuestos44[Familia],$Q18,Impuestos44[Mes],AC$7)</f>
        <v>0</v>
      </c>
      <c r="AD18" s="40">
        <f t="shared" si="0"/>
        <v>7668.7999999999993</v>
      </c>
    </row>
    <row r="19" spans="3:30" x14ac:dyDescent="0.3">
      <c r="C19" s="35" t="str">
        <f>CONCATENATE(Impuestos44[[#This Row],[Placa Vehiculo]],Impuestos44[[#This Row],[Vales]])</f>
        <v>BUS-8021 Vales</v>
      </c>
      <c r="D19" s="36" t="s">
        <v>147</v>
      </c>
      <c r="E19" s="37" t="s">
        <v>569</v>
      </c>
      <c r="F19" s="36">
        <v>2025</v>
      </c>
      <c r="G19" s="38">
        <v>286.51</v>
      </c>
      <c r="H19" s="39">
        <v>45698</v>
      </c>
      <c r="I19">
        <f>IF(Impuestos44[[#This Row],[Fecha]]="","",MONTH(Impuestos44[[#This Row],[Fecha]]))</f>
        <v>2</v>
      </c>
      <c r="J19" s="40" t="s">
        <v>570</v>
      </c>
      <c r="K19" s="40" t="s">
        <v>37</v>
      </c>
      <c r="L19" t="s">
        <v>571</v>
      </c>
      <c r="M19" s="30" t="s">
        <v>48</v>
      </c>
      <c r="N19" s="30" t="s">
        <v>572</v>
      </c>
      <c r="O19" s="30" t="str">
        <f>IFERROR(VLOOKUP(Impuestos44[[#This Row],[Nro]],[4]Placas!$A:$D,4,0),"")</f>
        <v/>
      </c>
      <c r="Q19" s="131" t="s">
        <v>23</v>
      </c>
      <c r="R19" s="40">
        <f>SUM(R9:R18)</f>
        <v>0</v>
      </c>
      <c r="S19" s="40">
        <f t="shared" ref="S19:AC19" si="1">SUM(S9:S18)</f>
        <v>39099.619999999995</v>
      </c>
      <c r="T19" s="40">
        <f t="shared" si="1"/>
        <v>0</v>
      </c>
      <c r="U19" s="40">
        <f t="shared" si="1"/>
        <v>0</v>
      </c>
      <c r="V19" s="40">
        <f t="shared" si="1"/>
        <v>38828.020000000004</v>
      </c>
      <c r="W19" s="40">
        <f t="shared" si="1"/>
        <v>0</v>
      </c>
      <c r="X19" s="40">
        <f t="shared" si="1"/>
        <v>0</v>
      </c>
      <c r="Y19" s="40">
        <f t="shared" si="1"/>
        <v>38828.020000000004</v>
      </c>
      <c r="Z19" s="40">
        <f t="shared" si="1"/>
        <v>0</v>
      </c>
      <c r="AA19" s="40">
        <f t="shared" si="1"/>
        <v>0</v>
      </c>
      <c r="AB19" s="40">
        <f t="shared" si="1"/>
        <v>0</v>
      </c>
      <c r="AC19" s="40">
        <f t="shared" si="1"/>
        <v>0</v>
      </c>
      <c r="AD19" s="132">
        <f t="shared" si="0"/>
        <v>116755.66</v>
      </c>
    </row>
    <row r="20" spans="3:30" x14ac:dyDescent="0.3">
      <c r="C20" s="35" t="str">
        <f>CONCATENATE(Impuestos44[[#This Row],[Placa Vehiculo]],Impuestos44[[#This Row],[Vales]])</f>
        <v>BUS-7271 Vales</v>
      </c>
      <c r="D20" s="36" t="s">
        <v>148</v>
      </c>
      <c r="E20" s="37" t="s">
        <v>569</v>
      </c>
      <c r="F20" s="36">
        <v>2025</v>
      </c>
      <c r="G20" s="38">
        <v>283.70999999999998</v>
      </c>
      <c r="H20" s="39">
        <v>45698</v>
      </c>
      <c r="I20">
        <f>IF(Impuestos44[[#This Row],[Fecha]]="","",MONTH(Impuestos44[[#This Row],[Fecha]]))</f>
        <v>2</v>
      </c>
      <c r="J20" s="40" t="s">
        <v>570</v>
      </c>
      <c r="K20" s="40" t="s">
        <v>37</v>
      </c>
      <c r="L20" t="s">
        <v>571</v>
      </c>
      <c r="M20" s="30" t="s">
        <v>48</v>
      </c>
      <c r="N20" s="30" t="s">
        <v>572</v>
      </c>
      <c r="O20" s="30" t="str">
        <f>IFERROR(VLOOKUP(Impuestos44[[#This Row],[Nro]],[4]Placas!$A:$D,4,0),"")</f>
        <v/>
      </c>
      <c r="S20"/>
    </row>
    <row r="21" spans="3:30" x14ac:dyDescent="0.3">
      <c r="C21" s="35" t="str">
        <f>CONCATENATE(Impuestos44[[#This Row],[Placa Vehiculo]],Impuestos44[[#This Row],[Vales]])</f>
        <v>BUS-8161 Vales</v>
      </c>
      <c r="D21" s="36" t="s">
        <v>149</v>
      </c>
      <c r="E21" s="37" t="s">
        <v>569</v>
      </c>
      <c r="F21" s="36">
        <v>2025</v>
      </c>
      <c r="G21" s="38">
        <v>286.51</v>
      </c>
      <c r="H21" s="39">
        <v>45698</v>
      </c>
      <c r="I21">
        <f>IF(Impuestos44[[#This Row],[Fecha]]="","",MONTH(Impuestos44[[#This Row],[Fecha]]))</f>
        <v>2</v>
      </c>
      <c r="J21" s="40" t="s">
        <v>570</v>
      </c>
      <c r="K21" s="40" t="s">
        <v>37</v>
      </c>
      <c r="L21" t="s">
        <v>571</v>
      </c>
      <c r="M21" s="30" t="s">
        <v>48</v>
      </c>
      <c r="N21" s="30" t="s">
        <v>572</v>
      </c>
      <c r="O21" s="30" t="str">
        <f>IFERROR(VLOOKUP(Impuestos44[[#This Row],[Nro]],[4]Placas!$A:$D,4,0),"")</f>
        <v/>
      </c>
      <c r="S21"/>
    </row>
    <row r="22" spans="3:30" x14ac:dyDescent="0.3">
      <c r="C22" s="35" t="str">
        <f>CONCATENATE(Impuestos44[[#This Row],[Placa Vehiculo]],Impuestos44[[#This Row],[Vales]])</f>
        <v>BUS-8621 Vales</v>
      </c>
      <c r="D22" s="36" t="s">
        <v>150</v>
      </c>
      <c r="E22" s="37" t="s">
        <v>569</v>
      </c>
      <c r="F22" s="36">
        <v>2025</v>
      </c>
      <c r="G22" s="38">
        <v>286.51</v>
      </c>
      <c r="H22" s="39">
        <v>45698</v>
      </c>
      <c r="I22">
        <f>IF(Impuestos44[[#This Row],[Fecha]]="","",MONTH(Impuestos44[[#This Row],[Fecha]]))</f>
        <v>2</v>
      </c>
      <c r="J22" s="40" t="s">
        <v>570</v>
      </c>
      <c r="K22" s="40" t="s">
        <v>37</v>
      </c>
      <c r="L22" t="s">
        <v>571</v>
      </c>
      <c r="M22" s="30" t="s">
        <v>48</v>
      </c>
      <c r="N22" s="30" t="s">
        <v>572</v>
      </c>
      <c r="O22" s="30" t="str">
        <f>IFERROR(VLOOKUP(Impuestos44[[#This Row],[Nro]],[4]Placas!$A:$D,4,0),"")</f>
        <v/>
      </c>
      <c r="S22"/>
    </row>
    <row r="23" spans="3:30" x14ac:dyDescent="0.3">
      <c r="C23" s="35" t="str">
        <f>CONCATENATE(Impuestos44[[#This Row],[Placa Vehiculo]],Impuestos44[[#This Row],[Vales]])</f>
        <v>BUS-8631 Vales</v>
      </c>
      <c r="D23" s="36" t="s">
        <v>151</v>
      </c>
      <c r="E23" s="37" t="s">
        <v>569</v>
      </c>
      <c r="F23" s="36">
        <v>2025</v>
      </c>
      <c r="G23" s="38">
        <v>286.51</v>
      </c>
      <c r="H23" s="39">
        <v>45698</v>
      </c>
      <c r="I23">
        <f>IF(Impuestos44[[#This Row],[Fecha]]="","",MONTH(Impuestos44[[#This Row],[Fecha]]))</f>
        <v>2</v>
      </c>
      <c r="J23" s="40" t="s">
        <v>570</v>
      </c>
      <c r="K23" s="40" t="s">
        <v>37</v>
      </c>
      <c r="L23" t="s">
        <v>571</v>
      </c>
      <c r="M23" s="30" t="s">
        <v>48</v>
      </c>
      <c r="N23" s="30" t="s">
        <v>572</v>
      </c>
      <c r="O23" s="30" t="str">
        <f>IFERROR(VLOOKUP(Impuestos44[[#This Row],[Nro]],[4]Placas!$A:$D,4,0),"")</f>
        <v/>
      </c>
      <c r="S23"/>
    </row>
    <row r="24" spans="3:30" x14ac:dyDescent="0.3">
      <c r="C24" s="35" t="str">
        <f>CONCATENATE(Impuestos44[[#This Row],[Placa Vehiculo]],Impuestos44[[#This Row],[Vales]])</f>
        <v>BUS-7181 Vales</v>
      </c>
      <c r="D24" s="36" t="s">
        <v>152</v>
      </c>
      <c r="E24" s="37" t="s">
        <v>569</v>
      </c>
      <c r="F24" s="36">
        <v>2025</v>
      </c>
      <c r="G24" s="38">
        <v>286.51</v>
      </c>
      <c r="H24" s="39">
        <v>45698</v>
      </c>
      <c r="I24">
        <f>IF(Impuestos44[[#This Row],[Fecha]]="","",MONTH(Impuestos44[[#This Row],[Fecha]]))</f>
        <v>2</v>
      </c>
      <c r="J24" s="40" t="s">
        <v>570</v>
      </c>
      <c r="K24" s="40" t="s">
        <v>37</v>
      </c>
      <c r="L24" t="s">
        <v>571</v>
      </c>
      <c r="M24" s="30" t="s">
        <v>48</v>
      </c>
      <c r="N24" s="30" t="s">
        <v>572</v>
      </c>
      <c r="O24" s="30" t="str">
        <f>IFERROR(VLOOKUP(Impuestos44[[#This Row],[Nro]],[4]Placas!$A:$D,4,0),"")</f>
        <v/>
      </c>
      <c r="S24"/>
    </row>
    <row r="25" spans="3:30" x14ac:dyDescent="0.3">
      <c r="C25" s="35" t="str">
        <f>CONCATENATE(Impuestos44[[#This Row],[Placa Vehiculo]],Impuestos44[[#This Row],[Vales]])</f>
        <v>CFG-0231 Vales</v>
      </c>
      <c r="D25" s="36" t="s">
        <v>110</v>
      </c>
      <c r="E25" s="37" t="s">
        <v>569</v>
      </c>
      <c r="F25" s="36">
        <v>2025</v>
      </c>
      <c r="G25" s="38">
        <v>243.08</v>
      </c>
      <c r="H25" s="39">
        <v>45698</v>
      </c>
      <c r="I25">
        <f>IF(Impuestos44[[#This Row],[Fecha]]="","",MONTH(Impuestos44[[#This Row],[Fecha]]))</f>
        <v>2</v>
      </c>
      <c r="J25" s="40" t="s">
        <v>570</v>
      </c>
      <c r="K25" s="40" t="s">
        <v>37</v>
      </c>
      <c r="L25" t="s">
        <v>571</v>
      </c>
      <c r="M25" s="30" t="s">
        <v>56</v>
      </c>
      <c r="N25" s="30" t="s">
        <v>572</v>
      </c>
      <c r="O25" s="30" t="str">
        <f>IFERROR(VLOOKUP(Impuestos44[[#This Row],[Nro]],[4]Placas!$A:$D,4,0),"")</f>
        <v>1 Vales Caja 2025021350.pdf</v>
      </c>
      <c r="S25"/>
    </row>
    <row r="26" spans="3:30" x14ac:dyDescent="0.3">
      <c r="C26" s="35" t="str">
        <f>CONCATENATE(Impuestos44[[#This Row],[Placa Vehiculo]],Impuestos44[[#This Row],[Vales]])</f>
        <v>CFF-5031 Vales</v>
      </c>
      <c r="D26" s="36" t="s">
        <v>114</v>
      </c>
      <c r="E26" s="37" t="s">
        <v>569</v>
      </c>
      <c r="F26" s="36">
        <v>2025</v>
      </c>
      <c r="G26" s="38">
        <v>243.08</v>
      </c>
      <c r="H26" s="39">
        <v>45698</v>
      </c>
      <c r="I26">
        <f>IF(Impuestos44[[#This Row],[Fecha]]="","",MONTH(Impuestos44[[#This Row],[Fecha]]))</f>
        <v>2</v>
      </c>
      <c r="J26" s="40" t="s">
        <v>570</v>
      </c>
      <c r="K26" s="40" t="s">
        <v>37</v>
      </c>
      <c r="L26" t="s">
        <v>571</v>
      </c>
      <c r="M26" s="30" t="s">
        <v>56</v>
      </c>
      <c r="N26" s="30" t="s">
        <v>572</v>
      </c>
      <c r="O26" s="30" t="str">
        <f>IFERROR(VLOOKUP(Impuestos44[[#This Row],[Nro]],[4]Placas!$A:$D,4,0),"")</f>
        <v>1 Vales Caja 2025021350.pdf</v>
      </c>
      <c r="S26"/>
    </row>
    <row r="27" spans="3:30" x14ac:dyDescent="0.3">
      <c r="C27" s="35" t="str">
        <f>CONCATENATE(Impuestos44[[#This Row],[Placa Vehiculo]],Impuestos44[[#This Row],[Vales]])</f>
        <v>BYR-9441 Vales</v>
      </c>
      <c r="D27" s="36" t="s">
        <v>153</v>
      </c>
      <c r="E27" s="37" t="s">
        <v>569</v>
      </c>
      <c r="F27" s="36">
        <v>2025</v>
      </c>
      <c r="G27" s="38">
        <v>359.63</v>
      </c>
      <c r="H27" s="39">
        <v>45698</v>
      </c>
      <c r="I27">
        <f>IF(Impuestos44[[#This Row],[Fecha]]="","",MONTH(Impuestos44[[#This Row],[Fecha]]))</f>
        <v>2</v>
      </c>
      <c r="J27" s="40" t="s">
        <v>570</v>
      </c>
      <c r="K27" s="40" t="s">
        <v>37</v>
      </c>
      <c r="L27" t="s">
        <v>571</v>
      </c>
      <c r="M27" s="30" t="s">
        <v>48</v>
      </c>
      <c r="N27" s="30" t="s">
        <v>572</v>
      </c>
      <c r="O27" s="30" t="str">
        <f>IFERROR(VLOOKUP(Impuestos44[[#This Row],[Nro]],[4]Placas!$A:$D,4,0),"")</f>
        <v>1 Vales Caja 2025021349.pdf</v>
      </c>
      <c r="S27"/>
    </row>
    <row r="28" spans="3:30" x14ac:dyDescent="0.3">
      <c r="C28" s="35" t="str">
        <f>CONCATENATE(Impuestos44[[#This Row],[Placa Vehiculo]],Impuestos44[[#This Row],[Vales]])</f>
        <v>BYR-9481 Vales</v>
      </c>
      <c r="D28" s="36" t="s">
        <v>154</v>
      </c>
      <c r="E28" s="37" t="s">
        <v>569</v>
      </c>
      <c r="F28" s="36">
        <v>2025</v>
      </c>
      <c r="G28" s="38">
        <v>359.63</v>
      </c>
      <c r="H28" s="39">
        <v>45698</v>
      </c>
      <c r="I28">
        <f>IF(Impuestos44[[#This Row],[Fecha]]="","",MONTH(Impuestos44[[#This Row],[Fecha]]))</f>
        <v>2</v>
      </c>
      <c r="J28" s="40" t="s">
        <v>570</v>
      </c>
      <c r="K28" s="40" t="s">
        <v>37</v>
      </c>
      <c r="L28" t="s">
        <v>571</v>
      </c>
      <c r="M28" s="30" t="s">
        <v>48</v>
      </c>
      <c r="N28" s="30" t="s">
        <v>572</v>
      </c>
      <c r="O28" s="30" t="str">
        <f>IFERROR(VLOOKUP(Impuestos44[[#This Row],[Nro]],[4]Placas!$A:$D,4,0),"")</f>
        <v>1 Vales Caja 2025021349.pdf</v>
      </c>
      <c r="S28"/>
    </row>
    <row r="29" spans="3:30" x14ac:dyDescent="0.3">
      <c r="C29" s="35" t="str">
        <f>CONCATENATE(Impuestos44[[#This Row],[Placa Vehiculo]],Impuestos44[[#This Row],[Vales]])</f>
        <v>BYS-7641 Vales</v>
      </c>
      <c r="D29" s="36" t="s">
        <v>155</v>
      </c>
      <c r="E29" s="37" t="s">
        <v>569</v>
      </c>
      <c r="F29" s="36">
        <v>2025</v>
      </c>
      <c r="G29" s="38">
        <v>359.63</v>
      </c>
      <c r="H29" s="39">
        <v>45698</v>
      </c>
      <c r="I29">
        <f>IF(Impuestos44[[#This Row],[Fecha]]="","",MONTH(Impuestos44[[#This Row],[Fecha]]))</f>
        <v>2</v>
      </c>
      <c r="J29" s="40" t="s">
        <v>570</v>
      </c>
      <c r="K29" s="40" t="s">
        <v>37</v>
      </c>
      <c r="L29" t="s">
        <v>571</v>
      </c>
      <c r="M29" s="30" t="s">
        <v>48</v>
      </c>
      <c r="N29" s="30" t="s">
        <v>572</v>
      </c>
      <c r="O29" s="30" t="str">
        <f>IFERROR(VLOOKUP(Impuestos44[[#This Row],[Nro]],[4]Placas!$A:$D,4,0),"")</f>
        <v>1 Vales Caja 2025021349.pdf</v>
      </c>
      <c r="S29"/>
    </row>
    <row r="30" spans="3:30" x14ac:dyDescent="0.3">
      <c r="C30" s="35" t="str">
        <f>CONCATENATE(Impuestos44[[#This Row],[Placa Vehiculo]],Impuestos44[[#This Row],[Vales]])</f>
        <v>BYS-7931 Vales</v>
      </c>
      <c r="D30" s="36" t="s">
        <v>156</v>
      </c>
      <c r="E30" s="37" t="s">
        <v>569</v>
      </c>
      <c r="F30" s="36">
        <v>2025</v>
      </c>
      <c r="G30" s="38">
        <v>359.63</v>
      </c>
      <c r="H30" s="39">
        <v>45698</v>
      </c>
      <c r="I30">
        <f>IF(Impuestos44[[#This Row],[Fecha]]="","",MONTH(Impuestos44[[#This Row],[Fecha]]))</f>
        <v>2</v>
      </c>
      <c r="J30" s="40" t="s">
        <v>570</v>
      </c>
      <c r="K30" s="40" t="s">
        <v>37</v>
      </c>
      <c r="L30" t="s">
        <v>571</v>
      </c>
      <c r="M30" s="30" t="s">
        <v>48</v>
      </c>
      <c r="N30" s="30" t="s">
        <v>572</v>
      </c>
      <c r="O30" s="30" t="str">
        <f>IFERROR(VLOOKUP(Impuestos44[[#This Row],[Nro]],[4]Placas!$A:$D,4,0),"")</f>
        <v/>
      </c>
      <c r="S30"/>
    </row>
    <row r="31" spans="3:30" x14ac:dyDescent="0.3">
      <c r="C31" s="35" t="str">
        <f>CONCATENATE(Impuestos44[[#This Row],[Placa Vehiculo]],Impuestos44[[#This Row],[Vales]])</f>
        <v>BYS-7991 Vales</v>
      </c>
      <c r="D31" s="36" t="s">
        <v>157</v>
      </c>
      <c r="E31" s="37" t="s">
        <v>569</v>
      </c>
      <c r="F31" s="36">
        <v>2025</v>
      </c>
      <c r="G31" s="38">
        <v>359.63</v>
      </c>
      <c r="H31" s="39">
        <v>45698</v>
      </c>
      <c r="I31">
        <f>IF(Impuestos44[[#This Row],[Fecha]]="","",MONTH(Impuestos44[[#This Row],[Fecha]]))</f>
        <v>2</v>
      </c>
      <c r="J31" s="40" t="s">
        <v>570</v>
      </c>
      <c r="K31" s="40" t="s">
        <v>37</v>
      </c>
      <c r="L31" t="s">
        <v>571</v>
      </c>
      <c r="M31" s="30" t="s">
        <v>48</v>
      </c>
      <c r="N31" s="30" t="s">
        <v>572</v>
      </c>
      <c r="O31" s="30" t="str">
        <f>IFERROR(VLOOKUP(Impuestos44[[#This Row],[Nro]],[4]Placas!$A:$D,4,0),"")</f>
        <v/>
      </c>
      <c r="S31"/>
    </row>
    <row r="32" spans="3:30" x14ac:dyDescent="0.3">
      <c r="C32" s="35" t="str">
        <f>CONCATENATE(Impuestos44[[#This Row],[Placa Vehiculo]],Impuestos44[[#This Row],[Vales]])</f>
        <v>BYS-8001 Vales</v>
      </c>
      <c r="D32" s="36" t="s">
        <v>158</v>
      </c>
      <c r="E32" s="37" t="s">
        <v>569</v>
      </c>
      <c r="F32" s="36">
        <v>2025</v>
      </c>
      <c r="G32" s="38">
        <v>359.63</v>
      </c>
      <c r="H32" s="39">
        <v>45698</v>
      </c>
      <c r="I32">
        <f>IF(Impuestos44[[#This Row],[Fecha]]="","",MONTH(Impuestos44[[#This Row],[Fecha]]))</f>
        <v>2</v>
      </c>
      <c r="J32" s="40" t="s">
        <v>570</v>
      </c>
      <c r="K32" s="40" t="s">
        <v>37</v>
      </c>
      <c r="L32" t="s">
        <v>571</v>
      </c>
      <c r="M32" s="30" t="s">
        <v>48</v>
      </c>
      <c r="N32" s="30" t="s">
        <v>572</v>
      </c>
      <c r="O32" s="30" t="str">
        <f>IFERROR(VLOOKUP(Impuestos44[[#This Row],[Nro]],[4]Placas!$A:$D,4,0),"")</f>
        <v/>
      </c>
      <c r="S32"/>
    </row>
    <row r="33" spans="3:19" x14ac:dyDescent="0.3">
      <c r="C33" s="35" t="str">
        <f>CONCATENATE(Impuestos44[[#This Row],[Placa Vehiculo]],Impuestos44[[#This Row],[Vales]])</f>
        <v>BYS-8451 Vales</v>
      </c>
      <c r="D33" s="36" t="s">
        <v>159</v>
      </c>
      <c r="E33" s="37" t="s">
        <v>569</v>
      </c>
      <c r="F33" s="36">
        <v>2025</v>
      </c>
      <c r="G33" s="38">
        <v>359.63</v>
      </c>
      <c r="H33" s="39">
        <v>45698</v>
      </c>
      <c r="I33">
        <f>IF(Impuestos44[[#This Row],[Fecha]]="","",MONTH(Impuestos44[[#This Row],[Fecha]]))</f>
        <v>2</v>
      </c>
      <c r="J33" s="40" t="s">
        <v>570</v>
      </c>
      <c r="K33" s="40" t="s">
        <v>37</v>
      </c>
      <c r="L33" t="s">
        <v>571</v>
      </c>
      <c r="M33" s="30" t="s">
        <v>48</v>
      </c>
      <c r="N33" s="30" t="s">
        <v>572</v>
      </c>
      <c r="O33" s="30" t="str">
        <f>IFERROR(VLOOKUP(Impuestos44[[#This Row],[Nro]],[4]Placas!$A:$D,4,0),"")</f>
        <v/>
      </c>
      <c r="S33"/>
    </row>
    <row r="34" spans="3:19" x14ac:dyDescent="0.3">
      <c r="C34" s="35" t="str">
        <f>CONCATENATE(Impuestos44[[#This Row],[Placa Vehiculo]],Impuestos44[[#This Row],[Vales]])</f>
        <v>CNL-0761 Vales</v>
      </c>
      <c r="D34" s="36" t="s">
        <v>91</v>
      </c>
      <c r="E34" s="37" t="s">
        <v>569</v>
      </c>
      <c r="F34" s="36">
        <v>2025</v>
      </c>
      <c r="G34" s="38">
        <v>353.48</v>
      </c>
      <c r="H34" s="39">
        <v>45698</v>
      </c>
      <c r="I34">
        <f>IF(Impuestos44[[#This Row],[Fecha]]="","",MONTH(Impuestos44[[#This Row],[Fecha]]))</f>
        <v>2</v>
      </c>
      <c r="J34" s="40" t="s">
        <v>570</v>
      </c>
      <c r="K34" s="40" t="s">
        <v>37</v>
      </c>
      <c r="L34" t="s">
        <v>571</v>
      </c>
      <c r="M34" s="30" t="s">
        <v>54</v>
      </c>
      <c r="N34" s="30" t="s">
        <v>572</v>
      </c>
      <c r="O34" s="30" t="str">
        <f>IFERROR(VLOOKUP(Impuestos44[[#This Row],[Nro]],[4]Placas!$A:$D,4,0),"")</f>
        <v>1 Vales Caja 2025021353.pdf</v>
      </c>
      <c r="S34"/>
    </row>
    <row r="35" spans="3:19" x14ac:dyDescent="0.3">
      <c r="C35" s="35" t="str">
        <f>CONCATENATE(Impuestos44[[#This Row],[Placa Vehiculo]],Impuestos44[[#This Row],[Vales]])</f>
        <v>CNK-6221 Vales</v>
      </c>
      <c r="D35" s="36" t="s">
        <v>72</v>
      </c>
      <c r="E35" s="37" t="s">
        <v>569</v>
      </c>
      <c r="F35" s="36">
        <v>2025</v>
      </c>
      <c r="G35" s="38">
        <v>328.04</v>
      </c>
      <c r="H35" s="39">
        <v>45698</v>
      </c>
      <c r="I35">
        <f>IF(Impuestos44[[#This Row],[Fecha]]="","",MONTH(Impuestos44[[#This Row],[Fecha]]))</f>
        <v>2</v>
      </c>
      <c r="J35" s="40" t="s">
        <v>570</v>
      </c>
      <c r="K35" s="40" t="s">
        <v>37</v>
      </c>
      <c r="L35" t="s">
        <v>571</v>
      </c>
      <c r="M35" s="30" t="s">
        <v>54</v>
      </c>
      <c r="N35" s="30" t="s">
        <v>572</v>
      </c>
      <c r="O35" s="30" t="str">
        <f>IFERROR(VLOOKUP(Impuestos44[[#This Row],[Nro]],[4]Placas!$A:$D,4,0),"")</f>
        <v>1 Vales Caja 2025021352.pdf</v>
      </c>
      <c r="S35"/>
    </row>
    <row r="36" spans="3:19" x14ac:dyDescent="0.3">
      <c r="C36" s="35" t="str">
        <f>CONCATENATE(Impuestos44[[#This Row],[Placa Vehiculo]],Impuestos44[[#This Row],[Vales]])</f>
        <v>CNL-0741 Vales</v>
      </c>
      <c r="D36" s="36" t="s">
        <v>74</v>
      </c>
      <c r="E36" s="37" t="s">
        <v>569</v>
      </c>
      <c r="F36" s="36">
        <v>2025</v>
      </c>
      <c r="G36" s="38">
        <v>328.04</v>
      </c>
      <c r="H36" s="39">
        <v>45698</v>
      </c>
      <c r="I36">
        <f>IF(Impuestos44[[#This Row],[Fecha]]="","",MONTH(Impuestos44[[#This Row],[Fecha]]))</f>
        <v>2</v>
      </c>
      <c r="J36" s="40" t="s">
        <v>570</v>
      </c>
      <c r="K36" s="40" t="s">
        <v>37</v>
      </c>
      <c r="L36" t="s">
        <v>571</v>
      </c>
      <c r="M36" s="30" t="s">
        <v>54</v>
      </c>
      <c r="N36" s="30" t="s">
        <v>572</v>
      </c>
      <c r="O36" s="30" t="str">
        <f>IFERROR(VLOOKUP(Impuestos44[[#This Row],[Nro]],[4]Placas!$A:$D,4,0),"")</f>
        <v>1 Vales Caja 2025021352.pdf</v>
      </c>
      <c r="S36"/>
    </row>
    <row r="37" spans="3:19" x14ac:dyDescent="0.3">
      <c r="C37" s="35" t="str">
        <f>CONCATENATE(Impuestos44[[#This Row],[Placa Vehiculo]],Impuestos44[[#This Row],[Vales]])</f>
        <v>CNK-5421 Vales</v>
      </c>
      <c r="D37" s="36" t="s">
        <v>93</v>
      </c>
      <c r="E37" s="37" t="s">
        <v>569</v>
      </c>
      <c r="F37" s="36">
        <v>2025</v>
      </c>
      <c r="G37" s="38">
        <v>353.48</v>
      </c>
      <c r="H37" s="39">
        <v>45699</v>
      </c>
      <c r="I37">
        <f>IF(Impuestos44[[#This Row],[Fecha]]="","",MONTH(Impuestos44[[#This Row],[Fecha]]))</f>
        <v>2</v>
      </c>
      <c r="J37" s="40" t="s">
        <v>570</v>
      </c>
      <c r="K37" s="40" t="s">
        <v>37</v>
      </c>
      <c r="L37" t="s">
        <v>571</v>
      </c>
      <c r="M37" s="30" t="s">
        <v>54</v>
      </c>
      <c r="N37" s="30" t="s">
        <v>572</v>
      </c>
      <c r="O37" s="30" t="str">
        <f>IFERROR(VLOOKUP(Impuestos44[[#This Row],[Nro]],[4]Placas!$A:$D,4,0),"")</f>
        <v>1 Vales Caja 2025021353.pdf</v>
      </c>
      <c r="S37"/>
    </row>
    <row r="38" spans="3:19" x14ac:dyDescent="0.3">
      <c r="C38" s="35" t="str">
        <f>CONCATENATE(Impuestos44[[#This Row],[Placa Vehiculo]],Impuestos44[[#This Row],[Vales]])</f>
        <v>CNL-0091 Vales</v>
      </c>
      <c r="D38" s="36" t="s">
        <v>94</v>
      </c>
      <c r="E38" s="37" t="s">
        <v>569</v>
      </c>
      <c r="F38" s="36">
        <v>2025</v>
      </c>
      <c r="G38" s="38">
        <v>353.48</v>
      </c>
      <c r="H38" s="39">
        <v>45699</v>
      </c>
      <c r="I38">
        <f>IF(Impuestos44[[#This Row],[Fecha]]="","",MONTH(Impuestos44[[#This Row],[Fecha]]))</f>
        <v>2</v>
      </c>
      <c r="J38" s="40" t="s">
        <v>570</v>
      </c>
      <c r="K38" s="40" t="s">
        <v>37</v>
      </c>
      <c r="L38" t="s">
        <v>571</v>
      </c>
      <c r="M38" s="30" t="s">
        <v>54</v>
      </c>
      <c r="N38" s="30" t="s">
        <v>572</v>
      </c>
      <c r="O38" s="30" t="str">
        <f>IFERROR(VLOOKUP(Impuestos44[[#This Row],[Nro]],[4]Placas!$A:$D,4,0),"")</f>
        <v>1 Vales Caja 2025021353.pdf</v>
      </c>
      <c r="S38"/>
    </row>
    <row r="39" spans="3:19" x14ac:dyDescent="0.3">
      <c r="C39" s="35" t="str">
        <f>CONCATENATE(Impuestos44[[#This Row],[Placa Vehiculo]],Impuestos44[[#This Row],[Vales]])</f>
        <v>CNK-5031 Vales</v>
      </c>
      <c r="D39" s="36" t="s">
        <v>95</v>
      </c>
      <c r="E39" s="37" t="s">
        <v>569</v>
      </c>
      <c r="F39" s="36">
        <v>2025</v>
      </c>
      <c r="G39" s="38">
        <v>353.48</v>
      </c>
      <c r="H39" s="39">
        <v>45699</v>
      </c>
      <c r="I39">
        <f>IF(Impuestos44[[#This Row],[Fecha]]="","",MONTH(Impuestos44[[#This Row],[Fecha]]))</f>
        <v>2</v>
      </c>
      <c r="J39" s="40" t="s">
        <v>570</v>
      </c>
      <c r="K39" s="40" t="s">
        <v>37</v>
      </c>
      <c r="L39" t="s">
        <v>571</v>
      </c>
      <c r="M39" s="30" t="s">
        <v>54</v>
      </c>
      <c r="N39" s="30" t="s">
        <v>572</v>
      </c>
      <c r="O39" s="30" t="str">
        <f>IFERROR(VLOOKUP(Impuestos44[[#This Row],[Nro]],[4]Placas!$A:$D,4,0),"")</f>
        <v>1 Vales Caja 2025021353.pdf</v>
      </c>
      <c r="S39"/>
    </row>
    <row r="40" spans="3:19" x14ac:dyDescent="0.3">
      <c r="C40" s="35" t="str">
        <f>CONCATENATE(Impuestos44[[#This Row],[Placa Vehiculo]],Impuestos44[[#This Row],[Vales]])</f>
        <v>CNK-6751 Vales</v>
      </c>
      <c r="D40" s="36" t="s">
        <v>75</v>
      </c>
      <c r="E40" s="37" t="s">
        <v>569</v>
      </c>
      <c r="F40" s="36">
        <v>2025</v>
      </c>
      <c r="G40" s="38">
        <v>328.04</v>
      </c>
      <c r="H40" s="39">
        <v>45698</v>
      </c>
      <c r="I40">
        <f>IF(Impuestos44[[#This Row],[Fecha]]="","",MONTH(Impuestos44[[#This Row],[Fecha]]))</f>
        <v>2</v>
      </c>
      <c r="J40" s="40" t="s">
        <v>570</v>
      </c>
      <c r="K40" s="40" t="s">
        <v>37</v>
      </c>
      <c r="L40" t="s">
        <v>571</v>
      </c>
      <c r="M40" s="30" t="s">
        <v>54</v>
      </c>
      <c r="N40" s="30" t="s">
        <v>572</v>
      </c>
      <c r="O40" s="30" t="str">
        <f>IFERROR(VLOOKUP(Impuestos44[[#This Row],[Nro]],[4]Placas!$A:$D,4,0),"")</f>
        <v>1 Vales Caja 2025021352.pdf</v>
      </c>
      <c r="S40"/>
    </row>
    <row r="41" spans="3:19" x14ac:dyDescent="0.3">
      <c r="C41" s="35" t="str">
        <f>CONCATENATE(Impuestos44[[#This Row],[Placa Vehiculo]],Impuestos44[[#This Row],[Vales]])</f>
        <v>CNK-2631 Vales</v>
      </c>
      <c r="D41" s="36" t="s">
        <v>96</v>
      </c>
      <c r="E41" s="37" t="s">
        <v>569</v>
      </c>
      <c r="F41" s="36">
        <v>2025</v>
      </c>
      <c r="G41" s="38">
        <v>353.48</v>
      </c>
      <c r="H41" s="39">
        <v>45699</v>
      </c>
      <c r="I41">
        <f>IF(Impuestos44[[#This Row],[Fecha]]="","",MONTH(Impuestos44[[#This Row],[Fecha]]))</f>
        <v>2</v>
      </c>
      <c r="J41" s="40" t="s">
        <v>570</v>
      </c>
      <c r="K41" s="40" t="s">
        <v>37</v>
      </c>
      <c r="L41" t="s">
        <v>571</v>
      </c>
      <c r="M41" s="30" t="s">
        <v>54</v>
      </c>
      <c r="N41" s="30" t="s">
        <v>572</v>
      </c>
      <c r="O41" s="30" t="str">
        <f>IFERROR(VLOOKUP(Impuestos44[[#This Row],[Nro]],[4]Placas!$A:$D,4,0),"")</f>
        <v>1 Vales Caja 2025021353.pdf</v>
      </c>
      <c r="S41"/>
    </row>
    <row r="42" spans="3:19" x14ac:dyDescent="0.3">
      <c r="C42" s="35" t="str">
        <f>CONCATENATE(Impuestos44[[#This Row],[Placa Vehiculo]],Impuestos44[[#This Row],[Vales]])</f>
        <v>CNL-0911 Vales</v>
      </c>
      <c r="D42" s="36" t="s">
        <v>76</v>
      </c>
      <c r="E42" s="37" t="s">
        <v>569</v>
      </c>
      <c r="F42" s="36">
        <v>2025</v>
      </c>
      <c r="G42" s="38">
        <v>328.04</v>
      </c>
      <c r="H42" s="39">
        <v>45698</v>
      </c>
      <c r="I42">
        <f>IF(Impuestos44[[#This Row],[Fecha]]="","",MONTH(Impuestos44[[#This Row],[Fecha]]))</f>
        <v>2</v>
      </c>
      <c r="J42" s="40" t="s">
        <v>570</v>
      </c>
      <c r="K42" s="40" t="s">
        <v>37</v>
      </c>
      <c r="L42" t="s">
        <v>571</v>
      </c>
      <c r="M42" s="30" t="s">
        <v>54</v>
      </c>
      <c r="N42" s="30" t="s">
        <v>572</v>
      </c>
      <c r="O42" s="30" t="str">
        <f>IFERROR(VLOOKUP(Impuestos44[[#This Row],[Nro]],[4]Placas!$A:$D,4,0),"")</f>
        <v>1 Vales Caja 2025021352.pdf</v>
      </c>
      <c r="S42"/>
    </row>
    <row r="43" spans="3:19" x14ac:dyDescent="0.3">
      <c r="C43" s="35" t="str">
        <f>CONCATENATE(Impuestos44[[#This Row],[Placa Vehiculo]],Impuestos44[[#This Row],[Vales]])</f>
        <v>CNK-5871 Vales</v>
      </c>
      <c r="D43" s="36" t="s">
        <v>77</v>
      </c>
      <c r="E43" s="37" t="s">
        <v>569</v>
      </c>
      <c r="F43" s="36">
        <v>2025</v>
      </c>
      <c r="G43" s="38">
        <v>328.04</v>
      </c>
      <c r="H43" s="39">
        <v>45698</v>
      </c>
      <c r="I43">
        <f>IF(Impuestos44[[#This Row],[Fecha]]="","",MONTH(Impuestos44[[#This Row],[Fecha]]))</f>
        <v>2</v>
      </c>
      <c r="J43" s="40" t="s">
        <v>570</v>
      </c>
      <c r="K43" s="40" t="s">
        <v>37</v>
      </c>
      <c r="L43" t="s">
        <v>571</v>
      </c>
      <c r="M43" s="30" t="s">
        <v>54</v>
      </c>
      <c r="N43" s="30" t="s">
        <v>572</v>
      </c>
      <c r="O43" s="30" t="str">
        <f>IFERROR(VLOOKUP(Impuestos44[[#This Row],[Nro]],[4]Placas!$A:$D,4,0),"")</f>
        <v>1 Vales Caja 2025021352.pdf</v>
      </c>
      <c r="S43"/>
    </row>
    <row r="44" spans="3:19" x14ac:dyDescent="0.3">
      <c r="C44" s="35" t="str">
        <f>CONCATENATE(Impuestos44[[#This Row],[Placa Vehiculo]],Impuestos44[[#This Row],[Vales]])</f>
        <v>CNL-1211 Vales</v>
      </c>
      <c r="D44" s="36" t="s">
        <v>97</v>
      </c>
      <c r="E44" s="37" t="s">
        <v>569</v>
      </c>
      <c r="F44" s="36">
        <v>2025</v>
      </c>
      <c r="G44" s="38">
        <v>353.48</v>
      </c>
      <c r="H44" s="39">
        <v>45699</v>
      </c>
      <c r="I44">
        <f>IF(Impuestos44[[#This Row],[Fecha]]="","",MONTH(Impuestos44[[#This Row],[Fecha]]))</f>
        <v>2</v>
      </c>
      <c r="J44" s="40" t="s">
        <v>570</v>
      </c>
      <c r="K44" s="40" t="s">
        <v>37</v>
      </c>
      <c r="L44" t="s">
        <v>571</v>
      </c>
      <c r="M44" s="30" t="s">
        <v>54</v>
      </c>
      <c r="N44" s="30" t="s">
        <v>572</v>
      </c>
      <c r="O44" s="30" t="str">
        <f>IFERROR(VLOOKUP(Impuestos44[[#This Row],[Nro]],[4]Placas!$A:$D,4,0),"")</f>
        <v>1 Vales Caja 2025021353.pdf</v>
      </c>
      <c r="S44"/>
    </row>
    <row r="45" spans="3:19" x14ac:dyDescent="0.3">
      <c r="C45" s="35" t="str">
        <f>CONCATENATE(Impuestos44[[#This Row],[Placa Vehiculo]],Impuestos44[[#This Row],[Vales]])</f>
        <v>CNK-4851 Vales</v>
      </c>
      <c r="D45" s="36" t="s">
        <v>98</v>
      </c>
      <c r="E45" s="37" t="s">
        <v>569</v>
      </c>
      <c r="F45" s="36">
        <v>2025</v>
      </c>
      <c r="G45" s="38">
        <v>353.48</v>
      </c>
      <c r="H45" s="39">
        <v>45699</v>
      </c>
      <c r="I45">
        <f>IF(Impuestos44[[#This Row],[Fecha]]="","",MONTH(Impuestos44[[#This Row],[Fecha]]))</f>
        <v>2</v>
      </c>
      <c r="J45" s="40" t="s">
        <v>570</v>
      </c>
      <c r="K45" s="40" t="s">
        <v>37</v>
      </c>
      <c r="L45" t="s">
        <v>571</v>
      </c>
      <c r="M45" s="30" t="s">
        <v>54</v>
      </c>
      <c r="N45" s="30" t="s">
        <v>572</v>
      </c>
      <c r="O45" s="30" t="str">
        <f>IFERROR(VLOOKUP(Impuestos44[[#This Row],[Nro]],[4]Placas!$A:$D,4,0),"")</f>
        <v>1 Vales Caja 2025021353.pdf</v>
      </c>
      <c r="S45"/>
    </row>
    <row r="46" spans="3:19" x14ac:dyDescent="0.3">
      <c r="C46" s="35" t="str">
        <f>CONCATENATE(Impuestos44[[#This Row],[Placa Vehiculo]],Impuestos44[[#This Row],[Vales]])</f>
        <v>CNK-5051 Vales</v>
      </c>
      <c r="D46" s="36" t="s">
        <v>99</v>
      </c>
      <c r="E46" s="37" t="s">
        <v>569</v>
      </c>
      <c r="F46" s="36">
        <v>2025</v>
      </c>
      <c r="G46" s="38">
        <v>353.48</v>
      </c>
      <c r="H46" s="39">
        <v>45699</v>
      </c>
      <c r="I46">
        <f>IF(Impuestos44[[#This Row],[Fecha]]="","",MONTH(Impuestos44[[#This Row],[Fecha]]))</f>
        <v>2</v>
      </c>
      <c r="J46" s="40" t="s">
        <v>570</v>
      </c>
      <c r="K46" s="40" t="s">
        <v>37</v>
      </c>
      <c r="L46" t="s">
        <v>571</v>
      </c>
      <c r="M46" s="30" t="s">
        <v>54</v>
      </c>
      <c r="N46" s="30" t="s">
        <v>572</v>
      </c>
      <c r="O46" s="30" t="str">
        <f>IFERROR(VLOOKUP(Impuestos44[[#This Row],[Nro]],[4]Placas!$A:$D,4,0),"")</f>
        <v>1 Vales Caja 2025021353.pdf</v>
      </c>
      <c r="S46"/>
    </row>
    <row r="47" spans="3:19" x14ac:dyDescent="0.3">
      <c r="C47" s="35" t="str">
        <f>CONCATENATE(Impuestos44[[#This Row],[Placa Vehiculo]],Impuestos44[[#This Row],[Vales]])</f>
        <v>CNK-5731 Vales</v>
      </c>
      <c r="D47" s="36" t="s">
        <v>100</v>
      </c>
      <c r="E47" s="37" t="s">
        <v>569</v>
      </c>
      <c r="F47" s="36">
        <v>2025</v>
      </c>
      <c r="G47" s="38">
        <v>353.48</v>
      </c>
      <c r="H47" s="39">
        <v>45699</v>
      </c>
      <c r="I47">
        <f>IF(Impuestos44[[#This Row],[Fecha]]="","",MONTH(Impuestos44[[#This Row],[Fecha]]))</f>
        <v>2</v>
      </c>
      <c r="J47" s="40" t="s">
        <v>570</v>
      </c>
      <c r="K47" s="40" t="s">
        <v>37</v>
      </c>
      <c r="L47" t="s">
        <v>571</v>
      </c>
      <c r="M47" s="30" t="s">
        <v>54</v>
      </c>
      <c r="N47" s="30" t="s">
        <v>572</v>
      </c>
      <c r="O47" s="30" t="str">
        <f>IFERROR(VLOOKUP(Impuestos44[[#This Row],[Nro]],[4]Placas!$A:$D,4,0),"")</f>
        <v>1 Vales Caja 2025021353.pdf</v>
      </c>
      <c r="S47"/>
    </row>
    <row r="48" spans="3:19" x14ac:dyDescent="0.3">
      <c r="C48" s="35" t="str">
        <f>CONCATENATE(Impuestos44[[#This Row],[Placa Vehiculo]],Impuestos44[[#This Row],[Vales]])</f>
        <v>CNL-0101 Vales</v>
      </c>
      <c r="D48" s="36" t="s">
        <v>78</v>
      </c>
      <c r="E48" s="37" t="s">
        <v>569</v>
      </c>
      <c r="F48" s="36">
        <v>2025</v>
      </c>
      <c r="G48" s="38">
        <v>328.04</v>
      </c>
      <c r="H48" s="39">
        <v>45698</v>
      </c>
      <c r="I48">
        <f>IF(Impuestos44[[#This Row],[Fecha]]="","",MONTH(Impuestos44[[#This Row],[Fecha]]))</f>
        <v>2</v>
      </c>
      <c r="J48" s="40" t="s">
        <v>570</v>
      </c>
      <c r="K48" s="40" t="s">
        <v>37</v>
      </c>
      <c r="L48" t="s">
        <v>571</v>
      </c>
      <c r="M48" s="30" t="s">
        <v>54</v>
      </c>
      <c r="N48" s="30" t="s">
        <v>572</v>
      </c>
      <c r="O48" s="30" t="str">
        <f>IFERROR(VLOOKUP(Impuestos44[[#This Row],[Nro]],[4]Placas!$A:$D,4,0),"")</f>
        <v>1 Vales Caja 2025021352.pdf</v>
      </c>
      <c r="S48"/>
    </row>
    <row r="49" spans="3:19" x14ac:dyDescent="0.3">
      <c r="C49" s="35" t="str">
        <f>CONCATENATE(Impuestos44[[#This Row],[Placa Vehiculo]],Impuestos44[[#This Row],[Vales]])</f>
        <v>CNL-0031 Vales</v>
      </c>
      <c r="D49" s="36" t="s">
        <v>79</v>
      </c>
      <c r="E49" s="37" t="s">
        <v>569</v>
      </c>
      <c r="F49" s="36">
        <v>2025</v>
      </c>
      <c r="G49" s="38">
        <v>328.04</v>
      </c>
      <c r="H49" s="39">
        <v>45698</v>
      </c>
      <c r="I49">
        <f>IF(Impuestos44[[#This Row],[Fecha]]="","",MONTH(Impuestos44[[#This Row],[Fecha]]))</f>
        <v>2</v>
      </c>
      <c r="J49" s="40" t="s">
        <v>570</v>
      </c>
      <c r="K49" s="40" t="s">
        <v>37</v>
      </c>
      <c r="L49" t="s">
        <v>571</v>
      </c>
      <c r="M49" s="30" t="s">
        <v>54</v>
      </c>
      <c r="N49" s="30" t="s">
        <v>572</v>
      </c>
      <c r="O49" s="30" t="str">
        <f>IFERROR(VLOOKUP(Impuestos44[[#This Row],[Nro]],[4]Placas!$A:$D,4,0),"")</f>
        <v>1 Vales Caja 2025021352.pdf</v>
      </c>
      <c r="S49"/>
    </row>
    <row r="50" spans="3:19" x14ac:dyDescent="0.3">
      <c r="C50" s="35" t="str">
        <f>CONCATENATE(Impuestos44[[#This Row],[Placa Vehiculo]],Impuestos44[[#This Row],[Vales]])</f>
        <v>CNL-0131 Vales</v>
      </c>
      <c r="D50" s="36" t="s">
        <v>80</v>
      </c>
      <c r="E50" s="37" t="s">
        <v>569</v>
      </c>
      <c r="F50" s="36">
        <v>2025</v>
      </c>
      <c r="G50" s="38">
        <v>328.04</v>
      </c>
      <c r="H50" s="39">
        <v>45698</v>
      </c>
      <c r="I50">
        <f>IF(Impuestos44[[#This Row],[Fecha]]="","",MONTH(Impuestos44[[#This Row],[Fecha]]))</f>
        <v>2</v>
      </c>
      <c r="J50" s="40" t="s">
        <v>570</v>
      </c>
      <c r="K50" s="40" t="s">
        <v>37</v>
      </c>
      <c r="L50" t="s">
        <v>571</v>
      </c>
      <c r="M50" s="30" t="s">
        <v>54</v>
      </c>
      <c r="N50" s="30" t="s">
        <v>572</v>
      </c>
      <c r="O50" s="30" t="str">
        <f>IFERROR(VLOOKUP(Impuestos44[[#This Row],[Nro]],[4]Placas!$A:$D,4,0),"")</f>
        <v>1 Vales Caja 2025021352.pdf</v>
      </c>
      <c r="S50"/>
    </row>
    <row r="51" spans="3:19" x14ac:dyDescent="0.3">
      <c r="C51" s="35" t="str">
        <f>CONCATENATE(Impuestos44[[#This Row],[Placa Vehiculo]],Impuestos44[[#This Row],[Vales]])</f>
        <v>CNK-5301 Vales</v>
      </c>
      <c r="D51" s="36" t="s">
        <v>81</v>
      </c>
      <c r="E51" s="37" t="s">
        <v>569</v>
      </c>
      <c r="F51" s="36">
        <v>2025</v>
      </c>
      <c r="G51" s="38">
        <v>328.04</v>
      </c>
      <c r="H51" s="39">
        <v>45698</v>
      </c>
      <c r="I51">
        <f>IF(Impuestos44[[#This Row],[Fecha]]="","",MONTH(Impuestos44[[#This Row],[Fecha]]))</f>
        <v>2</v>
      </c>
      <c r="J51" s="40" t="s">
        <v>570</v>
      </c>
      <c r="K51" s="40" t="s">
        <v>37</v>
      </c>
      <c r="L51" t="s">
        <v>571</v>
      </c>
      <c r="M51" s="30" t="s">
        <v>54</v>
      </c>
      <c r="N51" s="30" t="s">
        <v>572</v>
      </c>
      <c r="O51" s="30" t="str">
        <f>IFERROR(VLOOKUP(Impuestos44[[#This Row],[Nro]],[4]Placas!$A:$D,4,0),"")</f>
        <v>1 Vales Caja 2025021352.pdf</v>
      </c>
      <c r="S51"/>
    </row>
    <row r="52" spans="3:19" x14ac:dyDescent="0.3">
      <c r="C52" s="35" t="str">
        <f>CONCATENATE(Impuestos44[[#This Row],[Placa Vehiculo]],Impuestos44[[#This Row],[Vales]])</f>
        <v>CNL-1351 Vales</v>
      </c>
      <c r="D52" s="36" t="s">
        <v>82</v>
      </c>
      <c r="E52" s="37" t="s">
        <v>569</v>
      </c>
      <c r="F52" s="36">
        <v>2025</v>
      </c>
      <c r="G52" s="38">
        <v>328.04</v>
      </c>
      <c r="H52" s="39">
        <v>45698</v>
      </c>
      <c r="I52">
        <f>IF(Impuestos44[[#This Row],[Fecha]]="","",MONTH(Impuestos44[[#This Row],[Fecha]]))</f>
        <v>2</v>
      </c>
      <c r="J52" s="40" t="s">
        <v>570</v>
      </c>
      <c r="K52" s="40" t="s">
        <v>37</v>
      </c>
      <c r="L52" t="s">
        <v>571</v>
      </c>
      <c r="M52" s="30" t="s">
        <v>54</v>
      </c>
      <c r="N52" s="30" t="s">
        <v>572</v>
      </c>
      <c r="O52" s="30" t="str">
        <f>IFERROR(VLOOKUP(Impuestos44[[#This Row],[Nro]],[4]Placas!$A:$D,4,0),"")</f>
        <v>1 Vales Caja 2025021352.pdf</v>
      </c>
      <c r="S52"/>
    </row>
    <row r="53" spans="3:19" x14ac:dyDescent="0.3">
      <c r="C53" s="35" t="str">
        <f>CONCATENATE(Impuestos44[[#This Row],[Placa Vehiculo]],Impuestos44[[#This Row],[Vales]])</f>
        <v>CNK-6461 Vales</v>
      </c>
      <c r="D53" s="36" t="s">
        <v>83</v>
      </c>
      <c r="E53" s="37" t="s">
        <v>569</v>
      </c>
      <c r="F53" s="36">
        <v>2025</v>
      </c>
      <c r="G53" s="38">
        <v>328.04</v>
      </c>
      <c r="H53" s="39">
        <v>45698</v>
      </c>
      <c r="I53">
        <f>IF(Impuestos44[[#This Row],[Fecha]]="","",MONTH(Impuestos44[[#This Row],[Fecha]]))</f>
        <v>2</v>
      </c>
      <c r="J53" s="40" t="s">
        <v>570</v>
      </c>
      <c r="K53" s="40" t="s">
        <v>37</v>
      </c>
      <c r="L53" t="s">
        <v>571</v>
      </c>
      <c r="M53" s="30" t="s">
        <v>54</v>
      </c>
      <c r="N53" s="30" t="s">
        <v>572</v>
      </c>
      <c r="O53" s="30" t="str">
        <f>IFERROR(VLOOKUP(Impuestos44[[#This Row],[Nro]],[4]Placas!$A:$D,4,0),"")</f>
        <v>1 Vales Caja 2025021352.pdf</v>
      </c>
      <c r="S53"/>
    </row>
    <row r="54" spans="3:19" x14ac:dyDescent="0.3">
      <c r="C54" s="35" t="str">
        <f>CONCATENATE(Impuestos44[[#This Row],[Placa Vehiculo]],Impuestos44[[#This Row],[Vales]])</f>
        <v>CNL-0721 Vales</v>
      </c>
      <c r="D54" s="36" t="s">
        <v>84</v>
      </c>
      <c r="E54" s="37" t="s">
        <v>569</v>
      </c>
      <c r="F54" s="36">
        <v>2025</v>
      </c>
      <c r="G54" s="38">
        <v>328.04</v>
      </c>
      <c r="H54" s="39">
        <v>45698</v>
      </c>
      <c r="I54">
        <f>IF(Impuestos44[[#This Row],[Fecha]]="","",MONTH(Impuestos44[[#This Row],[Fecha]]))</f>
        <v>2</v>
      </c>
      <c r="J54" s="40" t="s">
        <v>570</v>
      </c>
      <c r="K54" s="40" t="s">
        <v>37</v>
      </c>
      <c r="L54" t="s">
        <v>571</v>
      </c>
      <c r="M54" s="30" t="s">
        <v>54</v>
      </c>
      <c r="N54" s="30" t="s">
        <v>572</v>
      </c>
      <c r="O54" s="30" t="str">
        <f>IFERROR(VLOOKUP(Impuestos44[[#This Row],[Nro]],[4]Placas!$A:$D,4,0),"")</f>
        <v/>
      </c>
      <c r="S54"/>
    </row>
    <row r="55" spans="3:19" x14ac:dyDescent="0.3">
      <c r="C55" s="35" t="str">
        <f>CONCATENATE(Impuestos44[[#This Row],[Placa Vehiculo]],Impuestos44[[#This Row],[Vales]])</f>
        <v>CAU-7461 Vales</v>
      </c>
      <c r="D55" s="36" t="s">
        <v>59</v>
      </c>
      <c r="E55" s="37" t="s">
        <v>569</v>
      </c>
      <c r="F55" s="36">
        <v>2025</v>
      </c>
      <c r="G55" s="38">
        <v>321.39999999999998</v>
      </c>
      <c r="H55" s="39">
        <v>45699</v>
      </c>
      <c r="I55">
        <f>IF(Impuestos44[[#This Row],[Fecha]]="","",MONTH(Impuestos44[[#This Row],[Fecha]]))</f>
        <v>2</v>
      </c>
      <c r="J55" s="40" t="s">
        <v>570</v>
      </c>
      <c r="K55" s="40" t="s">
        <v>37</v>
      </c>
      <c r="L55" t="s">
        <v>571</v>
      </c>
      <c r="M55" s="30" t="s">
        <v>58</v>
      </c>
      <c r="N55" s="30" t="s">
        <v>572</v>
      </c>
      <c r="O55" s="30" t="str">
        <f>IFERROR(VLOOKUP(Impuestos44[[#This Row],[Nro]],[4]Placas!$A:$D,4,0),"")</f>
        <v>1 Vales Caja 2025021360.pdf</v>
      </c>
      <c r="S55"/>
    </row>
    <row r="56" spans="3:19" x14ac:dyDescent="0.3">
      <c r="C56" s="35" t="str">
        <f>CONCATENATE(Impuestos44[[#This Row],[Placa Vehiculo]],Impuestos44[[#This Row],[Vales]])</f>
        <v>BYR-9431 Vales</v>
      </c>
      <c r="D56" s="36" t="s">
        <v>160</v>
      </c>
      <c r="E56" s="37" t="s">
        <v>569</v>
      </c>
      <c r="F56" s="36">
        <v>2025</v>
      </c>
      <c r="G56" s="38">
        <v>359.63</v>
      </c>
      <c r="H56" s="39">
        <v>45698</v>
      </c>
      <c r="I56">
        <f>IF(Impuestos44[[#This Row],[Fecha]]="","",MONTH(Impuestos44[[#This Row],[Fecha]]))</f>
        <v>2</v>
      </c>
      <c r="J56" s="40" t="s">
        <v>570</v>
      </c>
      <c r="K56" s="40" t="s">
        <v>37</v>
      </c>
      <c r="L56" t="s">
        <v>571</v>
      </c>
      <c r="M56" s="30" t="s">
        <v>48</v>
      </c>
      <c r="N56" s="30" t="s">
        <v>572</v>
      </c>
      <c r="O56" s="30" t="str">
        <f>IFERROR(VLOOKUP(Impuestos44[[#This Row],[Nro]],[4]Placas!$A:$D,4,0),"")</f>
        <v>1 Vales Caja 2025021349.pdf</v>
      </c>
      <c r="S56"/>
    </row>
    <row r="57" spans="3:19" x14ac:dyDescent="0.3">
      <c r="C57" s="35" t="str">
        <f>CONCATENATE(Impuestos44[[#This Row],[Placa Vehiculo]],Impuestos44[[#This Row],[Vales]])</f>
        <v>BYR-9451 Vales</v>
      </c>
      <c r="D57" s="36" t="s">
        <v>161</v>
      </c>
      <c r="E57" s="37" t="s">
        <v>569</v>
      </c>
      <c r="F57" s="36">
        <v>2025</v>
      </c>
      <c r="G57" s="38">
        <v>359.63</v>
      </c>
      <c r="H57" s="39">
        <v>45698</v>
      </c>
      <c r="I57">
        <f>IF(Impuestos44[[#This Row],[Fecha]]="","",MONTH(Impuestos44[[#This Row],[Fecha]]))</f>
        <v>2</v>
      </c>
      <c r="J57" s="40" t="s">
        <v>570</v>
      </c>
      <c r="K57" s="40" t="s">
        <v>37</v>
      </c>
      <c r="L57" t="s">
        <v>571</v>
      </c>
      <c r="M57" s="30" t="s">
        <v>48</v>
      </c>
      <c r="N57" s="30" t="s">
        <v>572</v>
      </c>
      <c r="O57" s="30" t="str">
        <f>IFERROR(VLOOKUP(Impuestos44[[#This Row],[Nro]],[4]Placas!$A:$D,4,0),"")</f>
        <v>1 Vales Caja 2025021349.pdf</v>
      </c>
      <c r="S57"/>
    </row>
    <row r="58" spans="3:19" x14ac:dyDescent="0.3">
      <c r="C58" s="35" t="str">
        <f>CONCATENATE(Impuestos44[[#This Row],[Placa Vehiculo]],Impuestos44[[#This Row],[Vales]])</f>
        <v>BYR-9461 Vales</v>
      </c>
      <c r="D58" s="36" t="s">
        <v>162</v>
      </c>
      <c r="E58" s="37" t="s">
        <v>569</v>
      </c>
      <c r="F58" s="36">
        <v>2025</v>
      </c>
      <c r="G58" s="38">
        <v>359.63</v>
      </c>
      <c r="H58" s="39">
        <v>45698</v>
      </c>
      <c r="I58">
        <f>IF(Impuestos44[[#This Row],[Fecha]]="","",MONTH(Impuestos44[[#This Row],[Fecha]]))</f>
        <v>2</v>
      </c>
      <c r="J58" s="40" t="s">
        <v>570</v>
      </c>
      <c r="K58" s="40" t="s">
        <v>37</v>
      </c>
      <c r="L58" t="s">
        <v>571</v>
      </c>
      <c r="M58" s="30" t="s">
        <v>48</v>
      </c>
      <c r="N58" s="30" t="s">
        <v>572</v>
      </c>
      <c r="O58" s="30" t="str">
        <f>IFERROR(VLOOKUP(Impuestos44[[#This Row],[Nro]],[4]Placas!$A:$D,4,0),"")</f>
        <v>1 Vales Caja 2025021349.pdf</v>
      </c>
      <c r="S58"/>
    </row>
    <row r="59" spans="3:19" x14ac:dyDescent="0.3">
      <c r="C59" s="35" t="str">
        <f>CONCATENATE(Impuestos44[[#This Row],[Placa Vehiculo]],Impuestos44[[#This Row],[Vales]])</f>
        <v>BYS-7671 Vales</v>
      </c>
      <c r="D59" s="36" t="s">
        <v>163</v>
      </c>
      <c r="E59" s="37" t="s">
        <v>569</v>
      </c>
      <c r="F59" s="36">
        <v>2025</v>
      </c>
      <c r="G59" s="38">
        <v>359.63</v>
      </c>
      <c r="H59" s="39">
        <v>45698</v>
      </c>
      <c r="I59">
        <f>IF(Impuestos44[[#This Row],[Fecha]]="","",MONTH(Impuestos44[[#This Row],[Fecha]]))</f>
        <v>2</v>
      </c>
      <c r="J59" s="40" t="s">
        <v>570</v>
      </c>
      <c r="K59" s="40" t="s">
        <v>37</v>
      </c>
      <c r="L59" t="s">
        <v>571</v>
      </c>
      <c r="M59" s="30" t="s">
        <v>48</v>
      </c>
      <c r="N59" s="30" t="s">
        <v>572</v>
      </c>
      <c r="O59" s="30" t="str">
        <f>IFERROR(VLOOKUP(Impuestos44[[#This Row],[Nro]],[4]Placas!$A:$D,4,0),"")</f>
        <v>1 Vales Caja 2025021349.pdf</v>
      </c>
      <c r="S59"/>
    </row>
    <row r="60" spans="3:19" x14ac:dyDescent="0.3">
      <c r="C60" s="35" t="str">
        <f>CONCATENATE(Impuestos44[[#This Row],[Placa Vehiculo]],Impuestos44[[#This Row],[Vales]])</f>
        <v>BYS-7901 Vales</v>
      </c>
      <c r="D60" s="36" t="s">
        <v>164</v>
      </c>
      <c r="E60" s="37" t="s">
        <v>569</v>
      </c>
      <c r="F60" s="36">
        <v>2025</v>
      </c>
      <c r="G60" s="38">
        <v>359.63</v>
      </c>
      <c r="H60" s="39">
        <v>45698</v>
      </c>
      <c r="I60">
        <f>IF(Impuestos44[[#This Row],[Fecha]]="","",MONTH(Impuestos44[[#This Row],[Fecha]]))</f>
        <v>2</v>
      </c>
      <c r="J60" s="40" t="s">
        <v>570</v>
      </c>
      <c r="K60" s="40" t="s">
        <v>37</v>
      </c>
      <c r="L60" t="s">
        <v>571</v>
      </c>
      <c r="M60" s="30" t="s">
        <v>48</v>
      </c>
      <c r="N60" s="30" t="s">
        <v>572</v>
      </c>
      <c r="O60" s="30" t="str">
        <f>IFERROR(VLOOKUP(Impuestos44[[#This Row],[Nro]],[4]Placas!$A:$D,4,0),"")</f>
        <v>1 Vales Caja 2025021349.pdf</v>
      </c>
      <c r="S60"/>
    </row>
    <row r="61" spans="3:19" x14ac:dyDescent="0.3">
      <c r="C61" s="35" t="str">
        <f>CONCATENATE(Impuestos44[[#This Row],[Placa Vehiculo]],Impuestos44[[#This Row],[Vales]])</f>
        <v>BYS-8391 Vales</v>
      </c>
      <c r="D61" s="36" t="s">
        <v>165</v>
      </c>
      <c r="E61" s="37" t="s">
        <v>569</v>
      </c>
      <c r="F61" s="36">
        <v>2025</v>
      </c>
      <c r="G61" s="38">
        <v>359.63</v>
      </c>
      <c r="H61" s="39">
        <v>45698</v>
      </c>
      <c r="I61">
        <f>IF(Impuestos44[[#This Row],[Fecha]]="","",MONTH(Impuestos44[[#This Row],[Fecha]]))</f>
        <v>2</v>
      </c>
      <c r="J61" s="40" t="s">
        <v>570</v>
      </c>
      <c r="K61" s="40" t="s">
        <v>37</v>
      </c>
      <c r="L61" t="s">
        <v>571</v>
      </c>
      <c r="M61" s="30" t="s">
        <v>48</v>
      </c>
      <c r="N61" s="30" t="s">
        <v>572</v>
      </c>
      <c r="O61" s="30" t="str">
        <f>IFERROR(VLOOKUP(Impuestos44[[#This Row],[Nro]],[4]Placas!$A:$D,4,0),"")</f>
        <v/>
      </c>
      <c r="S61"/>
    </row>
    <row r="62" spans="3:19" x14ac:dyDescent="0.3">
      <c r="C62" s="35" t="str">
        <f>CONCATENATE(Impuestos44[[#This Row],[Placa Vehiculo]],Impuestos44[[#This Row],[Vales]])</f>
        <v>BYS-8481 Vales</v>
      </c>
      <c r="D62" s="36" t="s">
        <v>166</v>
      </c>
      <c r="E62" s="37" t="s">
        <v>569</v>
      </c>
      <c r="F62" s="36">
        <v>2025</v>
      </c>
      <c r="G62" s="38">
        <v>359.63</v>
      </c>
      <c r="H62" s="39">
        <v>45698</v>
      </c>
      <c r="I62">
        <f>IF(Impuestos44[[#This Row],[Fecha]]="","",MONTH(Impuestos44[[#This Row],[Fecha]]))</f>
        <v>2</v>
      </c>
      <c r="J62" s="40" t="s">
        <v>570</v>
      </c>
      <c r="K62" s="40" t="s">
        <v>37</v>
      </c>
      <c r="L62" t="s">
        <v>571</v>
      </c>
      <c r="M62" s="30" t="s">
        <v>48</v>
      </c>
      <c r="N62" s="30" t="s">
        <v>572</v>
      </c>
      <c r="O62" s="30" t="str">
        <f>IFERROR(VLOOKUP(Impuestos44[[#This Row],[Nro]],[4]Placas!$A:$D,4,0),"")</f>
        <v/>
      </c>
      <c r="S62"/>
    </row>
    <row r="63" spans="3:19" x14ac:dyDescent="0.3">
      <c r="C63" s="35" t="str">
        <f>CONCATENATE(Impuestos44[[#This Row],[Placa Vehiculo]],Impuestos44[[#This Row],[Vales]])</f>
        <v>BYS-8541 Vales</v>
      </c>
      <c r="D63" s="36" t="s">
        <v>167</v>
      </c>
      <c r="E63" s="37" t="s">
        <v>569</v>
      </c>
      <c r="F63" s="36">
        <v>2025</v>
      </c>
      <c r="G63" s="38">
        <v>359.63</v>
      </c>
      <c r="H63" s="39">
        <v>45698</v>
      </c>
      <c r="I63">
        <f>IF(Impuestos44[[#This Row],[Fecha]]="","",MONTH(Impuestos44[[#This Row],[Fecha]]))</f>
        <v>2</v>
      </c>
      <c r="J63" s="40" t="s">
        <v>570</v>
      </c>
      <c r="K63" s="40" t="s">
        <v>37</v>
      </c>
      <c r="L63" t="s">
        <v>571</v>
      </c>
      <c r="M63" s="30" t="s">
        <v>48</v>
      </c>
      <c r="N63" s="30" t="s">
        <v>572</v>
      </c>
      <c r="O63" s="30" t="str">
        <f>IFERROR(VLOOKUP(Impuestos44[[#This Row],[Nro]],[4]Placas!$A:$D,4,0),"")</f>
        <v/>
      </c>
      <c r="S63"/>
    </row>
    <row r="64" spans="3:19" x14ac:dyDescent="0.3">
      <c r="C64" s="35" t="str">
        <f>CONCATENATE(Impuestos44[[#This Row],[Placa Vehiculo]],Impuestos44[[#This Row],[Vales]])</f>
        <v>BYS-8811 Vales</v>
      </c>
      <c r="D64" s="36" t="s">
        <v>168</v>
      </c>
      <c r="E64" s="37" t="s">
        <v>569</v>
      </c>
      <c r="F64" s="36">
        <v>2025</v>
      </c>
      <c r="G64" s="38">
        <v>359.63</v>
      </c>
      <c r="H64" s="39">
        <v>45698</v>
      </c>
      <c r="I64">
        <f>IF(Impuestos44[[#This Row],[Fecha]]="","",MONTH(Impuestos44[[#This Row],[Fecha]]))</f>
        <v>2</v>
      </c>
      <c r="J64" s="40" t="s">
        <v>570</v>
      </c>
      <c r="K64" s="40" t="s">
        <v>37</v>
      </c>
      <c r="L64" t="s">
        <v>571</v>
      </c>
      <c r="M64" s="30" t="s">
        <v>48</v>
      </c>
      <c r="N64" s="30" t="s">
        <v>572</v>
      </c>
      <c r="O64" s="30" t="str">
        <f>IFERROR(VLOOKUP(Impuestos44[[#This Row],[Nro]],[4]Placas!$A:$D,4,0),"")</f>
        <v/>
      </c>
      <c r="S64"/>
    </row>
    <row r="65" spans="3:19" x14ac:dyDescent="0.3">
      <c r="C65" s="35" t="str">
        <f>CONCATENATE(Impuestos44[[#This Row],[Placa Vehiculo]],Impuestos44[[#This Row],[Vales]])</f>
        <v>BYS-8861 Vales</v>
      </c>
      <c r="D65" s="36" t="s">
        <v>169</v>
      </c>
      <c r="E65" s="37" t="s">
        <v>569</v>
      </c>
      <c r="F65" s="36">
        <v>2025</v>
      </c>
      <c r="G65" s="38">
        <v>359.63</v>
      </c>
      <c r="H65" s="39">
        <v>45698</v>
      </c>
      <c r="I65">
        <f>IF(Impuestos44[[#This Row],[Fecha]]="","",MONTH(Impuestos44[[#This Row],[Fecha]]))</f>
        <v>2</v>
      </c>
      <c r="J65" s="40" t="s">
        <v>570</v>
      </c>
      <c r="K65" s="40" t="s">
        <v>37</v>
      </c>
      <c r="L65" t="s">
        <v>571</v>
      </c>
      <c r="M65" s="30" t="s">
        <v>48</v>
      </c>
      <c r="N65" s="30" t="s">
        <v>572</v>
      </c>
      <c r="O65" s="30" t="str">
        <f>IFERROR(VLOOKUP(Impuestos44[[#This Row],[Nro]],[4]Placas!$A:$D,4,0),"")</f>
        <v/>
      </c>
      <c r="S65"/>
    </row>
    <row r="66" spans="3:19" x14ac:dyDescent="0.3">
      <c r="C66" s="35" t="str">
        <f>CONCATENATE(Impuestos44[[#This Row],[Placa Vehiculo]],Impuestos44[[#This Row],[Vales]])</f>
        <v>BYS-8881 Vales</v>
      </c>
      <c r="D66" s="36" t="s">
        <v>170</v>
      </c>
      <c r="E66" s="37" t="s">
        <v>569</v>
      </c>
      <c r="F66" s="36">
        <v>2025</v>
      </c>
      <c r="G66" s="38">
        <v>359.63</v>
      </c>
      <c r="H66" s="39">
        <v>45698</v>
      </c>
      <c r="I66">
        <f>IF(Impuestos44[[#This Row],[Fecha]]="","",MONTH(Impuestos44[[#This Row],[Fecha]]))</f>
        <v>2</v>
      </c>
      <c r="J66" s="40" t="s">
        <v>570</v>
      </c>
      <c r="K66" s="40" t="s">
        <v>37</v>
      </c>
      <c r="L66" t="s">
        <v>571</v>
      </c>
      <c r="M66" s="30" t="s">
        <v>48</v>
      </c>
      <c r="N66" s="30" t="s">
        <v>572</v>
      </c>
      <c r="O66" s="30" t="str">
        <f>IFERROR(VLOOKUP(Impuestos44[[#This Row],[Nro]],[4]Placas!$A:$D,4,0),"")</f>
        <v/>
      </c>
      <c r="S66"/>
    </row>
    <row r="67" spans="3:19" x14ac:dyDescent="0.3">
      <c r="C67" s="35" t="str">
        <f>CONCATENATE(Impuestos44[[#This Row],[Placa Vehiculo]],Impuestos44[[#This Row],[Vales]])</f>
        <v>BZJ-8501 Vales</v>
      </c>
      <c r="D67" s="36" t="s">
        <v>118</v>
      </c>
      <c r="E67" s="37" t="s">
        <v>569</v>
      </c>
      <c r="F67" s="36">
        <v>2025</v>
      </c>
      <c r="G67" s="38">
        <v>709.23</v>
      </c>
      <c r="H67" s="39">
        <v>45698</v>
      </c>
      <c r="I67">
        <f>IF(Impuestos44[[#This Row],[Fecha]]="","",MONTH(Impuestos44[[#This Row],[Fecha]]))</f>
        <v>2</v>
      </c>
      <c r="J67" s="40" t="s">
        <v>570</v>
      </c>
      <c r="K67" s="40" t="s">
        <v>37</v>
      </c>
      <c r="L67" t="s">
        <v>571</v>
      </c>
      <c r="M67" s="30" t="s">
        <v>40</v>
      </c>
      <c r="N67" s="30" t="s">
        <v>572</v>
      </c>
      <c r="O67" s="30" t="str">
        <f>IFERROR(VLOOKUP(Impuestos44[[#This Row],[Nro]],[4]Placas!$A:$D,4,0),"")</f>
        <v>1 Vales Caja 2025021346.pdf</v>
      </c>
      <c r="S67"/>
    </row>
    <row r="68" spans="3:19" x14ac:dyDescent="0.3">
      <c r="C68" s="35" t="str">
        <f>CONCATENATE(Impuestos44[[#This Row],[Placa Vehiculo]],Impuestos44[[#This Row],[Vales]])</f>
        <v>BZJ-8531 Vales</v>
      </c>
      <c r="D68" s="36" t="s">
        <v>120</v>
      </c>
      <c r="E68" s="37" t="s">
        <v>569</v>
      </c>
      <c r="F68" s="36">
        <v>2025</v>
      </c>
      <c r="G68" s="38">
        <v>709.23</v>
      </c>
      <c r="H68" s="39">
        <v>45698</v>
      </c>
      <c r="I68">
        <f>IF(Impuestos44[[#This Row],[Fecha]]="","",MONTH(Impuestos44[[#This Row],[Fecha]]))</f>
        <v>2</v>
      </c>
      <c r="J68" s="40" t="s">
        <v>570</v>
      </c>
      <c r="K68" s="40" t="s">
        <v>37</v>
      </c>
      <c r="L68" t="s">
        <v>571</v>
      </c>
      <c r="M68" s="30" t="s">
        <v>40</v>
      </c>
      <c r="N68" s="30" t="s">
        <v>572</v>
      </c>
      <c r="O68" s="30" t="str">
        <f>IFERROR(VLOOKUP(Impuestos44[[#This Row],[Nro]],[4]Placas!$A:$D,4,0),"")</f>
        <v>1 Vales Caja 2025021346.pdf</v>
      </c>
      <c r="S68"/>
    </row>
    <row r="69" spans="3:19" x14ac:dyDescent="0.3">
      <c r="C69" s="35" t="str">
        <f>CONCATENATE(Impuestos44[[#This Row],[Placa Vehiculo]],Impuestos44[[#This Row],[Vales]])</f>
        <v>BZJ-8851 Vales</v>
      </c>
      <c r="D69" s="36" t="s">
        <v>121</v>
      </c>
      <c r="E69" s="37" t="s">
        <v>569</v>
      </c>
      <c r="F69" s="36">
        <v>2025</v>
      </c>
      <c r="G69" s="38">
        <v>709.23</v>
      </c>
      <c r="H69" s="39">
        <v>45698</v>
      </c>
      <c r="I69">
        <f>IF(Impuestos44[[#This Row],[Fecha]]="","",MONTH(Impuestos44[[#This Row],[Fecha]]))</f>
        <v>2</v>
      </c>
      <c r="J69" s="40" t="s">
        <v>570</v>
      </c>
      <c r="K69" s="40" t="s">
        <v>37</v>
      </c>
      <c r="L69" t="s">
        <v>571</v>
      </c>
      <c r="M69" s="30" t="s">
        <v>40</v>
      </c>
      <c r="N69" s="30" t="s">
        <v>572</v>
      </c>
      <c r="O69" s="30" t="str">
        <f>IFERROR(VLOOKUP(Impuestos44[[#This Row],[Nro]],[4]Placas!$A:$D,4,0),"")</f>
        <v>1 Vales Caja 2025021346.pdf</v>
      </c>
      <c r="S69"/>
    </row>
    <row r="70" spans="3:19" x14ac:dyDescent="0.3">
      <c r="C70" s="35" t="str">
        <f>CONCATENATE(Impuestos44[[#This Row],[Placa Vehiculo]],Impuestos44[[#This Row],[Vales]])</f>
        <v>BZK-7091 Vales</v>
      </c>
      <c r="D70" s="36" t="s">
        <v>122</v>
      </c>
      <c r="E70" s="37" t="s">
        <v>569</v>
      </c>
      <c r="F70" s="36">
        <v>2025</v>
      </c>
      <c r="G70" s="38">
        <v>709.23</v>
      </c>
      <c r="H70" s="39">
        <v>45698</v>
      </c>
      <c r="I70">
        <f>IF(Impuestos44[[#This Row],[Fecha]]="","",MONTH(Impuestos44[[#This Row],[Fecha]]))</f>
        <v>2</v>
      </c>
      <c r="J70" s="40" t="s">
        <v>570</v>
      </c>
      <c r="K70" s="40" t="s">
        <v>37</v>
      </c>
      <c r="L70" t="s">
        <v>571</v>
      </c>
      <c r="M70" s="30" t="s">
        <v>40</v>
      </c>
      <c r="N70" s="30" t="s">
        <v>572</v>
      </c>
      <c r="O70" s="30" t="str">
        <f>IFERROR(VLOOKUP(Impuestos44[[#This Row],[Nro]],[4]Placas!$A:$D,4,0),"")</f>
        <v>1 Vales Caja 2025021346.pdf</v>
      </c>
      <c r="S70"/>
    </row>
    <row r="71" spans="3:19" x14ac:dyDescent="0.3">
      <c r="C71" s="35" t="str">
        <f>CONCATENATE(Impuestos44[[#This Row],[Placa Vehiculo]],Impuestos44[[#This Row],[Vales]])</f>
        <v>BZK-7121 Vales</v>
      </c>
      <c r="D71" s="36" t="s">
        <v>123</v>
      </c>
      <c r="E71" s="37" t="s">
        <v>569</v>
      </c>
      <c r="F71" s="36">
        <v>2025</v>
      </c>
      <c r="G71" s="38">
        <v>709.23</v>
      </c>
      <c r="H71" s="39">
        <v>45698</v>
      </c>
      <c r="I71">
        <f>IF(Impuestos44[[#This Row],[Fecha]]="","",MONTH(Impuestos44[[#This Row],[Fecha]]))</f>
        <v>2</v>
      </c>
      <c r="J71" s="40" t="s">
        <v>570</v>
      </c>
      <c r="K71" s="40" t="s">
        <v>37</v>
      </c>
      <c r="L71" t="s">
        <v>571</v>
      </c>
      <c r="M71" s="30" t="s">
        <v>40</v>
      </c>
      <c r="N71" s="30" t="s">
        <v>572</v>
      </c>
      <c r="O71" s="30" t="str">
        <f>IFERROR(VLOOKUP(Impuestos44[[#This Row],[Nro]],[4]Placas!$A:$D,4,0),"")</f>
        <v>1 Vales Caja 2025021346.pdf</v>
      </c>
      <c r="S71"/>
    </row>
    <row r="72" spans="3:19" x14ac:dyDescent="0.3">
      <c r="C72" s="35" t="str">
        <f>CONCATENATE(Impuestos44[[#This Row],[Placa Vehiculo]],Impuestos44[[#This Row],[Vales]])</f>
        <v>BZK-7131 Vales</v>
      </c>
      <c r="D72" s="36" t="s">
        <v>124</v>
      </c>
      <c r="E72" s="37" t="s">
        <v>569</v>
      </c>
      <c r="F72" s="36">
        <v>2025</v>
      </c>
      <c r="G72" s="38">
        <v>709.23</v>
      </c>
      <c r="H72" s="39">
        <v>45698</v>
      </c>
      <c r="I72">
        <f>IF(Impuestos44[[#This Row],[Fecha]]="","",MONTH(Impuestos44[[#This Row],[Fecha]]))</f>
        <v>2</v>
      </c>
      <c r="J72" s="40" t="s">
        <v>570</v>
      </c>
      <c r="K72" s="40" t="s">
        <v>37</v>
      </c>
      <c r="L72" t="s">
        <v>571</v>
      </c>
      <c r="M72" s="30" t="s">
        <v>40</v>
      </c>
      <c r="N72" s="30" t="s">
        <v>572</v>
      </c>
      <c r="O72" s="30" t="str">
        <f>IFERROR(VLOOKUP(Impuestos44[[#This Row],[Nro]],[4]Placas!$A:$D,4,0),"")</f>
        <v>1 Vales Caja 2025021346.pdf</v>
      </c>
      <c r="S72"/>
    </row>
    <row r="73" spans="3:19" x14ac:dyDescent="0.3">
      <c r="C73" s="35" t="str">
        <f>CONCATENATE(Impuestos44[[#This Row],[Placa Vehiculo]],Impuestos44[[#This Row],[Vales]])</f>
        <v>BZO-8881 Vales</v>
      </c>
      <c r="D73" s="36" t="s">
        <v>125</v>
      </c>
      <c r="E73" s="37" t="s">
        <v>569</v>
      </c>
      <c r="F73" s="36">
        <v>2025</v>
      </c>
      <c r="G73" s="38">
        <v>709.23</v>
      </c>
      <c r="H73" s="39">
        <v>45698</v>
      </c>
      <c r="I73">
        <f>IF(Impuestos44[[#This Row],[Fecha]]="","",MONTH(Impuestos44[[#This Row],[Fecha]]))</f>
        <v>2</v>
      </c>
      <c r="J73" s="40" t="s">
        <v>570</v>
      </c>
      <c r="K73" s="40" t="s">
        <v>37</v>
      </c>
      <c r="L73" t="s">
        <v>571</v>
      </c>
      <c r="M73" s="30" t="s">
        <v>40</v>
      </c>
      <c r="N73" s="30" t="s">
        <v>572</v>
      </c>
      <c r="O73" s="30" t="str">
        <f>IFERROR(VLOOKUP(Impuestos44[[#This Row],[Nro]],[4]Placas!$A:$D,4,0),"")</f>
        <v>1 Vales Caja 2025021346.pdf</v>
      </c>
      <c r="S73"/>
    </row>
    <row r="74" spans="3:19" x14ac:dyDescent="0.3">
      <c r="C74" s="35" t="str">
        <f>CONCATENATE(Impuestos44[[#This Row],[Placa Vehiculo]],Impuestos44[[#This Row],[Vales]])</f>
        <v>BZK-7981 Vales</v>
      </c>
      <c r="D74" s="36" t="s">
        <v>126</v>
      </c>
      <c r="E74" s="37" t="s">
        <v>569</v>
      </c>
      <c r="F74" s="36">
        <v>2025</v>
      </c>
      <c r="G74" s="38">
        <v>709.23</v>
      </c>
      <c r="H74" s="39">
        <v>45698</v>
      </c>
      <c r="I74">
        <f>IF(Impuestos44[[#This Row],[Fecha]]="","",MONTH(Impuestos44[[#This Row],[Fecha]]))</f>
        <v>2</v>
      </c>
      <c r="J74" s="40" t="s">
        <v>570</v>
      </c>
      <c r="K74" s="40" t="s">
        <v>37</v>
      </c>
      <c r="L74" t="s">
        <v>571</v>
      </c>
      <c r="M74" s="30" t="s">
        <v>40</v>
      </c>
      <c r="N74" s="30" t="s">
        <v>572</v>
      </c>
      <c r="O74" s="30" t="str">
        <f>IFERROR(VLOOKUP(Impuestos44[[#This Row],[Nro]],[4]Placas!$A:$D,4,0),"")</f>
        <v>1 Vales Caja 2025021346.pdf</v>
      </c>
      <c r="S74"/>
    </row>
    <row r="75" spans="3:19" x14ac:dyDescent="0.3">
      <c r="C75" s="35" t="str">
        <f>CONCATENATE(Impuestos44[[#This Row],[Placa Vehiculo]],Impuestos44[[#This Row],[Vales]])</f>
        <v>BZO-7991 Vales</v>
      </c>
      <c r="D75" s="36" t="s">
        <v>127</v>
      </c>
      <c r="E75" s="37" t="s">
        <v>569</v>
      </c>
      <c r="F75" s="36">
        <v>2025</v>
      </c>
      <c r="G75" s="38">
        <v>709.23</v>
      </c>
      <c r="H75" s="39">
        <v>45698</v>
      </c>
      <c r="I75">
        <f>IF(Impuestos44[[#This Row],[Fecha]]="","",MONTH(Impuestos44[[#This Row],[Fecha]]))</f>
        <v>2</v>
      </c>
      <c r="J75" s="40" t="s">
        <v>570</v>
      </c>
      <c r="K75" s="40" t="s">
        <v>37</v>
      </c>
      <c r="L75" t="s">
        <v>571</v>
      </c>
      <c r="M75" s="30" t="s">
        <v>40</v>
      </c>
      <c r="N75" s="30" t="s">
        <v>572</v>
      </c>
      <c r="O75" s="30" t="str">
        <f>IFERROR(VLOOKUP(Impuestos44[[#This Row],[Nro]],[4]Placas!$A:$D,4,0),"")</f>
        <v>1 Vales Caja 2025021346.pdf</v>
      </c>
      <c r="S75"/>
    </row>
    <row r="76" spans="3:19" x14ac:dyDescent="0.3">
      <c r="C76" s="35" t="str">
        <f>CONCATENATE(Impuestos44[[#This Row],[Placa Vehiculo]],Impuestos44[[#This Row],[Vales]])</f>
        <v>BZO-7551 Vales</v>
      </c>
      <c r="D76" s="36" t="s">
        <v>128</v>
      </c>
      <c r="E76" s="37" t="s">
        <v>569</v>
      </c>
      <c r="F76" s="36">
        <v>2025</v>
      </c>
      <c r="G76" s="38">
        <v>709.23</v>
      </c>
      <c r="H76" s="39">
        <v>45698</v>
      </c>
      <c r="I76">
        <f>IF(Impuestos44[[#This Row],[Fecha]]="","",MONTH(Impuestos44[[#This Row],[Fecha]]))</f>
        <v>2</v>
      </c>
      <c r="J76" s="40" t="s">
        <v>570</v>
      </c>
      <c r="K76" s="40" t="s">
        <v>37</v>
      </c>
      <c r="L76" t="s">
        <v>571</v>
      </c>
      <c r="M76" s="30" t="s">
        <v>40</v>
      </c>
      <c r="N76" s="30" t="s">
        <v>572</v>
      </c>
      <c r="O76" s="30" t="str">
        <f>IFERROR(VLOOKUP(Impuestos44[[#This Row],[Nro]],[4]Placas!$A:$D,4,0),"")</f>
        <v>1 Vales Caja 2025021346.pdf</v>
      </c>
      <c r="S76"/>
    </row>
    <row r="77" spans="3:19" x14ac:dyDescent="0.3">
      <c r="C77" s="35" t="str">
        <f>CONCATENATE(Impuestos44[[#This Row],[Placa Vehiculo]],Impuestos44[[#This Row],[Vales]])</f>
        <v>BZO-9371 Vales</v>
      </c>
      <c r="D77" s="36" t="s">
        <v>129</v>
      </c>
      <c r="E77" s="37" t="s">
        <v>569</v>
      </c>
      <c r="F77" s="36">
        <v>2025</v>
      </c>
      <c r="G77" s="38">
        <v>709.23</v>
      </c>
      <c r="H77" s="39">
        <v>45698</v>
      </c>
      <c r="I77">
        <f>IF(Impuestos44[[#This Row],[Fecha]]="","",MONTH(Impuestos44[[#This Row],[Fecha]]))</f>
        <v>2</v>
      </c>
      <c r="J77" s="40" t="s">
        <v>570</v>
      </c>
      <c r="K77" s="40" t="s">
        <v>37</v>
      </c>
      <c r="L77" t="s">
        <v>571</v>
      </c>
      <c r="M77" s="30" t="s">
        <v>40</v>
      </c>
      <c r="N77" s="30" t="s">
        <v>572</v>
      </c>
      <c r="O77" s="30" t="str">
        <f>IFERROR(VLOOKUP(Impuestos44[[#This Row],[Nro]],[4]Placas!$A:$D,4,0),"")</f>
        <v>1 Vales Caja 2025021346.pdf</v>
      </c>
      <c r="S77"/>
    </row>
    <row r="78" spans="3:19" x14ac:dyDescent="0.3">
      <c r="C78" s="35" t="str">
        <f>CONCATENATE(Impuestos44[[#This Row],[Placa Vehiculo]],Impuestos44[[#This Row],[Vales]])</f>
        <v>BZT-7251 Vales</v>
      </c>
      <c r="D78" s="36" t="s">
        <v>130</v>
      </c>
      <c r="E78" s="37" t="s">
        <v>569</v>
      </c>
      <c r="F78" s="36">
        <v>2025</v>
      </c>
      <c r="G78" s="38">
        <v>709.23</v>
      </c>
      <c r="H78" s="39">
        <v>45698</v>
      </c>
      <c r="I78">
        <f>IF(Impuestos44[[#This Row],[Fecha]]="","",MONTH(Impuestos44[[#This Row],[Fecha]]))</f>
        <v>2</v>
      </c>
      <c r="J78" s="40" t="s">
        <v>570</v>
      </c>
      <c r="K78" s="40" t="s">
        <v>37</v>
      </c>
      <c r="L78" t="s">
        <v>571</v>
      </c>
      <c r="M78" s="30" t="s">
        <v>40</v>
      </c>
      <c r="N78" s="30" t="s">
        <v>572</v>
      </c>
      <c r="O78" s="30" t="str">
        <f>IFERROR(VLOOKUP(Impuestos44[[#This Row],[Nro]],[4]Placas!$A:$D,4,0),"")</f>
        <v>1 Vales Caja 2025021346.pdf</v>
      </c>
      <c r="S78"/>
    </row>
    <row r="79" spans="3:19" x14ac:dyDescent="0.3">
      <c r="C79" s="35" t="str">
        <f>CONCATENATE(Impuestos44[[#This Row],[Placa Vehiculo]],Impuestos44[[#This Row],[Vales]])</f>
        <v>CNK-5331 Vales</v>
      </c>
      <c r="D79" s="36" t="s">
        <v>101</v>
      </c>
      <c r="E79" s="37" t="s">
        <v>569</v>
      </c>
      <c r="F79" s="36">
        <v>2025</v>
      </c>
      <c r="G79" s="38">
        <v>353.48</v>
      </c>
      <c r="H79" s="39">
        <v>45699</v>
      </c>
      <c r="I79">
        <f>IF(Impuestos44[[#This Row],[Fecha]]="","",MONTH(Impuestos44[[#This Row],[Fecha]]))</f>
        <v>2</v>
      </c>
      <c r="J79" s="40" t="s">
        <v>570</v>
      </c>
      <c r="K79" s="40" t="s">
        <v>37</v>
      </c>
      <c r="L79" t="s">
        <v>571</v>
      </c>
      <c r="M79" s="30" t="s">
        <v>54</v>
      </c>
      <c r="N79" s="30" t="s">
        <v>572</v>
      </c>
      <c r="O79" s="30" t="str">
        <f>IFERROR(VLOOKUP(Impuestos44[[#This Row],[Nro]],[4]Placas!$A:$D,4,0),"")</f>
        <v>1 Vales Caja 2025021353.pdf</v>
      </c>
      <c r="S79"/>
    </row>
    <row r="80" spans="3:19" x14ac:dyDescent="0.3">
      <c r="C80" s="35" t="str">
        <f>CONCATENATE(Impuestos44[[#This Row],[Placa Vehiculo]],Impuestos44[[#This Row],[Vales]])</f>
        <v>CAT-9471 Vales</v>
      </c>
      <c r="D80" s="36" t="s">
        <v>62</v>
      </c>
      <c r="E80" s="37" t="s">
        <v>569</v>
      </c>
      <c r="F80" s="36">
        <v>2025</v>
      </c>
      <c r="G80" s="38">
        <v>321.39999999999998</v>
      </c>
      <c r="H80" s="39">
        <v>45699</v>
      </c>
      <c r="I80">
        <f>IF(Impuestos44[[#This Row],[Fecha]]="","",MONTH(Impuestos44[[#This Row],[Fecha]]))</f>
        <v>2</v>
      </c>
      <c r="J80" s="40" t="s">
        <v>570</v>
      </c>
      <c r="K80" s="40" t="s">
        <v>37</v>
      </c>
      <c r="L80" t="s">
        <v>571</v>
      </c>
      <c r="M80" s="30" t="s">
        <v>58</v>
      </c>
      <c r="N80" s="30" t="s">
        <v>572</v>
      </c>
      <c r="O80" s="30" t="str">
        <f>IFERROR(VLOOKUP(Impuestos44[[#This Row],[Nro]],[4]Placas!$A:$D,4,0),"")</f>
        <v>1 Vales Caja 2025021360.pdf</v>
      </c>
      <c r="S80"/>
    </row>
    <row r="81" spans="3:19" x14ac:dyDescent="0.3">
      <c r="C81" s="35" t="str">
        <f>CONCATENATE(Impuestos44[[#This Row],[Placa Vehiculo]],Impuestos44[[#This Row],[Vales]])</f>
        <v>CAU-7451 Vales</v>
      </c>
      <c r="D81" s="36" t="s">
        <v>63</v>
      </c>
      <c r="E81" s="37" t="s">
        <v>569</v>
      </c>
      <c r="F81" s="36">
        <v>2025</v>
      </c>
      <c r="G81" s="38">
        <v>321.39999999999998</v>
      </c>
      <c r="H81" s="39">
        <v>45699</v>
      </c>
      <c r="I81">
        <f>IF(Impuestos44[[#This Row],[Fecha]]="","",MONTH(Impuestos44[[#This Row],[Fecha]]))</f>
        <v>2</v>
      </c>
      <c r="J81" s="40" t="s">
        <v>570</v>
      </c>
      <c r="K81" s="40" t="s">
        <v>37</v>
      </c>
      <c r="L81" t="s">
        <v>571</v>
      </c>
      <c r="M81" s="30" t="s">
        <v>58</v>
      </c>
      <c r="N81" s="30" t="s">
        <v>572</v>
      </c>
      <c r="O81" s="30" t="str">
        <f>IFERROR(VLOOKUP(Impuestos44[[#This Row],[Nro]],[4]Placas!$A:$D,4,0),"")</f>
        <v>1 Vales Caja 2025021360.pdf</v>
      </c>
      <c r="S81"/>
    </row>
    <row r="82" spans="3:19" x14ac:dyDescent="0.3">
      <c r="C82" s="35" t="str">
        <f>CONCATENATE(Impuestos44[[#This Row],[Placa Vehiculo]],Impuestos44[[#This Row],[Vales]])</f>
        <v>CAT-9361 Vales</v>
      </c>
      <c r="D82" s="36" t="s">
        <v>64</v>
      </c>
      <c r="E82" s="37" t="s">
        <v>569</v>
      </c>
      <c r="F82" s="36">
        <v>2025</v>
      </c>
      <c r="G82" s="38">
        <v>321.39999999999998</v>
      </c>
      <c r="H82" s="39">
        <v>45698</v>
      </c>
      <c r="I82">
        <f>IF(Impuestos44[[#This Row],[Fecha]]="","",MONTH(Impuestos44[[#This Row],[Fecha]]))</f>
        <v>2</v>
      </c>
      <c r="J82" s="40" t="s">
        <v>570</v>
      </c>
      <c r="K82" s="40" t="s">
        <v>37</v>
      </c>
      <c r="L82" t="s">
        <v>571</v>
      </c>
      <c r="M82" s="30" t="s">
        <v>58</v>
      </c>
      <c r="N82" s="30" t="s">
        <v>572</v>
      </c>
      <c r="O82" s="30" t="str">
        <f>IFERROR(VLOOKUP(Impuestos44[[#This Row],[Nro]],[4]Placas!$A:$D,4,0),"")</f>
        <v>1 Vales Caja 2025021360.pdf</v>
      </c>
      <c r="S82"/>
    </row>
    <row r="83" spans="3:19" x14ac:dyDescent="0.3">
      <c r="C83" s="35" t="str">
        <f>CONCATENATE(Impuestos44[[#This Row],[Placa Vehiculo]],Impuestos44[[#This Row],[Vales]])</f>
        <v>CNK-6151 Vales</v>
      </c>
      <c r="D83" s="36" t="s">
        <v>85</v>
      </c>
      <c r="E83" s="37" t="s">
        <v>569</v>
      </c>
      <c r="F83" s="36">
        <v>2025</v>
      </c>
      <c r="G83" s="38">
        <v>328.04</v>
      </c>
      <c r="H83" s="39">
        <v>45698</v>
      </c>
      <c r="I83">
        <f>IF(Impuestos44[[#This Row],[Fecha]]="","",MONTH(Impuestos44[[#This Row],[Fecha]]))</f>
        <v>2</v>
      </c>
      <c r="J83" s="40" t="s">
        <v>570</v>
      </c>
      <c r="K83" s="40" t="s">
        <v>37</v>
      </c>
      <c r="L83" t="s">
        <v>571</v>
      </c>
      <c r="M83" s="30" t="s">
        <v>54</v>
      </c>
      <c r="N83" s="30" t="s">
        <v>572</v>
      </c>
      <c r="O83" s="30" t="str">
        <f>IFERROR(VLOOKUP(Impuestos44[[#This Row],[Nro]],[4]Placas!$A:$D,4,0),"")</f>
        <v>1 Vales Caja 2025021352.pdf</v>
      </c>
      <c r="S83"/>
    </row>
    <row r="84" spans="3:19" x14ac:dyDescent="0.3">
      <c r="C84" s="35" t="str">
        <f>CONCATENATE(Impuestos44[[#This Row],[Placa Vehiculo]],Impuestos44[[#This Row],[Vales]])</f>
        <v>CNL-6891 Vales</v>
      </c>
      <c r="D84" s="36" t="s">
        <v>102</v>
      </c>
      <c r="E84" s="37" t="s">
        <v>569</v>
      </c>
      <c r="F84" s="36">
        <v>2025</v>
      </c>
      <c r="G84" s="38">
        <v>353.48</v>
      </c>
      <c r="H84" s="39">
        <v>45699</v>
      </c>
      <c r="I84">
        <f>IF(Impuestos44[[#This Row],[Fecha]]="","",MONTH(Impuestos44[[#This Row],[Fecha]]))</f>
        <v>2</v>
      </c>
      <c r="J84" s="40" t="s">
        <v>570</v>
      </c>
      <c r="K84" s="40" t="s">
        <v>37</v>
      </c>
      <c r="L84" t="s">
        <v>571</v>
      </c>
      <c r="M84" s="30" t="s">
        <v>54</v>
      </c>
      <c r="N84" s="30" t="s">
        <v>572</v>
      </c>
      <c r="O84" s="30" t="str">
        <f>IFERROR(VLOOKUP(Impuestos44[[#This Row],[Nro]],[4]Placas!$A:$D,4,0),"")</f>
        <v>1 Vales Caja 2025021353.pdf</v>
      </c>
      <c r="S84"/>
    </row>
    <row r="85" spans="3:19" x14ac:dyDescent="0.3">
      <c r="C85" s="35" t="str">
        <f>CONCATENATE(Impuestos44[[#This Row],[Placa Vehiculo]],Impuestos44[[#This Row],[Vales]])</f>
        <v>CNK-5041 Vales</v>
      </c>
      <c r="D85" s="36" t="s">
        <v>86</v>
      </c>
      <c r="E85" s="37" t="s">
        <v>569</v>
      </c>
      <c r="F85" s="36">
        <v>2025</v>
      </c>
      <c r="G85" s="38">
        <v>328.04</v>
      </c>
      <c r="H85" s="39">
        <v>45698</v>
      </c>
      <c r="I85">
        <f>IF(Impuestos44[[#This Row],[Fecha]]="","",MONTH(Impuestos44[[#This Row],[Fecha]]))</f>
        <v>2</v>
      </c>
      <c r="J85" s="40" t="s">
        <v>570</v>
      </c>
      <c r="K85" s="40" t="s">
        <v>37</v>
      </c>
      <c r="L85" t="s">
        <v>571</v>
      </c>
      <c r="M85" s="30" t="s">
        <v>54</v>
      </c>
      <c r="N85" s="30" t="s">
        <v>572</v>
      </c>
      <c r="O85" s="30" t="str">
        <f>IFERROR(VLOOKUP(Impuestos44[[#This Row],[Nro]],[4]Placas!$A:$D,4,0),"")</f>
        <v>1 Vales Caja 2025021352.pdf</v>
      </c>
      <c r="S85"/>
    </row>
    <row r="86" spans="3:19" x14ac:dyDescent="0.3">
      <c r="C86" s="35" t="str">
        <f>CONCATENATE(Impuestos44[[#This Row],[Placa Vehiculo]],Impuestos44[[#This Row],[Vales]])</f>
        <v>CNK-6441 Vales</v>
      </c>
      <c r="D86" s="36" t="s">
        <v>87</v>
      </c>
      <c r="E86" s="37" t="s">
        <v>569</v>
      </c>
      <c r="F86" s="36">
        <v>2025</v>
      </c>
      <c r="G86" s="38">
        <v>328.04</v>
      </c>
      <c r="H86" s="39">
        <v>45698</v>
      </c>
      <c r="I86">
        <f>IF(Impuestos44[[#This Row],[Fecha]]="","",MONTH(Impuestos44[[#This Row],[Fecha]]))</f>
        <v>2</v>
      </c>
      <c r="J86" s="40" t="s">
        <v>570</v>
      </c>
      <c r="K86" s="40" t="s">
        <v>37</v>
      </c>
      <c r="L86" t="s">
        <v>571</v>
      </c>
      <c r="M86" s="30" t="s">
        <v>54</v>
      </c>
      <c r="N86" s="30" t="s">
        <v>572</v>
      </c>
      <c r="O86" s="30" t="str">
        <f>IFERROR(VLOOKUP(Impuestos44[[#This Row],[Nro]],[4]Placas!$A:$D,4,0),"")</f>
        <v>1 Vales Caja 2025021352.pdf</v>
      </c>
      <c r="S86"/>
    </row>
    <row r="87" spans="3:19" x14ac:dyDescent="0.3">
      <c r="C87" s="35" t="str">
        <f>CONCATENATE(Impuestos44[[#This Row],[Placa Vehiculo]],Impuestos44[[#This Row],[Vales]])</f>
        <v>CNK-6901 Vales</v>
      </c>
      <c r="D87" s="36" t="s">
        <v>103</v>
      </c>
      <c r="E87" s="37" t="s">
        <v>569</v>
      </c>
      <c r="F87" s="36">
        <v>2025</v>
      </c>
      <c r="G87" s="38">
        <v>353.48</v>
      </c>
      <c r="H87" s="39">
        <v>45699</v>
      </c>
      <c r="I87">
        <f>IF(Impuestos44[[#This Row],[Fecha]]="","",MONTH(Impuestos44[[#This Row],[Fecha]]))</f>
        <v>2</v>
      </c>
      <c r="J87" s="40" t="s">
        <v>570</v>
      </c>
      <c r="K87" s="40" t="s">
        <v>37</v>
      </c>
      <c r="L87" t="s">
        <v>571</v>
      </c>
      <c r="M87" s="30" t="s">
        <v>54</v>
      </c>
      <c r="N87" s="30" t="s">
        <v>572</v>
      </c>
      <c r="O87" s="30" t="str">
        <f>IFERROR(VLOOKUP(Impuestos44[[#This Row],[Nro]],[4]Placas!$A:$D,4,0),"")</f>
        <v>1 Vales Caja 2025021353.pdf</v>
      </c>
      <c r="S87"/>
    </row>
    <row r="88" spans="3:19" x14ac:dyDescent="0.3">
      <c r="C88" s="35" t="str">
        <f>CONCATENATE(Impuestos44[[#This Row],[Placa Vehiculo]],Impuestos44[[#This Row],[Vales]])</f>
        <v>CNL-1651 Vales</v>
      </c>
      <c r="D88" s="36" t="s">
        <v>88</v>
      </c>
      <c r="E88" s="37" t="s">
        <v>569</v>
      </c>
      <c r="F88" s="36">
        <v>2025</v>
      </c>
      <c r="G88" s="38">
        <v>328.04</v>
      </c>
      <c r="H88" s="39">
        <v>45698</v>
      </c>
      <c r="I88">
        <f>IF(Impuestos44[[#This Row],[Fecha]]="","",MONTH(Impuestos44[[#This Row],[Fecha]]))</f>
        <v>2</v>
      </c>
      <c r="J88" s="40" t="s">
        <v>570</v>
      </c>
      <c r="K88" s="40" t="s">
        <v>37</v>
      </c>
      <c r="L88" t="s">
        <v>571</v>
      </c>
      <c r="M88" s="30" t="s">
        <v>54</v>
      </c>
      <c r="N88" s="30" t="s">
        <v>572</v>
      </c>
      <c r="O88" s="30" t="str">
        <f>IFERROR(VLOOKUP(Impuestos44[[#This Row],[Nro]],[4]Placas!$A:$D,4,0),"")</f>
        <v>1 Vales Caja 2025021352.pdf</v>
      </c>
      <c r="S88"/>
    </row>
    <row r="89" spans="3:19" x14ac:dyDescent="0.3">
      <c r="C89" s="35" t="str">
        <f>CONCATENATE(Impuestos44[[#This Row],[Placa Vehiculo]],Impuestos44[[#This Row],[Vales]])</f>
        <v>CNL-0331 Vales</v>
      </c>
      <c r="D89" s="36" t="s">
        <v>89</v>
      </c>
      <c r="E89" s="37" t="s">
        <v>569</v>
      </c>
      <c r="F89" s="36">
        <v>2025</v>
      </c>
      <c r="G89" s="38">
        <v>328.04</v>
      </c>
      <c r="H89" s="39">
        <v>45698</v>
      </c>
      <c r="I89">
        <f>IF(Impuestos44[[#This Row],[Fecha]]="","",MONTH(Impuestos44[[#This Row],[Fecha]]))</f>
        <v>2</v>
      </c>
      <c r="J89" s="40" t="s">
        <v>570</v>
      </c>
      <c r="K89" s="40" t="s">
        <v>37</v>
      </c>
      <c r="L89" t="s">
        <v>571</v>
      </c>
      <c r="M89" s="30" t="s">
        <v>54</v>
      </c>
      <c r="N89" s="30" t="s">
        <v>572</v>
      </c>
      <c r="O89" s="30" t="str">
        <f>IFERROR(VLOOKUP(Impuestos44[[#This Row],[Nro]],[4]Placas!$A:$D,4,0),"")</f>
        <v>1 Vales Caja 2025021352.pdf</v>
      </c>
      <c r="S89"/>
    </row>
    <row r="90" spans="3:19" x14ac:dyDescent="0.3">
      <c r="C90" s="35" t="str">
        <f>CONCATENATE(Impuestos44[[#This Row],[Placa Vehiculo]],Impuestos44[[#This Row],[Vales]])</f>
        <v>CNL-0751 Vales</v>
      </c>
      <c r="D90" s="36" t="s">
        <v>90</v>
      </c>
      <c r="E90" s="37" t="s">
        <v>569</v>
      </c>
      <c r="F90" s="36">
        <v>2025</v>
      </c>
      <c r="G90" s="38">
        <v>328.04</v>
      </c>
      <c r="H90" s="39">
        <v>45698</v>
      </c>
      <c r="I90">
        <f>IF(Impuestos44[[#This Row],[Fecha]]="","",MONTH(Impuestos44[[#This Row],[Fecha]]))</f>
        <v>2</v>
      </c>
      <c r="J90" s="40" t="s">
        <v>570</v>
      </c>
      <c r="K90" s="40" t="s">
        <v>37</v>
      </c>
      <c r="L90" t="s">
        <v>571</v>
      </c>
      <c r="M90" s="30" t="s">
        <v>54</v>
      </c>
      <c r="N90" s="30" t="s">
        <v>572</v>
      </c>
      <c r="O90" s="30" t="str">
        <f>IFERROR(VLOOKUP(Impuestos44[[#This Row],[Nro]],[4]Placas!$A:$D,4,0),"")</f>
        <v>1 Vales Caja 2025021352.pdf</v>
      </c>
      <c r="S90"/>
    </row>
    <row r="91" spans="3:19" x14ac:dyDescent="0.3">
      <c r="C91" s="35" t="str">
        <f>CONCATENATE(Impuestos44[[#This Row],[Placa Vehiculo]],Impuestos44[[#This Row],[Vales]])</f>
        <v>CNL-4941 Vales</v>
      </c>
      <c r="D91" s="36" t="s">
        <v>104</v>
      </c>
      <c r="E91" s="37" t="s">
        <v>569</v>
      </c>
      <c r="F91" s="36">
        <v>2025</v>
      </c>
      <c r="G91" s="38">
        <v>353.48</v>
      </c>
      <c r="H91" s="39">
        <v>45699</v>
      </c>
      <c r="I91">
        <f>IF(Impuestos44[[#This Row],[Fecha]]="","",MONTH(Impuestos44[[#This Row],[Fecha]]))</f>
        <v>2</v>
      </c>
      <c r="J91" s="40" t="s">
        <v>570</v>
      </c>
      <c r="K91" s="40" t="s">
        <v>37</v>
      </c>
      <c r="L91" t="s">
        <v>571</v>
      </c>
      <c r="M91" s="30" t="s">
        <v>54</v>
      </c>
      <c r="N91" s="30" t="s">
        <v>572</v>
      </c>
      <c r="O91" s="30" t="str">
        <f>IFERROR(VLOOKUP(Impuestos44[[#This Row],[Nro]],[4]Placas!$A:$D,4,0),"")</f>
        <v>1 Vales Caja 2025021353.pdf</v>
      </c>
      <c r="S91"/>
    </row>
    <row r="92" spans="3:19" x14ac:dyDescent="0.3">
      <c r="C92" s="35" t="str">
        <f>CONCATENATE(Impuestos44[[#This Row],[Placa Vehiculo]],Impuestos44[[#This Row],[Vales]])</f>
        <v>CNL-0121 Vales</v>
      </c>
      <c r="D92" s="36" t="s">
        <v>105</v>
      </c>
      <c r="E92" s="37" t="s">
        <v>569</v>
      </c>
      <c r="F92" s="36">
        <v>2025</v>
      </c>
      <c r="G92" s="38">
        <v>353.48</v>
      </c>
      <c r="H92" s="39">
        <v>45699</v>
      </c>
      <c r="I92">
        <f>IF(Impuestos44[[#This Row],[Fecha]]="","",MONTH(Impuestos44[[#This Row],[Fecha]]))</f>
        <v>2</v>
      </c>
      <c r="J92" s="40" t="s">
        <v>570</v>
      </c>
      <c r="K92" s="40" t="s">
        <v>37</v>
      </c>
      <c r="L92" t="s">
        <v>571</v>
      </c>
      <c r="M92" s="30" t="s">
        <v>54</v>
      </c>
      <c r="N92" s="30" t="s">
        <v>572</v>
      </c>
      <c r="O92" s="30" t="str">
        <f>IFERROR(VLOOKUP(Impuestos44[[#This Row],[Nro]],[4]Placas!$A:$D,4,0),"")</f>
        <v>1 Vales Caja 2025021353.pdf</v>
      </c>
      <c r="S92"/>
    </row>
    <row r="93" spans="3:19" x14ac:dyDescent="0.3">
      <c r="C93" s="35" t="str">
        <f>CONCATENATE(Impuestos44[[#This Row],[Placa Vehiculo]],Impuestos44[[#This Row],[Vales]])</f>
        <v>CNK-6411 Vales</v>
      </c>
      <c r="D93" s="36" t="s">
        <v>106</v>
      </c>
      <c r="E93" s="37" t="s">
        <v>569</v>
      </c>
      <c r="F93" s="36">
        <v>2025</v>
      </c>
      <c r="G93" s="38">
        <v>353.48</v>
      </c>
      <c r="H93" s="39">
        <v>45699</v>
      </c>
      <c r="I93">
        <f>IF(Impuestos44[[#This Row],[Fecha]]="","",MONTH(Impuestos44[[#This Row],[Fecha]]))</f>
        <v>2</v>
      </c>
      <c r="J93" s="40" t="s">
        <v>570</v>
      </c>
      <c r="K93" s="40" t="s">
        <v>37</v>
      </c>
      <c r="L93" t="s">
        <v>571</v>
      </c>
      <c r="M93" s="30" t="s">
        <v>54</v>
      </c>
      <c r="N93" s="30" t="s">
        <v>572</v>
      </c>
      <c r="O93" s="30" t="str">
        <f>IFERROR(VLOOKUP(Impuestos44[[#This Row],[Nro]],[4]Placas!$A:$D,4,0),"")</f>
        <v>1 Vales Caja 2025021353.pdf</v>
      </c>
      <c r="S93"/>
    </row>
    <row r="94" spans="3:19" x14ac:dyDescent="0.3">
      <c r="C94" s="35" t="str">
        <f>CONCATENATE(Impuestos44[[#This Row],[Placa Vehiculo]],Impuestos44[[#This Row],[Vales]])</f>
        <v>CNK-6391 Vales</v>
      </c>
      <c r="D94" s="36" t="s">
        <v>107</v>
      </c>
      <c r="E94" s="37" t="s">
        <v>569</v>
      </c>
      <c r="F94" s="36">
        <v>2025</v>
      </c>
      <c r="G94" s="38">
        <v>353.48</v>
      </c>
      <c r="H94" s="39">
        <v>45699</v>
      </c>
      <c r="I94">
        <f>IF(Impuestos44[[#This Row],[Fecha]]="","",MONTH(Impuestos44[[#This Row],[Fecha]]))</f>
        <v>2</v>
      </c>
      <c r="J94" s="40" t="s">
        <v>570</v>
      </c>
      <c r="K94" s="40" t="s">
        <v>37</v>
      </c>
      <c r="L94" t="s">
        <v>571</v>
      </c>
      <c r="M94" s="30" t="s">
        <v>54</v>
      </c>
      <c r="N94" s="30" t="s">
        <v>572</v>
      </c>
      <c r="O94" s="30" t="str">
        <f>IFERROR(VLOOKUP(Impuestos44[[#This Row],[Nro]],[4]Placas!$A:$D,4,0),"")</f>
        <v>1 Vales Caja 2025021353.pdf</v>
      </c>
      <c r="S94"/>
    </row>
    <row r="95" spans="3:19" x14ac:dyDescent="0.3">
      <c r="C95" s="35" t="str">
        <f>CONCATENATE(Impuestos44[[#This Row],[Placa Vehiculo]],Impuestos44[[#This Row],[Vales]])</f>
        <v>CNK-4711 Vales</v>
      </c>
      <c r="D95" s="36" t="s">
        <v>108</v>
      </c>
      <c r="E95" s="37" t="s">
        <v>569</v>
      </c>
      <c r="F95" s="36">
        <v>2025</v>
      </c>
      <c r="G95" s="38">
        <v>353.48</v>
      </c>
      <c r="H95" s="39">
        <v>45699</v>
      </c>
      <c r="I95">
        <f>IF(Impuestos44[[#This Row],[Fecha]]="","",MONTH(Impuestos44[[#This Row],[Fecha]]))</f>
        <v>2</v>
      </c>
      <c r="J95" s="40" t="s">
        <v>570</v>
      </c>
      <c r="K95" s="40" t="s">
        <v>37</v>
      </c>
      <c r="L95" t="s">
        <v>571</v>
      </c>
      <c r="M95" s="30" t="s">
        <v>54</v>
      </c>
      <c r="N95" s="30" t="s">
        <v>572</v>
      </c>
      <c r="O95" s="30" t="str">
        <f>IFERROR(VLOOKUP(Impuestos44[[#This Row],[Nro]],[4]Placas!$A:$D,4,0),"")</f>
        <v>1 Vales Caja 2025021353.pdf</v>
      </c>
      <c r="S95"/>
    </row>
    <row r="96" spans="3:19" x14ac:dyDescent="0.3">
      <c r="C96" s="35" t="str">
        <f>CONCATENATE(Impuestos44[[#This Row],[Placa Vehiculo]],Impuestos44[[#This Row],[Vales]])</f>
        <v>CCV-8771 Vales</v>
      </c>
      <c r="D96" s="36" t="s">
        <v>41</v>
      </c>
      <c r="E96" s="37" t="s">
        <v>569</v>
      </c>
      <c r="F96" s="36">
        <v>2025</v>
      </c>
      <c r="G96" s="38" t="s">
        <v>575</v>
      </c>
      <c r="H96" s="39">
        <v>45698</v>
      </c>
      <c r="I96">
        <f>IF(Impuestos44[[#This Row],[Fecha]]="","",MONTH(Impuestos44[[#This Row],[Fecha]]))</f>
        <v>2</v>
      </c>
      <c r="J96" s="40" t="s">
        <v>570</v>
      </c>
      <c r="K96" s="40" t="s">
        <v>37</v>
      </c>
      <c r="M96" s="30" t="s">
        <v>45</v>
      </c>
      <c r="N96" s="30" t="s">
        <v>572</v>
      </c>
      <c r="O96" s="30" t="str">
        <f>IFERROR(VLOOKUP(Impuestos44[[#This Row],[Nro]],[4]Placas!$A:$D,4,0),"")</f>
        <v/>
      </c>
      <c r="S96"/>
    </row>
    <row r="97" spans="3:19" x14ac:dyDescent="0.3">
      <c r="C97" s="35" t="str">
        <f>CONCATENATE(Impuestos44[[#This Row],[Placa Vehiculo]],Impuestos44[[#This Row],[Vales]])</f>
        <v>CCV-8781 Vales</v>
      </c>
      <c r="D97" s="36" t="s">
        <v>47</v>
      </c>
      <c r="E97" s="37" t="s">
        <v>569</v>
      </c>
      <c r="F97" s="36">
        <v>2025</v>
      </c>
      <c r="G97" s="38" t="s">
        <v>575</v>
      </c>
      <c r="H97" s="39">
        <v>45698</v>
      </c>
      <c r="I97">
        <f>IF(Impuestos44[[#This Row],[Fecha]]="","",MONTH(Impuestos44[[#This Row],[Fecha]]))</f>
        <v>2</v>
      </c>
      <c r="J97" s="40" t="s">
        <v>570</v>
      </c>
      <c r="K97" s="40" t="s">
        <v>37</v>
      </c>
      <c r="M97" s="30" t="s">
        <v>45</v>
      </c>
      <c r="N97" s="30" t="s">
        <v>572</v>
      </c>
      <c r="O97" s="30" t="str">
        <f>IFERROR(VLOOKUP(Impuestos44[[#This Row],[Nro]],[4]Placas!$A:$D,4,0),"")</f>
        <v/>
      </c>
      <c r="S97"/>
    </row>
    <row r="98" spans="3:19" x14ac:dyDescent="0.3">
      <c r="C98" s="35" t="str">
        <f>CONCATENATE(Impuestos44[[#This Row],[Placa Vehiculo]],Impuestos44[[#This Row],[Vales]])</f>
        <v>CCV-9381 Vales</v>
      </c>
      <c r="D98" s="36" t="s">
        <v>49</v>
      </c>
      <c r="E98" s="37" t="s">
        <v>569</v>
      </c>
      <c r="F98" s="36">
        <v>2025</v>
      </c>
      <c r="G98" s="38" t="s">
        <v>575</v>
      </c>
      <c r="H98" s="39">
        <v>45698</v>
      </c>
      <c r="I98">
        <f>IF(Impuestos44[[#This Row],[Fecha]]="","",MONTH(Impuestos44[[#This Row],[Fecha]]))</f>
        <v>2</v>
      </c>
      <c r="J98" s="40" t="s">
        <v>570</v>
      </c>
      <c r="K98" s="40" t="s">
        <v>37</v>
      </c>
      <c r="M98" s="30" t="s">
        <v>45</v>
      </c>
      <c r="N98" s="30" t="s">
        <v>572</v>
      </c>
      <c r="O98" s="30" t="str">
        <f>IFERROR(VLOOKUP(Impuestos44[[#This Row],[Nro]],[4]Placas!$A:$D,4,0),"")</f>
        <v/>
      </c>
      <c r="S98"/>
    </row>
    <row r="99" spans="3:19" x14ac:dyDescent="0.3">
      <c r="C99" s="35" t="str">
        <f>CONCATENATE(Impuestos44[[#This Row],[Placa Vehiculo]],Impuestos44[[#This Row],[Vales]])</f>
        <v>CCX-9191 Vales</v>
      </c>
      <c r="D99" s="36" t="s">
        <v>50</v>
      </c>
      <c r="E99" s="37" t="s">
        <v>569</v>
      </c>
      <c r="F99" s="36">
        <v>2025</v>
      </c>
      <c r="G99" s="38" t="s">
        <v>575</v>
      </c>
      <c r="H99" s="39">
        <v>45698</v>
      </c>
      <c r="I99">
        <f>IF(Impuestos44[[#This Row],[Fecha]]="","",MONTH(Impuestos44[[#This Row],[Fecha]]))</f>
        <v>2</v>
      </c>
      <c r="J99" s="40" t="s">
        <v>570</v>
      </c>
      <c r="K99" s="40" t="s">
        <v>37</v>
      </c>
      <c r="M99" s="30" t="s">
        <v>45</v>
      </c>
      <c r="N99" s="30" t="s">
        <v>572</v>
      </c>
      <c r="O99" s="30" t="str">
        <f>IFERROR(VLOOKUP(Impuestos44[[#This Row],[Nro]],[4]Placas!$A:$D,4,0),"")</f>
        <v/>
      </c>
      <c r="S99"/>
    </row>
    <row r="100" spans="3:19" x14ac:dyDescent="0.3">
      <c r="C100" s="35" t="str">
        <f>CONCATENATE(Impuestos44[[#This Row],[Placa Vehiculo]],Impuestos44[[#This Row],[Vales]])</f>
        <v>CCV-7571 Vales</v>
      </c>
      <c r="D100" s="36" t="s">
        <v>51</v>
      </c>
      <c r="E100" s="37" t="s">
        <v>569</v>
      </c>
      <c r="F100" s="36">
        <v>2025</v>
      </c>
      <c r="G100" s="38" t="s">
        <v>575</v>
      </c>
      <c r="H100" s="39">
        <v>45698</v>
      </c>
      <c r="I100">
        <f>IF(Impuestos44[[#This Row],[Fecha]]="","",MONTH(Impuestos44[[#This Row],[Fecha]]))</f>
        <v>2</v>
      </c>
      <c r="J100" s="40" t="s">
        <v>570</v>
      </c>
      <c r="K100" s="40" t="s">
        <v>37</v>
      </c>
      <c r="M100" s="30" t="s">
        <v>45</v>
      </c>
      <c r="N100" s="30" t="s">
        <v>572</v>
      </c>
      <c r="O100" s="30" t="str">
        <f>IFERROR(VLOOKUP(Impuestos44[[#This Row],[Nro]],[4]Placas!$A:$D,4,0),"")</f>
        <v/>
      </c>
      <c r="S100"/>
    </row>
    <row r="101" spans="3:19" x14ac:dyDescent="0.3">
      <c r="C101" s="35" t="str">
        <f>CONCATENATE(Impuestos44[[#This Row],[Placa Vehiculo]],Impuestos44[[#This Row],[Vales]])</f>
        <v>CCU-8771 Vales</v>
      </c>
      <c r="D101" s="36" t="s">
        <v>53</v>
      </c>
      <c r="E101" s="37" t="s">
        <v>569</v>
      </c>
      <c r="F101" s="36">
        <v>2025</v>
      </c>
      <c r="G101" s="38" t="s">
        <v>575</v>
      </c>
      <c r="H101" s="39">
        <v>45698</v>
      </c>
      <c r="I101">
        <f>IF(Impuestos44[[#This Row],[Fecha]]="","",MONTH(Impuestos44[[#This Row],[Fecha]]))</f>
        <v>2</v>
      </c>
      <c r="J101" s="40" t="s">
        <v>570</v>
      </c>
      <c r="K101" s="40" t="s">
        <v>37</v>
      </c>
      <c r="M101" s="30" t="s">
        <v>45</v>
      </c>
      <c r="N101" s="30" t="s">
        <v>572</v>
      </c>
      <c r="O101" s="30" t="str">
        <f>IFERROR(VLOOKUP(Impuestos44[[#This Row],[Nro]],[4]Placas!$A:$D,4,0),"")</f>
        <v/>
      </c>
      <c r="S101"/>
    </row>
    <row r="102" spans="3:19" x14ac:dyDescent="0.3">
      <c r="C102" s="35" t="str">
        <f>CONCATENATE(Impuestos44[[#This Row],[Placa Vehiculo]],Impuestos44[[#This Row],[Vales]])</f>
        <v>CCX-8831 Vales</v>
      </c>
      <c r="D102" s="36" t="s">
        <v>55</v>
      </c>
      <c r="E102" s="37" t="s">
        <v>569</v>
      </c>
      <c r="F102" s="36">
        <v>2025</v>
      </c>
      <c r="G102" s="38" t="s">
        <v>575</v>
      </c>
      <c r="H102" s="39">
        <v>45698</v>
      </c>
      <c r="I102">
        <f>IF(Impuestos44[[#This Row],[Fecha]]="","",MONTH(Impuestos44[[#This Row],[Fecha]]))</f>
        <v>2</v>
      </c>
      <c r="J102" s="40" t="s">
        <v>570</v>
      </c>
      <c r="K102" s="40" t="s">
        <v>37</v>
      </c>
      <c r="M102" s="30" t="s">
        <v>45</v>
      </c>
      <c r="N102" s="30" t="s">
        <v>572</v>
      </c>
      <c r="O102" s="30" t="str">
        <f>IFERROR(VLOOKUP(Impuestos44[[#This Row],[Nro]],[4]Placas!$A:$D,4,0),"")</f>
        <v/>
      </c>
      <c r="S102"/>
    </row>
    <row r="103" spans="3:19" x14ac:dyDescent="0.3">
      <c r="C103" s="35" t="str">
        <f>CONCATENATE(Impuestos44[[#This Row],[Placa Vehiculo]],Impuestos44[[#This Row],[Vales]])</f>
        <v>CCV-8471 Vales</v>
      </c>
      <c r="D103" s="36" t="s">
        <v>57</v>
      </c>
      <c r="E103" s="37" t="s">
        <v>569</v>
      </c>
      <c r="F103" s="36">
        <v>2025</v>
      </c>
      <c r="G103" s="38" t="s">
        <v>575</v>
      </c>
      <c r="H103" s="39">
        <v>45698</v>
      </c>
      <c r="I103">
        <f>IF(Impuestos44[[#This Row],[Fecha]]="","",MONTH(Impuestos44[[#This Row],[Fecha]]))</f>
        <v>2</v>
      </c>
      <c r="J103" s="40" t="s">
        <v>570</v>
      </c>
      <c r="K103" s="40" t="s">
        <v>37</v>
      </c>
      <c r="M103" s="30" t="s">
        <v>45</v>
      </c>
      <c r="N103" s="30" t="s">
        <v>572</v>
      </c>
      <c r="O103" s="30" t="str">
        <f>IFERROR(VLOOKUP(Impuestos44[[#This Row],[Nro]],[4]Placas!$A:$D,4,0),"")</f>
        <v/>
      </c>
      <c r="S103"/>
    </row>
    <row r="104" spans="3:19" x14ac:dyDescent="0.3">
      <c r="C104" s="35" t="str">
        <f>CONCATENATE(Impuestos44[[#This Row],[Placa Vehiculo]],Impuestos44[[#This Row],[Vales]])</f>
        <v>CNL-0171 Vales</v>
      </c>
      <c r="D104" s="36" t="s">
        <v>33</v>
      </c>
      <c r="E104" s="37" t="s">
        <v>569</v>
      </c>
      <c r="F104" s="36">
        <v>2025</v>
      </c>
      <c r="G104" s="38">
        <v>578.04999999999995</v>
      </c>
      <c r="H104" s="39">
        <v>45698</v>
      </c>
      <c r="I104">
        <f>IF(Impuestos44[[#This Row],[Fecha]]="","",MONTH(Impuestos44[[#This Row],[Fecha]]))</f>
        <v>2</v>
      </c>
      <c r="J104" s="40" t="s">
        <v>570</v>
      </c>
      <c r="K104" s="40" t="s">
        <v>37</v>
      </c>
      <c r="L104" t="s">
        <v>571</v>
      </c>
      <c r="M104" s="30" t="s">
        <v>39</v>
      </c>
      <c r="N104" s="30" t="s">
        <v>572</v>
      </c>
      <c r="O104" s="30" t="str">
        <f>IFERROR(VLOOKUP(Impuestos44[[#This Row],[Nro]],[4]Placas!$A:$D,4,0),"")</f>
        <v>1 Vales Caja 2025021345.pdf</v>
      </c>
      <c r="S104"/>
    </row>
    <row r="105" spans="3:19" x14ac:dyDescent="0.3">
      <c r="C105" s="35" t="str">
        <f>CONCATENATE(Impuestos44[[#This Row],[Placa Vehiculo]],Impuestos44[[#This Row],[Vales]])</f>
        <v>CAU-7291 Vales</v>
      </c>
      <c r="D105" s="36" t="s">
        <v>65</v>
      </c>
      <c r="E105" s="37" t="s">
        <v>569</v>
      </c>
      <c r="F105" s="36">
        <v>2025</v>
      </c>
      <c r="G105" s="38">
        <v>321.39999999999998</v>
      </c>
      <c r="H105" s="39">
        <v>45699</v>
      </c>
      <c r="I105">
        <f>IF(Impuestos44[[#This Row],[Fecha]]="","",MONTH(Impuestos44[[#This Row],[Fecha]]))</f>
        <v>2</v>
      </c>
      <c r="J105" s="40" t="s">
        <v>570</v>
      </c>
      <c r="K105" s="40" t="s">
        <v>37</v>
      </c>
      <c r="L105" t="s">
        <v>571</v>
      </c>
      <c r="M105" s="30" t="s">
        <v>58</v>
      </c>
      <c r="N105" s="30" t="s">
        <v>572</v>
      </c>
      <c r="O105" s="30" t="str">
        <f>IFERROR(VLOOKUP(Impuestos44[[#This Row],[Nro]],[4]Placas!$A:$D,4,0),"")</f>
        <v>1 Vales Caja 2025021360.pdf</v>
      </c>
      <c r="S105"/>
    </row>
    <row r="106" spans="3:19" x14ac:dyDescent="0.3">
      <c r="C106" s="35" t="str">
        <f>CONCATENATE(Impuestos44[[#This Row],[Placa Vehiculo]],Impuestos44[[#This Row],[Vales]])</f>
        <v>CAU-7411 Vales</v>
      </c>
      <c r="D106" s="36" t="s">
        <v>67</v>
      </c>
      <c r="E106" s="37" t="s">
        <v>569</v>
      </c>
      <c r="F106" s="36">
        <v>2025</v>
      </c>
      <c r="G106" s="38">
        <v>321.39999999999998</v>
      </c>
      <c r="H106" s="39">
        <v>45699</v>
      </c>
      <c r="I106">
        <f>IF(Impuestos44[[#This Row],[Fecha]]="","",MONTH(Impuestos44[[#This Row],[Fecha]]))</f>
        <v>2</v>
      </c>
      <c r="J106" s="40" t="s">
        <v>570</v>
      </c>
      <c r="K106" s="40" t="s">
        <v>37</v>
      </c>
      <c r="L106" t="s">
        <v>571</v>
      </c>
      <c r="M106" s="30" t="s">
        <v>58</v>
      </c>
      <c r="N106" s="30" t="s">
        <v>572</v>
      </c>
      <c r="O106" s="30" t="str">
        <f>IFERROR(VLOOKUP(Impuestos44[[#This Row],[Nro]],[4]Placas!$A:$D,4,0),"")</f>
        <v>1 Vales Caja 2025021360.pdf</v>
      </c>
      <c r="S106"/>
    </row>
    <row r="107" spans="3:19" x14ac:dyDescent="0.3">
      <c r="C107" s="35" t="str">
        <f>CONCATENATE(Impuestos44[[#This Row],[Placa Vehiculo]],Impuestos44[[#This Row],[Vales]])</f>
        <v>CAU-7321 Vales</v>
      </c>
      <c r="D107" s="36" t="s">
        <v>68</v>
      </c>
      <c r="E107" s="37" t="s">
        <v>569</v>
      </c>
      <c r="F107" s="36">
        <v>2025</v>
      </c>
      <c r="G107" s="38">
        <v>321.39999999999998</v>
      </c>
      <c r="H107" s="39">
        <v>45699</v>
      </c>
      <c r="I107">
        <f>IF(Impuestos44[[#This Row],[Fecha]]="","",MONTH(Impuestos44[[#This Row],[Fecha]]))</f>
        <v>2</v>
      </c>
      <c r="J107" s="40" t="s">
        <v>570</v>
      </c>
      <c r="K107" s="40" t="s">
        <v>37</v>
      </c>
      <c r="L107" t="s">
        <v>571</v>
      </c>
      <c r="M107" s="30" t="s">
        <v>58</v>
      </c>
      <c r="N107" s="30" t="s">
        <v>572</v>
      </c>
      <c r="O107" s="30" t="str">
        <f>IFERROR(VLOOKUP(Impuestos44[[#This Row],[Nro]],[4]Placas!$A:$D,4,0),"")</f>
        <v>1 Vales Caja 2025021360.pdf</v>
      </c>
      <c r="S107"/>
    </row>
    <row r="108" spans="3:19" x14ac:dyDescent="0.3">
      <c r="C108" s="35" t="str">
        <f>CONCATENATE(Impuestos44[[#This Row],[Placa Vehiculo]],Impuestos44[[#This Row],[Vales]])</f>
        <v>CAU-7151 Vales</v>
      </c>
      <c r="D108" s="36" t="s">
        <v>8</v>
      </c>
      <c r="E108" s="37" t="s">
        <v>569</v>
      </c>
      <c r="F108" s="36">
        <v>2025</v>
      </c>
      <c r="G108" s="38">
        <v>321.39999999999998</v>
      </c>
      <c r="H108" s="39">
        <v>45698</v>
      </c>
      <c r="I108">
        <f>IF(Impuestos44[[#This Row],[Fecha]]="","",MONTH(Impuestos44[[#This Row],[Fecha]]))</f>
        <v>2</v>
      </c>
      <c r="J108" s="40" t="s">
        <v>570</v>
      </c>
      <c r="K108" s="40" t="s">
        <v>37</v>
      </c>
      <c r="L108" t="s">
        <v>571</v>
      </c>
      <c r="M108" s="30" t="s">
        <v>58</v>
      </c>
      <c r="N108" s="30" t="s">
        <v>572</v>
      </c>
      <c r="O108" s="30" t="str">
        <f>IFERROR(VLOOKUP(Impuestos44[[#This Row],[Nro]],[4]Placas!$A:$D,4,0),"")</f>
        <v>1 Vales Caja 2025021360.pdf</v>
      </c>
      <c r="S108"/>
    </row>
    <row r="109" spans="3:19" x14ac:dyDescent="0.3">
      <c r="C109" s="35" t="str">
        <f>CONCATENATE(Impuestos44[[#This Row],[Placa Vehiculo]],Impuestos44[[#This Row],[Vales]])</f>
        <v>CNK-6881 Vales</v>
      </c>
      <c r="D109" s="36" t="s">
        <v>69</v>
      </c>
      <c r="E109" s="37" t="s">
        <v>569</v>
      </c>
      <c r="F109" s="36">
        <v>2025</v>
      </c>
      <c r="G109" s="38">
        <v>677.61</v>
      </c>
      <c r="H109" s="39">
        <v>45699</v>
      </c>
      <c r="I109">
        <f>IF(Impuestos44[[#This Row],[Fecha]]="","",MONTH(Impuestos44[[#This Row],[Fecha]]))</f>
        <v>2</v>
      </c>
      <c r="J109" s="40" t="s">
        <v>570</v>
      </c>
      <c r="K109" s="40" t="s">
        <v>37</v>
      </c>
      <c r="L109" t="s">
        <v>571</v>
      </c>
      <c r="M109" s="30" t="s">
        <v>52</v>
      </c>
      <c r="N109" s="30" t="s">
        <v>572</v>
      </c>
      <c r="O109" s="30" t="str">
        <f>IFERROR(VLOOKUP(Impuestos44[[#This Row],[Nro]],[4]Placas!$A:$D,4,0),"")</f>
        <v>1 Vales Caja 2025021351.pdf</v>
      </c>
      <c r="S109"/>
    </row>
    <row r="110" spans="3:19" x14ac:dyDescent="0.3">
      <c r="C110" s="35" t="str">
        <f>CONCATENATE(Impuestos44[[#This Row],[Placa Vehiculo]],Impuestos44[[#This Row],[Vales]])</f>
        <v>CNL-6321 Vales</v>
      </c>
      <c r="D110" s="36" t="s">
        <v>109</v>
      </c>
      <c r="E110" s="37" t="s">
        <v>569</v>
      </c>
      <c r="F110" s="36">
        <v>2025</v>
      </c>
      <c r="G110" s="38">
        <v>353.48</v>
      </c>
      <c r="H110" s="39">
        <v>45699</v>
      </c>
      <c r="I110">
        <f>IF(Impuestos44[[#This Row],[Fecha]]="","",MONTH(Impuestos44[[#This Row],[Fecha]]))</f>
        <v>2</v>
      </c>
      <c r="J110" s="40" t="s">
        <v>570</v>
      </c>
      <c r="K110" s="40" t="s">
        <v>37</v>
      </c>
      <c r="L110" t="s">
        <v>571</v>
      </c>
      <c r="M110" s="30" t="s">
        <v>54</v>
      </c>
      <c r="N110" s="30" t="s">
        <v>572</v>
      </c>
      <c r="O110" s="30" t="str">
        <f>IFERROR(VLOOKUP(Impuestos44[[#This Row],[Nro]],[4]Placas!$A:$D,4,0),"")</f>
        <v>1 Vales Caja 2025021353.pdf</v>
      </c>
      <c r="S110"/>
    </row>
    <row r="111" spans="3:19" x14ac:dyDescent="0.3">
      <c r="C111" s="35" t="str">
        <f>CONCATENATE(Impuestos44[[#This Row],[Placa Vehiculo]],Impuestos44[[#This Row],[Vales]])</f>
        <v>CDR-9481 Vales</v>
      </c>
      <c r="D111" s="36" t="s">
        <v>115</v>
      </c>
      <c r="E111" s="37" t="s">
        <v>569</v>
      </c>
      <c r="F111" s="36">
        <v>2025</v>
      </c>
      <c r="G111" s="38" t="s">
        <v>575</v>
      </c>
      <c r="H111" s="39">
        <v>45698</v>
      </c>
      <c r="I111">
        <f>IF(Impuestos44[[#This Row],[Fecha]]="","",MONTH(Impuestos44[[#This Row],[Fecha]]))</f>
        <v>2</v>
      </c>
      <c r="J111" s="40" t="s">
        <v>570</v>
      </c>
      <c r="K111" s="40" t="s">
        <v>37</v>
      </c>
      <c r="M111" s="30" t="s">
        <v>46</v>
      </c>
      <c r="N111" s="30" t="s">
        <v>572</v>
      </c>
      <c r="O111" s="30" t="str">
        <f>IFERROR(VLOOKUP(Impuestos44[[#This Row],[Nro]],[4]Placas!$A:$D,4,0),"")</f>
        <v/>
      </c>
      <c r="S111"/>
    </row>
    <row r="112" spans="3:19" x14ac:dyDescent="0.3">
      <c r="C112" s="35" t="str">
        <f>CONCATENATE(Impuestos44[[#This Row],[Placa Vehiculo]],Impuestos44[[#This Row],[Vales]])</f>
        <v>CPB-0541 Vales</v>
      </c>
      <c r="D112" s="36" t="s">
        <v>171</v>
      </c>
      <c r="E112" s="37" t="s">
        <v>569</v>
      </c>
      <c r="F112" s="36">
        <v>2025</v>
      </c>
      <c r="G112" s="38">
        <v>2079</v>
      </c>
      <c r="H112" s="39">
        <v>45698</v>
      </c>
      <c r="I112" s="41">
        <f>IF(Impuestos44[[#This Row],[Fecha]]="","",MONTH(Impuestos44[[#This Row],[Fecha]]))</f>
        <v>2</v>
      </c>
      <c r="J112" s="40" t="s">
        <v>570</v>
      </c>
      <c r="K112" s="40" t="s">
        <v>37</v>
      </c>
      <c r="L112" t="s">
        <v>571</v>
      </c>
      <c r="M112" s="42" t="s">
        <v>32</v>
      </c>
      <c r="N112" s="30" t="s">
        <v>572</v>
      </c>
      <c r="O112" s="30" t="str">
        <f>IFERROR(VLOOKUP(Impuestos44[[#This Row],[Nro]],[4]Placas!$A:$D,4,0),"")</f>
        <v>1 Vales Caja 2025032102.pdf</v>
      </c>
      <c r="S112"/>
    </row>
    <row r="113" spans="3:23" x14ac:dyDescent="0.3">
      <c r="C113" s="35" t="str">
        <f>CONCATENATE(Impuestos44[[#This Row],[Placa Vehiculo]],Impuestos44[[#This Row],[Vales]])</f>
        <v>BUR-9202 Vales</v>
      </c>
      <c r="D113" s="36" t="s">
        <v>131</v>
      </c>
      <c r="E113" s="37" t="s">
        <v>569</v>
      </c>
      <c r="F113" s="36">
        <v>2025</v>
      </c>
      <c r="G113" s="38">
        <v>283.70999999999998</v>
      </c>
      <c r="H113" s="39">
        <v>45795</v>
      </c>
      <c r="I113">
        <f>IF(Impuestos44[[#This Row],[Fecha]]="","",MONTH(Impuestos44[[#This Row],[Fecha]]))</f>
        <v>5</v>
      </c>
      <c r="J113" s="40" t="s">
        <v>576</v>
      </c>
      <c r="K113" s="40" t="s">
        <v>37</v>
      </c>
      <c r="L113" t="s">
        <v>571</v>
      </c>
      <c r="M113" s="30" t="s">
        <v>48</v>
      </c>
      <c r="N113" s="30" t="s">
        <v>577</v>
      </c>
      <c r="O113" s="30" t="str">
        <f>IFERROR(VLOOKUP(Impuestos44[[#This Row],[Nro]],[4]Placas!$A:$D,4,0),"")</f>
        <v>2 Vales Caja 2025050955.pdf</v>
      </c>
      <c r="S113"/>
    </row>
    <row r="114" spans="3:23" x14ac:dyDescent="0.3">
      <c r="C114" s="35" t="str">
        <f>CONCATENATE(Impuestos44[[#This Row],[Placa Vehiculo]],Impuestos44[[#This Row],[Vales]])</f>
        <v>BUR-9282 Vales</v>
      </c>
      <c r="D114" s="36" t="s">
        <v>134</v>
      </c>
      <c r="E114" s="37" t="s">
        <v>569</v>
      </c>
      <c r="F114" s="36">
        <v>2025</v>
      </c>
      <c r="G114" s="38">
        <v>283.70999999999998</v>
      </c>
      <c r="H114" s="39">
        <v>45795</v>
      </c>
      <c r="I114">
        <f>IF(Impuestos44[[#This Row],[Fecha]]="","",MONTH(Impuestos44[[#This Row],[Fecha]]))</f>
        <v>5</v>
      </c>
      <c r="J114" s="40" t="s">
        <v>576</v>
      </c>
      <c r="K114" s="40" t="s">
        <v>37</v>
      </c>
      <c r="L114" t="s">
        <v>571</v>
      </c>
      <c r="M114" s="30" t="s">
        <v>48</v>
      </c>
      <c r="N114" s="30" t="s">
        <v>577</v>
      </c>
      <c r="O114" s="30" t="str">
        <f>IFERROR(VLOOKUP(Impuestos44[[#This Row],[Nro]],[4]Placas!$A:$D,4,0),"")</f>
        <v>2 Vales Caja 2025050955.pdf</v>
      </c>
      <c r="S114"/>
    </row>
    <row r="115" spans="3:23" x14ac:dyDescent="0.3">
      <c r="C115" s="35" t="str">
        <f>CONCATENATE(Impuestos44[[#This Row],[Placa Vehiculo]],Impuestos44[[#This Row],[Vales]])</f>
        <v>BUR-9442 Vales</v>
      </c>
      <c r="D115" s="36" t="s">
        <v>135</v>
      </c>
      <c r="E115" s="37" t="s">
        <v>569</v>
      </c>
      <c r="F115" s="36">
        <v>2025</v>
      </c>
      <c r="G115" s="38">
        <v>283.70999999999998</v>
      </c>
      <c r="H115" s="39">
        <v>45795</v>
      </c>
      <c r="I115">
        <f>IF(Impuestos44[[#This Row],[Fecha]]="","",MONTH(Impuestos44[[#This Row],[Fecha]]))</f>
        <v>5</v>
      </c>
      <c r="J115" s="40" t="s">
        <v>576</v>
      </c>
      <c r="K115" s="40" t="s">
        <v>37</v>
      </c>
      <c r="L115" t="s">
        <v>571</v>
      </c>
      <c r="M115" s="30" t="s">
        <v>48</v>
      </c>
      <c r="N115" s="30" t="s">
        <v>577</v>
      </c>
      <c r="O115" s="30" t="str">
        <f>IFERROR(VLOOKUP(Impuestos44[[#This Row],[Nro]],[4]Placas!$A:$D,4,0),"")</f>
        <v>2 Vales Caja 2025050955.pdf</v>
      </c>
      <c r="S115"/>
    </row>
    <row r="116" spans="3:23" x14ac:dyDescent="0.3">
      <c r="C116" s="35" t="str">
        <f>CONCATENATE(Impuestos44[[#This Row],[Placa Vehiculo]],Impuestos44[[#This Row],[Vales]])</f>
        <v>BUR-9462 Vales</v>
      </c>
      <c r="D116" s="36" t="s">
        <v>136</v>
      </c>
      <c r="E116" s="37" t="s">
        <v>569</v>
      </c>
      <c r="F116" s="36">
        <v>2025</v>
      </c>
      <c r="G116" s="38">
        <v>283.70999999999998</v>
      </c>
      <c r="H116" s="39">
        <v>45795</v>
      </c>
      <c r="I116">
        <f>IF(Impuestos44[[#This Row],[Fecha]]="","",MONTH(Impuestos44[[#This Row],[Fecha]]))</f>
        <v>5</v>
      </c>
      <c r="J116" s="40" t="s">
        <v>576</v>
      </c>
      <c r="K116" s="40" t="s">
        <v>37</v>
      </c>
      <c r="L116" t="s">
        <v>571</v>
      </c>
      <c r="M116" s="30" t="s">
        <v>48</v>
      </c>
      <c r="N116" s="30" t="s">
        <v>577</v>
      </c>
      <c r="O116" s="30" t="str">
        <f>IFERROR(VLOOKUP(Impuestos44[[#This Row],[Nro]],[4]Placas!$A:$D,4,0),"")</f>
        <v>2 Vales Caja 2025050955.pdf</v>
      </c>
      <c r="S116"/>
    </row>
    <row r="117" spans="3:23" x14ac:dyDescent="0.3">
      <c r="C117" s="35" t="str">
        <f>CONCATENATE(Impuestos44[[#This Row],[Placa Vehiculo]],Impuestos44[[#This Row],[Vales]])</f>
        <v>BUS-7352 Vales</v>
      </c>
      <c r="D117" s="36" t="s">
        <v>137</v>
      </c>
      <c r="E117" s="37" t="s">
        <v>569</v>
      </c>
      <c r="F117" s="36">
        <v>2025</v>
      </c>
      <c r="G117" s="38">
        <v>283.70999999999998</v>
      </c>
      <c r="H117" s="39">
        <v>45795</v>
      </c>
      <c r="I117">
        <f>IF(Impuestos44[[#This Row],[Fecha]]="","",MONTH(Impuestos44[[#This Row],[Fecha]]))</f>
        <v>5</v>
      </c>
      <c r="J117" s="40" t="s">
        <v>576</v>
      </c>
      <c r="K117" s="40" t="s">
        <v>37</v>
      </c>
      <c r="L117" t="s">
        <v>571</v>
      </c>
      <c r="M117" s="30" t="s">
        <v>48</v>
      </c>
      <c r="N117" s="30" t="s">
        <v>577</v>
      </c>
      <c r="O117" s="30" t="str">
        <f>IFERROR(VLOOKUP(Impuestos44[[#This Row],[Nro]],[4]Placas!$A:$D,4,0),"")</f>
        <v>2 Vales Caja 2025050955.pdf</v>
      </c>
      <c r="P117" s="37"/>
      <c r="Q117" s="36"/>
      <c r="R117" s="38"/>
      <c r="S117" s="43"/>
      <c r="U117" s="40"/>
      <c r="V117" s="40"/>
      <c r="W117" s="40"/>
    </row>
    <row r="118" spans="3:23" x14ac:dyDescent="0.3">
      <c r="C118" s="35" t="str">
        <f>CONCATENATE(Impuestos44[[#This Row],[Placa Vehiculo]],Impuestos44[[#This Row],[Vales]])</f>
        <v>BUR-9212 Vales</v>
      </c>
      <c r="D118" s="36" t="s">
        <v>138</v>
      </c>
      <c r="E118" s="37" t="s">
        <v>569</v>
      </c>
      <c r="F118" s="36">
        <v>2025</v>
      </c>
      <c r="G118" s="38">
        <v>283.70999999999998</v>
      </c>
      <c r="H118" s="39">
        <v>45795</v>
      </c>
      <c r="I118">
        <f>IF(Impuestos44[[#This Row],[Fecha]]="","",MONTH(Impuestos44[[#This Row],[Fecha]]))</f>
        <v>5</v>
      </c>
      <c r="J118" s="40" t="s">
        <v>576</v>
      </c>
      <c r="K118" s="40" t="s">
        <v>37</v>
      </c>
      <c r="L118" t="s">
        <v>571</v>
      </c>
      <c r="M118" s="30" t="s">
        <v>48</v>
      </c>
      <c r="N118" s="30" t="s">
        <v>577</v>
      </c>
      <c r="O118" s="30" t="str">
        <f>IFERROR(VLOOKUP(Impuestos44[[#This Row],[Nro]],[4]Placas!$A:$D,4,0),"")</f>
        <v>2 Vales Caja 2025050955.pdf</v>
      </c>
      <c r="P118" s="37"/>
      <c r="Q118" s="36"/>
      <c r="R118" s="38"/>
      <c r="S118" s="43"/>
      <c r="U118" s="40"/>
      <c r="V118" s="40"/>
      <c r="W118" s="40"/>
    </row>
    <row r="119" spans="3:23" x14ac:dyDescent="0.3">
      <c r="C119" s="35" t="str">
        <f>CONCATENATE(Impuestos44[[#This Row],[Placa Vehiculo]],Impuestos44[[#This Row],[Vales]])</f>
        <v>BUR-9292 Vales</v>
      </c>
      <c r="D119" s="36" t="s">
        <v>139</v>
      </c>
      <c r="E119" s="37" t="s">
        <v>569</v>
      </c>
      <c r="F119" s="36">
        <v>2025</v>
      </c>
      <c r="G119" s="38">
        <v>283.70999999999998</v>
      </c>
      <c r="H119" s="39">
        <v>45795</v>
      </c>
      <c r="I119">
        <f>IF(Impuestos44[[#This Row],[Fecha]]="","",MONTH(Impuestos44[[#This Row],[Fecha]]))</f>
        <v>5</v>
      </c>
      <c r="J119" s="40" t="s">
        <v>576</v>
      </c>
      <c r="K119" s="40" t="s">
        <v>37</v>
      </c>
      <c r="L119" t="s">
        <v>571</v>
      </c>
      <c r="M119" s="30" t="s">
        <v>48</v>
      </c>
      <c r="N119" s="30" t="s">
        <v>577</v>
      </c>
      <c r="O119" s="30" t="str">
        <f>IFERROR(VLOOKUP(Impuestos44[[#This Row],[Nro]],[4]Placas!$A:$D,4,0),"")</f>
        <v>2 Vales Caja 2025050955.pdf</v>
      </c>
      <c r="P119" s="37"/>
      <c r="Q119" s="36"/>
      <c r="R119" s="38"/>
      <c r="S119" s="43"/>
      <c r="U119" s="40"/>
      <c r="V119" s="40"/>
      <c r="W119" s="40"/>
    </row>
    <row r="120" spans="3:23" x14ac:dyDescent="0.3">
      <c r="C120" s="35" t="str">
        <f>CONCATENATE(Impuestos44[[#This Row],[Placa Vehiculo]],Impuestos44[[#This Row],[Vales]])</f>
        <v>BUR-9452 Vales</v>
      </c>
      <c r="D120" s="36" t="s">
        <v>140</v>
      </c>
      <c r="E120" s="37" t="s">
        <v>569</v>
      </c>
      <c r="F120" s="36">
        <v>2025</v>
      </c>
      <c r="G120" s="38">
        <v>283.70999999999998</v>
      </c>
      <c r="H120" s="39">
        <v>45795</v>
      </c>
      <c r="I120">
        <f>IF(Impuestos44[[#This Row],[Fecha]]="","",MONTH(Impuestos44[[#This Row],[Fecha]]))</f>
        <v>5</v>
      </c>
      <c r="J120" s="40" t="s">
        <v>576</v>
      </c>
      <c r="K120" s="40" t="s">
        <v>37</v>
      </c>
      <c r="L120" t="s">
        <v>571</v>
      </c>
      <c r="M120" s="30" t="s">
        <v>48</v>
      </c>
      <c r="N120" s="30" t="s">
        <v>577</v>
      </c>
      <c r="O120" s="30" t="str">
        <f>IFERROR(VLOOKUP(Impuestos44[[#This Row],[Nro]],[4]Placas!$A:$D,4,0),"")</f>
        <v>2 Vales Caja 2025050955.pdf</v>
      </c>
      <c r="P120" s="37"/>
      <c r="Q120" s="36"/>
      <c r="R120" s="38"/>
      <c r="S120" s="43"/>
      <c r="U120" s="40"/>
      <c r="V120" s="40"/>
      <c r="W120" s="40"/>
    </row>
    <row r="121" spans="3:23" x14ac:dyDescent="0.3">
      <c r="C121" s="35" t="str">
        <f>CONCATENATE(Impuestos44[[#This Row],[Placa Vehiculo]],Impuestos44[[#This Row],[Vales]])</f>
        <v>BUS-7282 Vales</v>
      </c>
      <c r="D121" s="36" t="s">
        <v>141</v>
      </c>
      <c r="E121" s="37" t="s">
        <v>569</v>
      </c>
      <c r="F121" s="36">
        <v>2025</v>
      </c>
      <c r="G121" s="38">
        <v>283.70999999999998</v>
      </c>
      <c r="H121" s="39">
        <v>45795</v>
      </c>
      <c r="I121">
        <f>IF(Impuestos44[[#This Row],[Fecha]]="","",MONTH(Impuestos44[[#This Row],[Fecha]]))</f>
        <v>5</v>
      </c>
      <c r="J121" s="40" t="s">
        <v>576</v>
      </c>
      <c r="K121" s="40" t="s">
        <v>37</v>
      </c>
      <c r="L121" t="s">
        <v>571</v>
      </c>
      <c r="M121" s="30" t="s">
        <v>48</v>
      </c>
      <c r="N121" s="30" t="s">
        <v>577</v>
      </c>
      <c r="O121" s="30" t="str">
        <f>IFERROR(VLOOKUP(Impuestos44[[#This Row],[Nro]],[4]Placas!$A:$D,4,0),"")</f>
        <v>2 Vales Caja 2025050955.pdf</v>
      </c>
      <c r="P121" s="37"/>
      <c r="Q121" s="36"/>
      <c r="R121" s="38"/>
      <c r="S121" s="43"/>
      <c r="U121" s="40"/>
      <c r="V121" s="40"/>
      <c r="W121" s="40"/>
    </row>
    <row r="122" spans="3:23" x14ac:dyDescent="0.3">
      <c r="C122" s="35" t="str">
        <f>CONCATENATE(Impuestos44[[#This Row],[Placa Vehiculo]],Impuestos44[[#This Row],[Vales]])</f>
        <v>BUS-7772 Vales</v>
      </c>
      <c r="D122" s="36" t="s">
        <v>142</v>
      </c>
      <c r="E122" s="37" t="s">
        <v>569</v>
      </c>
      <c r="F122" s="36">
        <v>2025</v>
      </c>
      <c r="G122" s="38">
        <v>148.08000000000001</v>
      </c>
      <c r="H122" s="39">
        <v>45795</v>
      </c>
      <c r="I122">
        <f>IF(Impuestos44[[#This Row],[Fecha]]="","",MONTH(Impuestos44[[#This Row],[Fecha]]))</f>
        <v>5</v>
      </c>
      <c r="J122" s="40" t="s">
        <v>576</v>
      </c>
      <c r="K122" s="40" t="s">
        <v>37</v>
      </c>
      <c r="L122" t="s">
        <v>571</v>
      </c>
      <c r="M122" s="30" t="s">
        <v>48</v>
      </c>
      <c r="N122" s="30" t="s">
        <v>577</v>
      </c>
      <c r="O122" s="30" t="str">
        <f>IFERROR(VLOOKUP(Impuestos44[[#This Row],[Nro]],[4]Placas!$A:$D,4,0),"")</f>
        <v>2 Vales Caja 2025050955.pdf</v>
      </c>
      <c r="P122" s="37"/>
      <c r="Q122" s="36"/>
      <c r="R122" s="38"/>
      <c r="S122" s="43"/>
      <c r="U122" s="40"/>
      <c r="V122" s="40"/>
      <c r="W122" s="40"/>
    </row>
    <row r="123" spans="3:23" x14ac:dyDescent="0.3">
      <c r="C123" s="35" t="str">
        <f>CONCATENATE(Impuestos44[[#This Row],[Placa Vehiculo]],Impuestos44[[#This Row],[Vales]])</f>
        <v>BUS-7782 Vales</v>
      </c>
      <c r="D123" s="36" t="s">
        <v>143</v>
      </c>
      <c r="E123" s="37" t="s">
        <v>569</v>
      </c>
      <c r="F123" s="36">
        <v>2025</v>
      </c>
      <c r="G123" s="38">
        <v>148.08000000000001</v>
      </c>
      <c r="H123" s="39">
        <v>45795</v>
      </c>
      <c r="I123">
        <f>IF(Impuestos44[[#This Row],[Fecha]]="","",MONTH(Impuestos44[[#This Row],[Fecha]]))</f>
        <v>5</v>
      </c>
      <c r="J123" s="40" t="s">
        <v>576</v>
      </c>
      <c r="K123" s="40" t="s">
        <v>37</v>
      </c>
      <c r="L123" t="s">
        <v>571</v>
      </c>
      <c r="M123" s="30" t="s">
        <v>48</v>
      </c>
      <c r="N123" s="30" t="s">
        <v>577</v>
      </c>
      <c r="O123" s="30" t="str">
        <f>IFERROR(VLOOKUP(Impuestos44[[#This Row],[Nro]],[4]Placas!$A:$D,4,0),"")</f>
        <v>2 Vales Caja 2025050955.pdf</v>
      </c>
      <c r="P123" s="37"/>
      <c r="Q123" s="36"/>
      <c r="R123" s="38"/>
      <c r="S123" s="43"/>
      <c r="U123" s="40"/>
      <c r="V123" s="40"/>
      <c r="W123" s="40"/>
    </row>
    <row r="124" spans="3:23" x14ac:dyDescent="0.3">
      <c r="C124" s="35" t="str">
        <f>CONCATENATE(Impuestos44[[#This Row],[Placa Vehiculo]],Impuestos44[[#This Row],[Vales]])</f>
        <v>BUS-7792 Vales</v>
      </c>
      <c r="D124" s="36" t="s">
        <v>144</v>
      </c>
      <c r="E124" s="37" t="s">
        <v>569</v>
      </c>
      <c r="F124" s="36">
        <v>2025</v>
      </c>
      <c r="G124" s="38">
        <v>283.70999999999998</v>
      </c>
      <c r="H124" s="39">
        <v>45795</v>
      </c>
      <c r="I124">
        <f>IF(Impuestos44[[#This Row],[Fecha]]="","",MONTH(Impuestos44[[#This Row],[Fecha]]))</f>
        <v>5</v>
      </c>
      <c r="J124" s="40" t="s">
        <v>576</v>
      </c>
      <c r="K124" s="40" t="s">
        <v>37</v>
      </c>
      <c r="L124" t="s">
        <v>571</v>
      </c>
      <c r="M124" s="30" t="s">
        <v>48</v>
      </c>
      <c r="N124" s="30" t="s">
        <v>577</v>
      </c>
      <c r="O124" s="30" t="str">
        <f>IFERROR(VLOOKUP(Impuestos44[[#This Row],[Nro]],[4]Placas!$A:$D,4,0),"")</f>
        <v>2 Vales Caja 2025050955.pdf</v>
      </c>
      <c r="P124" s="37"/>
      <c r="Q124" s="36"/>
      <c r="R124" s="38"/>
      <c r="S124" s="43"/>
      <c r="U124" s="40"/>
      <c r="V124" s="40"/>
      <c r="W124" s="40"/>
    </row>
    <row r="125" spans="3:23" x14ac:dyDescent="0.3">
      <c r="C125" s="35" t="str">
        <f>CONCATENATE(Impuestos44[[#This Row],[Placa Vehiculo]],Impuestos44[[#This Row],[Vales]])</f>
        <v>BUS-7822 Vales</v>
      </c>
      <c r="D125" s="36" t="s">
        <v>145</v>
      </c>
      <c r="E125" s="37" t="s">
        <v>569</v>
      </c>
      <c r="F125" s="36">
        <v>2025</v>
      </c>
      <c r="G125" s="38">
        <v>283.70999999999998</v>
      </c>
      <c r="H125" s="39">
        <v>45795</v>
      </c>
      <c r="I125">
        <f>IF(Impuestos44[[#This Row],[Fecha]]="","",MONTH(Impuestos44[[#This Row],[Fecha]]))</f>
        <v>5</v>
      </c>
      <c r="J125" s="40" t="s">
        <v>576</v>
      </c>
      <c r="K125" s="40" t="s">
        <v>37</v>
      </c>
      <c r="L125" t="s">
        <v>571</v>
      </c>
      <c r="M125" s="30" t="s">
        <v>48</v>
      </c>
      <c r="N125" s="30" t="s">
        <v>577</v>
      </c>
      <c r="O125" s="30" t="str">
        <f>IFERROR(VLOOKUP(Impuestos44[[#This Row],[Nro]],[4]Placas!$A:$D,4,0),"")</f>
        <v>2 Vales Caja 2025050955.pdf</v>
      </c>
      <c r="P125" s="37"/>
      <c r="Q125" s="36"/>
      <c r="R125" s="38"/>
      <c r="S125" s="43"/>
      <c r="U125" s="40"/>
      <c r="V125" s="40"/>
      <c r="W125" s="40"/>
    </row>
    <row r="126" spans="3:23" x14ac:dyDescent="0.3">
      <c r="C126" s="35" t="str">
        <f>CONCATENATE(Impuestos44[[#This Row],[Placa Vehiculo]],Impuestos44[[#This Row],[Vales]])</f>
        <v>BUS-8012 Vales</v>
      </c>
      <c r="D126" s="36" t="s">
        <v>146</v>
      </c>
      <c r="E126" s="37" t="s">
        <v>569</v>
      </c>
      <c r="F126" s="36">
        <v>2025</v>
      </c>
      <c r="G126" s="38">
        <v>283.70999999999998</v>
      </c>
      <c r="H126" s="39">
        <v>45795</v>
      </c>
      <c r="I126">
        <f>IF(Impuestos44[[#This Row],[Fecha]]="","",MONTH(Impuestos44[[#This Row],[Fecha]]))</f>
        <v>5</v>
      </c>
      <c r="J126" s="40" t="s">
        <v>576</v>
      </c>
      <c r="K126" s="40" t="s">
        <v>37</v>
      </c>
      <c r="L126" t="s">
        <v>571</v>
      </c>
      <c r="M126" s="30" t="s">
        <v>48</v>
      </c>
      <c r="N126" s="30" t="s">
        <v>577</v>
      </c>
      <c r="O126" s="30" t="str">
        <f>IFERROR(VLOOKUP(Impuestos44[[#This Row],[Nro]],[4]Placas!$A:$D,4,0),"")</f>
        <v>2 Vales Caja 2025050955.pdf</v>
      </c>
      <c r="P126" s="37"/>
      <c r="Q126" s="36"/>
      <c r="R126" s="38"/>
      <c r="S126" s="43"/>
      <c r="U126" s="40"/>
      <c r="V126" s="40"/>
      <c r="W126" s="40"/>
    </row>
    <row r="127" spans="3:23" x14ac:dyDescent="0.3">
      <c r="C127" s="35" t="str">
        <f>CONCATENATE(Impuestos44[[#This Row],[Placa Vehiculo]],Impuestos44[[#This Row],[Vales]])</f>
        <v>BUS-8022 Vales</v>
      </c>
      <c r="D127" s="36" t="s">
        <v>147</v>
      </c>
      <c r="E127" s="37" t="s">
        <v>569</v>
      </c>
      <c r="F127" s="36">
        <v>2025</v>
      </c>
      <c r="G127" s="38">
        <v>283.70999999999998</v>
      </c>
      <c r="H127" s="39">
        <v>45795</v>
      </c>
      <c r="I127">
        <f>IF(Impuestos44[[#This Row],[Fecha]]="","",MONTH(Impuestos44[[#This Row],[Fecha]]))</f>
        <v>5</v>
      </c>
      <c r="J127" s="40" t="s">
        <v>576</v>
      </c>
      <c r="K127" s="40" t="s">
        <v>37</v>
      </c>
      <c r="L127" t="s">
        <v>571</v>
      </c>
      <c r="M127" s="30" t="s">
        <v>48</v>
      </c>
      <c r="N127" s="30" t="s">
        <v>577</v>
      </c>
      <c r="O127" s="30" t="str">
        <f>IFERROR(VLOOKUP(Impuestos44[[#This Row],[Nro]],[4]Placas!$A:$D,4,0),"")</f>
        <v>2 Vales Caja 2025050955.pdf</v>
      </c>
      <c r="P127" s="37"/>
      <c r="Q127" s="36"/>
      <c r="R127" s="38"/>
      <c r="S127" s="43"/>
      <c r="U127" s="40"/>
      <c r="V127" s="40"/>
      <c r="W127" s="40"/>
    </row>
    <row r="128" spans="3:23" x14ac:dyDescent="0.3">
      <c r="C128" s="35" t="str">
        <f>CONCATENATE(Impuestos44[[#This Row],[Placa Vehiculo]],Impuestos44[[#This Row],[Vales]])</f>
        <v>BUS-7272 Vales</v>
      </c>
      <c r="D128" s="36" t="s">
        <v>148</v>
      </c>
      <c r="E128" s="37" t="s">
        <v>569</v>
      </c>
      <c r="F128" s="36">
        <v>2025</v>
      </c>
      <c r="G128" s="38">
        <v>283.70999999999998</v>
      </c>
      <c r="H128" s="39">
        <v>45795</v>
      </c>
      <c r="I128">
        <f>IF(Impuestos44[[#This Row],[Fecha]]="","",MONTH(Impuestos44[[#This Row],[Fecha]]))</f>
        <v>5</v>
      </c>
      <c r="J128" s="40" t="s">
        <v>576</v>
      </c>
      <c r="K128" s="40" t="s">
        <v>37</v>
      </c>
      <c r="L128" t="s">
        <v>571</v>
      </c>
      <c r="M128" s="30" t="s">
        <v>48</v>
      </c>
      <c r="N128" s="30" t="s">
        <v>577</v>
      </c>
      <c r="O128" s="30" t="str">
        <f>IFERROR(VLOOKUP(Impuestos44[[#This Row],[Nro]],[4]Placas!$A:$D,4,0),"")</f>
        <v/>
      </c>
      <c r="P128" s="37"/>
      <c r="Q128" s="36"/>
      <c r="R128" s="38"/>
      <c r="S128" s="43"/>
      <c r="U128" s="40"/>
      <c r="V128" s="40"/>
      <c r="W128" s="40"/>
    </row>
    <row r="129" spans="3:23" x14ac:dyDescent="0.3">
      <c r="C129" s="35" t="str">
        <f>CONCATENATE(Impuestos44[[#This Row],[Placa Vehiculo]],Impuestos44[[#This Row],[Vales]])</f>
        <v>BUS-8162 Vales</v>
      </c>
      <c r="D129" s="36" t="s">
        <v>149</v>
      </c>
      <c r="E129" s="37" t="s">
        <v>569</v>
      </c>
      <c r="F129" s="36">
        <v>2025</v>
      </c>
      <c r="G129" s="38">
        <v>283.70999999999998</v>
      </c>
      <c r="H129" s="39">
        <v>45795</v>
      </c>
      <c r="I129">
        <f>IF(Impuestos44[[#This Row],[Fecha]]="","",MONTH(Impuestos44[[#This Row],[Fecha]]))</f>
        <v>5</v>
      </c>
      <c r="J129" s="40" t="s">
        <v>576</v>
      </c>
      <c r="K129" s="40" t="s">
        <v>37</v>
      </c>
      <c r="L129" t="s">
        <v>571</v>
      </c>
      <c r="M129" s="30" t="s">
        <v>48</v>
      </c>
      <c r="N129" s="30" t="s">
        <v>577</v>
      </c>
      <c r="O129" s="30" t="str">
        <f>IFERROR(VLOOKUP(Impuestos44[[#This Row],[Nro]],[4]Placas!$A:$D,4,0),"")</f>
        <v>2 Vales Caja 2025050955.pdf</v>
      </c>
      <c r="P129" s="37"/>
      <c r="Q129" s="36"/>
      <c r="R129" s="38"/>
      <c r="S129" s="43"/>
      <c r="U129" s="40"/>
      <c r="V129" s="40"/>
      <c r="W129" s="40"/>
    </row>
    <row r="130" spans="3:23" x14ac:dyDescent="0.3">
      <c r="C130" s="35" t="str">
        <f>CONCATENATE(Impuestos44[[#This Row],[Placa Vehiculo]],Impuestos44[[#This Row],[Vales]])</f>
        <v>BUS-8622 Vales</v>
      </c>
      <c r="D130" s="36" t="s">
        <v>150</v>
      </c>
      <c r="E130" s="37" t="s">
        <v>569</v>
      </c>
      <c r="F130" s="36">
        <v>2025</v>
      </c>
      <c r="G130" s="38">
        <v>283.70999999999998</v>
      </c>
      <c r="H130" s="39">
        <v>45795</v>
      </c>
      <c r="I130">
        <f>IF(Impuestos44[[#This Row],[Fecha]]="","",MONTH(Impuestos44[[#This Row],[Fecha]]))</f>
        <v>5</v>
      </c>
      <c r="J130" s="40" t="s">
        <v>576</v>
      </c>
      <c r="K130" s="40" t="s">
        <v>37</v>
      </c>
      <c r="L130" t="s">
        <v>571</v>
      </c>
      <c r="M130" s="30" t="s">
        <v>48</v>
      </c>
      <c r="N130" s="30" t="s">
        <v>577</v>
      </c>
      <c r="O130" s="30" t="str">
        <f>IFERROR(VLOOKUP(Impuestos44[[#This Row],[Nro]],[4]Placas!$A:$D,4,0),"")</f>
        <v>2 Vales Caja 2025050955.pdf</v>
      </c>
      <c r="P130" s="37"/>
      <c r="Q130" s="36"/>
      <c r="R130" s="38"/>
      <c r="S130" s="43"/>
      <c r="U130" s="40"/>
      <c r="V130" s="40"/>
      <c r="W130" s="40"/>
    </row>
    <row r="131" spans="3:23" x14ac:dyDescent="0.3">
      <c r="C131" s="35" t="str">
        <f>CONCATENATE(Impuestos44[[#This Row],[Placa Vehiculo]],Impuestos44[[#This Row],[Vales]])</f>
        <v>BUS-8632 Vales</v>
      </c>
      <c r="D131" s="36" t="s">
        <v>151</v>
      </c>
      <c r="E131" s="37" t="s">
        <v>569</v>
      </c>
      <c r="F131" s="36">
        <v>2025</v>
      </c>
      <c r="G131" s="38">
        <v>283.70999999999998</v>
      </c>
      <c r="H131" s="39">
        <v>45795</v>
      </c>
      <c r="I131">
        <f>IF(Impuestos44[[#This Row],[Fecha]]="","",MONTH(Impuestos44[[#This Row],[Fecha]]))</f>
        <v>5</v>
      </c>
      <c r="J131" s="40" t="s">
        <v>576</v>
      </c>
      <c r="K131" s="40" t="s">
        <v>37</v>
      </c>
      <c r="L131" t="s">
        <v>571</v>
      </c>
      <c r="M131" s="30" t="s">
        <v>48</v>
      </c>
      <c r="N131" s="30" t="s">
        <v>577</v>
      </c>
      <c r="O131" s="30" t="str">
        <f>IFERROR(VLOOKUP(Impuestos44[[#This Row],[Nro]],[4]Placas!$A:$D,4,0),"")</f>
        <v>2 Vales Caja 2025050955.pdf</v>
      </c>
      <c r="P131" s="37"/>
      <c r="Q131" s="36"/>
      <c r="R131" s="38"/>
      <c r="S131" s="43"/>
      <c r="U131" s="40"/>
      <c r="V131" s="40"/>
      <c r="W131" s="40"/>
    </row>
    <row r="132" spans="3:23" x14ac:dyDescent="0.3">
      <c r="C132" s="35" t="str">
        <f>CONCATENATE(Impuestos44[[#This Row],[Placa Vehiculo]],Impuestos44[[#This Row],[Vales]])</f>
        <v>BUS-7182 Vales</v>
      </c>
      <c r="D132" s="36" t="s">
        <v>152</v>
      </c>
      <c r="E132" s="37" t="s">
        <v>569</v>
      </c>
      <c r="F132" s="36">
        <v>2025</v>
      </c>
      <c r="G132" s="38">
        <v>283.70999999999998</v>
      </c>
      <c r="H132" s="39">
        <v>45795</v>
      </c>
      <c r="I132">
        <f>IF(Impuestos44[[#This Row],[Fecha]]="","",MONTH(Impuestos44[[#This Row],[Fecha]]))</f>
        <v>5</v>
      </c>
      <c r="J132" s="40" t="s">
        <v>576</v>
      </c>
      <c r="K132" s="40" t="s">
        <v>37</v>
      </c>
      <c r="L132" t="s">
        <v>571</v>
      </c>
      <c r="M132" s="30" t="s">
        <v>48</v>
      </c>
      <c r="N132" s="30" t="s">
        <v>577</v>
      </c>
      <c r="O132" s="30" t="str">
        <f>IFERROR(VLOOKUP(Impuestos44[[#This Row],[Nro]],[4]Placas!$A:$D,4,0),"")</f>
        <v>2 Vales Caja 2025050955.pdf</v>
      </c>
      <c r="P132" s="37"/>
      <c r="Q132" s="36"/>
      <c r="R132" s="38"/>
      <c r="S132" s="43"/>
      <c r="U132" s="40"/>
      <c r="V132" s="40"/>
      <c r="W132" s="40"/>
    </row>
    <row r="133" spans="3:23" x14ac:dyDescent="0.3">
      <c r="C133" s="35" t="str">
        <f>CONCATENATE(Impuestos44[[#This Row],[Placa Vehiculo]],Impuestos44[[#This Row],[Vales]])</f>
        <v>CFG-0232 Vales</v>
      </c>
      <c r="D133" s="36" t="s">
        <v>110</v>
      </c>
      <c r="E133" s="37" t="s">
        <v>569</v>
      </c>
      <c r="F133" s="36">
        <v>2025</v>
      </c>
      <c r="G133" s="38">
        <v>240.28</v>
      </c>
      <c r="H133" s="39">
        <v>45795</v>
      </c>
      <c r="I133">
        <f>IF(Impuestos44[[#This Row],[Fecha]]="","",MONTH(Impuestos44[[#This Row],[Fecha]]))</f>
        <v>5</v>
      </c>
      <c r="J133" s="40" t="s">
        <v>576</v>
      </c>
      <c r="K133" s="40" t="s">
        <v>37</v>
      </c>
      <c r="L133" t="s">
        <v>571</v>
      </c>
      <c r="M133" s="30" t="s">
        <v>56</v>
      </c>
      <c r="N133" s="30" t="s">
        <v>577</v>
      </c>
      <c r="O133" s="30" t="str">
        <f>IFERROR(VLOOKUP(Impuestos44[[#This Row],[Nro]],[4]Placas!$A:$D,4,0),"")</f>
        <v/>
      </c>
      <c r="P133" s="37"/>
      <c r="Q133" s="36"/>
      <c r="R133" s="38"/>
      <c r="S133" s="43"/>
      <c r="U133" s="40"/>
      <c r="V133" s="40"/>
      <c r="W133" s="40"/>
    </row>
    <row r="134" spans="3:23" x14ac:dyDescent="0.3">
      <c r="C134" s="35" t="str">
        <f>CONCATENATE(Impuestos44[[#This Row],[Placa Vehiculo]],Impuestos44[[#This Row],[Vales]])</f>
        <v>CFF-5032 Vales</v>
      </c>
      <c r="D134" s="36" t="s">
        <v>114</v>
      </c>
      <c r="E134" s="37" t="s">
        <v>569</v>
      </c>
      <c r="F134" s="36">
        <v>2025</v>
      </c>
      <c r="G134" s="38">
        <v>240.28</v>
      </c>
      <c r="H134" s="39">
        <v>45795</v>
      </c>
      <c r="I134">
        <f>IF(Impuestos44[[#This Row],[Fecha]]="","",MONTH(Impuestos44[[#This Row],[Fecha]]))</f>
        <v>5</v>
      </c>
      <c r="J134" s="40" t="s">
        <v>576</v>
      </c>
      <c r="K134" s="40" t="s">
        <v>37</v>
      </c>
      <c r="L134" t="s">
        <v>571</v>
      </c>
      <c r="M134" s="30" t="s">
        <v>56</v>
      </c>
      <c r="N134" s="30" t="s">
        <v>577</v>
      </c>
      <c r="O134" s="30" t="str">
        <f>IFERROR(VLOOKUP(Impuestos44[[#This Row],[Nro]],[4]Placas!$A:$D,4,0),"")</f>
        <v/>
      </c>
      <c r="P134" s="37"/>
      <c r="Q134" s="36"/>
      <c r="R134" s="38"/>
      <c r="S134" s="43"/>
      <c r="U134" s="40"/>
      <c r="V134" s="40"/>
      <c r="W134" s="40"/>
    </row>
    <row r="135" spans="3:23" x14ac:dyDescent="0.3">
      <c r="C135" s="35" t="str">
        <f>CONCATENATE(Impuestos44[[#This Row],[Placa Vehiculo]],Impuestos44[[#This Row],[Vales]])</f>
        <v>BYR-9442 Vales</v>
      </c>
      <c r="D135" s="36" t="s">
        <v>153</v>
      </c>
      <c r="E135" s="37" t="s">
        <v>569</v>
      </c>
      <c r="F135" s="36">
        <v>2025</v>
      </c>
      <c r="G135" s="38">
        <v>356.83</v>
      </c>
      <c r="H135" s="39">
        <v>45795</v>
      </c>
      <c r="I135">
        <f>IF(Impuestos44[[#This Row],[Fecha]]="","",MONTH(Impuestos44[[#This Row],[Fecha]]))</f>
        <v>5</v>
      </c>
      <c r="J135" s="40" t="s">
        <v>576</v>
      </c>
      <c r="K135" s="40" t="s">
        <v>37</v>
      </c>
      <c r="L135" t="s">
        <v>571</v>
      </c>
      <c r="M135" s="30" t="s">
        <v>48</v>
      </c>
      <c r="N135" s="30" t="s">
        <v>577</v>
      </c>
      <c r="O135" s="30" t="str">
        <f>IFERROR(VLOOKUP(Impuestos44[[#This Row],[Nro]],[4]Placas!$A:$D,4,0),"")</f>
        <v>2 Vales Caja 2025050955.pdf</v>
      </c>
      <c r="P135" s="37"/>
      <c r="Q135" s="36"/>
      <c r="R135" s="38"/>
      <c r="S135" s="43"/>
      <c r="U135" s="40"/>
      <c r="V135" s="40"/>
      <c r="W135" s="40"/>
    </row>
    <row r="136" spans="3:23" x14ac:dyDescent="0.3">
      <c r="C136" s="35" t="str">
        <f>CONCATENATE(Impuestos44[[#This Row],[Placa Vehiculo]],Impuestos44[[#This Row],[Vales]])</f>
        <v>BYR-9482 Vales</v>
      </c>
      <c r="D136" s="36" t="s">
        <v>154</v>
      </c>
      <c r="E136" s="37" t="s">
        <v>569</v>
      </c>
      <c r="F136" s="36">
        <v>2025</v>
      </c>
      <c r="G136" s="38">
        <v>356.83</v>
      </c>
      <c r="H136" s="39">
        <v>45795</v>
      </c>
      <c r="I136">
        <f>IF(Impuestos44[[#This Row],[Fecha]]="","",MONTH(Impuestos44[[#This Row],[Fecha]]))</f>
        <v>5</v>
      </c>
      <c r="J136" s="40" t="s">
        <v>576</v>
      </c>
      <c r="K136" s="40" t="s">
        <v>37</v>
      </c>
      <c r="L136" t="s">
        <v>571</v>
      </c>
      <c r="M136" s="30" t="s">
        <v>48</v>
      </c>
      <c r="N136" s="30" t="s">
        <v>577</v>
      </c>
      <c r="O136" s="30" t="str">
        <f>IFERROR(VLOOKUP(Impuestos44[[#This Row],[Nro]],[4]Placas!$A:$D,4,0),"")</f>
        <v>2 Vales Caja 2025050955.pdf</v>
      </c>
      <c r="P136" s="37"/>
      <c r="Q136" s="36"/>
      <c r="R136" s="38"/>
      <c r="S136" s="43"/>
      <c r="U136" s="40"/>
      <c r="V136" s="40"/>
      <c r="W136" s="40"/>
    </row>
    <row r="137" spans="3:23" x14ac:dyDescent="0.3">
      <c r="C137" s="35" t="str">
        <f>CONCATENATE(Impuestos44[[#This Row],[Placa Vehiculo]],Impuestos44[[#This Row],[Vales]])</f>
        <v>BYS-7642 Vales</v>
      </c>
      <c r="D137" s="36" t="s">
        <v>155</v>
      </c>
      <c r="E137" s="37" t="s">
        <v>569</v>
      </c>
      <c r="F137" s="36">
        <v>2025</v>
      </c>
      <c r="G137" s="38">
        <v>356.83</v>
      </c>
      <c r="H137" s="39">
        <v>45795</v>
      </c>
      <c r="I137">
        <f>IF(Impuestos44[[#This Row],[Fecha]]="","",MONTH(Impuestos44[[#This Row],[Fecha]]))</f>
        <v>5</v>
      </c>
      <c r="J137" s="40" t="s">
        <v>576</v>
      </c>
      <c r="K137" s="40" t="s">
        <v>37</v>
      </c>
      <c r="L137" t="s">
        <v>571</v>
      </c>
      <c r="M137" s="30" t="s">
        <v>48</v>
      </c>
      <c r="N137" s="30" t="s">
        <v>577</v>
      </c>
      <c r="O137" s="30" t="str">
        <f>IFERROR(VLOOKUP(Impuestos44[[#This Row],[Nro]],[4]Placas!$A:$D,4,0),"")</f>
        <v>2 Vales Caja 2025050955.pdf</v>
      </c>
      <c r="P137" s="37"/>
      <c r="Q137" s="36"/>
      <c r="R137" s="38"/>
      <c r="S137" s="43"/>
      <c r="U137" s="40"/>
      <c r="V137" s="40"/>
      <c r="W137" s="40"/>
    </row>
    <row r="138" spans="3:23" x14ac:dyDescent="0.3">
      <c r="C138" s="35" t="str">
        <f>CONCATENATE(Impuestos44[[#This Row],[Placa Vehiculo]],Impuestos44[[#This Row],[Vales]])</f>
        <v>BYS-7932 Vales</v>
      </c>
      <c r="D138" s="36" t="s">
        <v>156</v>
      </c>
      <c r="E138" s="37" t="s">
        <v>569</v>
      </c>
      <c r="F138" s="36">
        <v>2025</v>
      </c>
      <c r="G138" s="38">
        <v>356.83</v>
      </c>
      <c r="H138" s="39">
        <v>45795</v>
      </c>
      <c r="I138">
        <f>IF(Impuestos44[[#This Row],[Fecha]]="","",MONTH(Impuestos44[[#This Row],[Fecha]]))</f>
        <v>5</v>
      </c>
      <c r="J138" s="40" t="s">
        <v>576</v>
      </c>
      <c r="K138" s="40" t="s">
        <v>37</v>
      </c>
      <c r="L138" t="s">
        <v>571</v>
      </c>
      <c r="M138" s="30" t="s">
        <v>48</v>
      </c>
      <c r="N138" s="30" t="s">
        <v>577</v>
      </c>
      <c r="O138" s="30" t="str">
        <f>IFERROR(VLOOKUP(Impuestos44[[#This Row],[Nro]],[4]Placas!$A:$D,4,0),"")</f>
        <v>2 Vales Caja 2025050955.pdf</v>
      </c>
      <c r="P138" s="37"/>
      <c r="Q138" s="36"/>
      <c r="R138" s="38"/>
      <c r="S138" s="43"/>
      <c r="U138" s="40"/>
      <c r="V138" s="40"/>
      <c r="W138" s="40"/>
    </row>
    <row r="139" spans="3:23" x14ac:dyDescent="0.3">
      <c r="C139" s="35" t="str">
        <f>CONCATENATE(Impuestos44[[#This Row],[Placa Vehiculo]],Impuestos44[[#This Row],[Vales]])</f>
        <v>BYS-7992 Vales</v>
      </c>
      <c r="D139" s="36" t="s">
        <v>157</v>
      </c>
      <c r="E139" s="37" t="s">
        <v>569</v>
      </c>
      <c r="F139" s="36">
        <v>2025</v>
      </c>
      <c r="G139" s="38">
        <v>356.83</v>
      </c>
      <c r="H139" s="39">
        <v>45795</v>
      </c>
      <c r="I139">
        <f>IF(Impuestos44[[#This Row],[Fecha]]="","",MONTH(Impuestos44[[#This Row],[Fecha]]))</f>
        <v>5</v>
      </c>
      <c r="J139" s="40" t="s">
        <v>576</v>
      </c>
      <c r="K139" s="40" t="s">
        <v>37</v>
      </c>
      <c r="L139" t="s">
        <v>571</v>
      </c>
      <c r="M139" s="30" t="s">
        <v>48</v>
      </c>
      <c r="N139" s="30" t="s">
        <v>577</v>
      </c>
      <c r="O139" s="30" t="str">
        <f>IFERROR(VLOOKUP(Impuestos44[[#This Row],[Nro]],[4]Placas!$A:$D,4,0),"")</f>
        <v>2 Vales Caja 2025050955.pdf</v>
      </c>
      <c r="P139" s="37"/>
      <c r="Q139" s="36"/>
      <c r="R139" s="38"/>
      <c r="S139" s="43"/>
      <c r="U139" s="40"/>
      <c r="V139" s="40"/>
      <c r="W139" s="40"/>
    </row>
    <row r="140" spans="3:23" x14ac:dyDescent="0.3">
      <c r="C140" s="35" t="str">
        <f>CONCATENATE(Impuestos44[[#This Row],[Placa Vehiculo]],Impuestos44[[#This Row],[Vales]])</f>
        <v>BYS-8002 Vales</v>
      </c>
      <c r="D140" s="36" t="s">
        <v>158</v>
      </c>
      <c r="E140" s="37" t="s">
        <v>569</v>
      </c>
      <c r="F140" s="36">
        <v>2025</v>
      </c>
      <c r="G140" s="38">
        <v>356.83</v>
      </c>
      <c r="H140" s="39">
        <v>45795</v>
      </c>
      <c r="I140">
        <f>IF(Impuestos44[[#This Row],[Fecha]]="","",MONTH(Impuestos44[[#This Row],[Fecha]]))</f>
        <v>5</v>
      </c>
      <c r="J140" s="40" t="s">
        <v>576</v>
      </c>
      <c r="K140" s="40" t="s">
        <v>37</v>
      </c>
      <c r="L140" t="s">
        <v>571</v>
      </c>
      <c r="M140" s="30" t="s">
        <v>48</v>
      </c>
      <c r="N140" s="30" t="s">
        <v>577</v>
      </c>
      <c r="O140" s="30" t="str">
        <f>IFERROR(VLOOKUP(Impuestos44[[#This Row],[Nro]],[4]Placas!$A:$D,4,0),"")</f>
        <v>2 Vales Caja 2025050955.pdf</v>
      </c>
      <c r="P140" s="37"/>
      <c r="Q140" s="36"/>
      <c r="R140" s="38"/>
      <c r="S140" s="43"/>
      <c r="U140" s="40"/>
      <c r="V140" s="40"/>
      <c r="W140" s="40"/>
    </row>
    <row r="141" spans="3:23" x14ac:dyDescent="0.3">
      <c r="C141" s="35" t="str">
        <f>CONCATENATE(Impuestos44[[#This Row],[Placa Vehiculo]],Impuestos44[[#This Row],[Vales]])</f>
        <v>BYS-8452 Vales</v>
      </c>
      <c r="D141" s="36" t="s">
        <v>159</v>
      </c>
      <c r="E141" s="37" t="s">
        <v>569</v>
      </c>
      <c r="F141" s="36">
        <v>2025</v>
      </c>
      <c r="G141" s="38">
        <v>356.83</v>
      </c>
      <c r="H141" s="39">
        <v>45795</v>
      </c>
      <c r="I141">
        <f>IF(Impuestos44[[#This Row],[Fecha]]="","",MONTH(Impuestos44[[#This Row],[Fecha]]))</f>
        <v>5</v>
      </c>
      <c r="J141" s="40" t="s">
        <v>576</v>
      </c>
      <c r="K141" s="40" t="s">
        <v>37</v>
      </c>
      <c r="L141" t="s">
        <v>571</v>
      </c>
      <c r="M141" s="30" t="s">
        <v>48</v>
      </c>
      <c r="N141" s="30" t="s">
        <v>577</v>
      </c>
      <c r="O141" s="30" t="str">
        <f>IFERROR(VLOOKUP(Impuestos44[[#This Row],[Nro]],[4]Placas!$A:$D,4,0),"")</f>
        <v>2 Vales Caja 2025050955.pdf</v>
      </c>
      <c r="P141" s="37"/>
      <c r="Q141" s="36"/>
      <c r="R141" s="38"/>
      <c r="S141" s="43"/>
      <c r="U141" s="40"/>
      <c r="V141" s="40"/>
      <c r="W141" s="40"/>
    </row>
    <row r="142" spans="3:23" x14ac:dyDescent="0.3">
      <c r="C142" s="35" t="str">
        <f>CONCATENATE(Impuestos44[[#This Row],[Placa Vehiculo]],Impuestos44[[#This Row],[Vales]])</f>
        <v>CNL-0762 Vales</v>
      </c>
      <c r="D142" s="36" t="s">
        <v>91</v>
      </c>
      <c r="E142" s="37" t="s">
        <v>569</v>
      </c>
      <c r="F142" s="36">
        <v>2025</v>
      </c>
      <c r="G142" s="38">
        <v>350.68</v>
      </c>
      <c r="H142" s="39">
        <v>45795</v>
      </c>
      <c r="I142">
        <f>IF(Impuestos44[[#This Row],[Fecha]]="","",MONTH(Impuestos44[[#This Row],[Fecha]]))</f>
        <v>5</v>
      </c>
      <c r="J142" s="40" t="s">
        <v>576</v>
      </c>
      <c r="K142" s="40" t="s">
        <v>37</v>
      </c>
      <c r="L142" t="s">
        <v>571</v>
      </c>
      <c r="M142" s="30" t="s">
        <v>54</v>
      </c>
      <c r="N142" s="30" t="s">
        <v>577</v>
      </c>
      <c r="O142" s="30" t="str">
        <f>IFERROR(VLOOKUP(Impuestos44[[#This Row],[Nro]],[4]Placas!$A:$D,4,0),"")</f>
        <v>2 Vales Caja 2025050959.pdf</v>
      </c>
      <c r="P142" s="37"/>
      <c r="Q142" s="36"/>
      <c r="R142" s="38"/>
      <c r="S142" s="43"/>
      <c r="U142" s="40"/>
      <c r="V142" s="40"/>
      <c r="W142" s="40"/>
    </row>
    <row r="143" spans="3:23" x14ac:dyDescent="0.3">
      <c r="C143" s="35" t="str">
        <f>CONCATENATE(Impuestos44[[#This Row],[Placa Vehiculo]],Impuestos44[[#This Row],[Vales]])</f>
        <v>CNK-6222 Vales</v>
      </c>
      <c r="D143" s="36" t="s">
        <v>72</v>
      </c>
      <c r="E143" s="37" t="s">
        <v>569</v>
      </c>
      <c r="F143" s="36">
        <v>2025</v>
      </c>
      <c r="G143" s="38">
        <v>325.24</v>
      </c>
      <c r="H143" s="39">
        <v>45795</v>
      </c>
      <c r="I143">
        <f>IF(Impuestos44[[#This Row],[Fecha]]="","",MONTH(Impuestos44[[#This Row],[Fecha]]))</f>
        <v>5</v>
      </c>
      <c r="J143" s="40" t="s">
        <v>576</v>
      </c>
      <c r="K143" s="40" t="s">
        <v>37</v>
      </c>
      <c r="L143" t="s">
        <v>571</v>
      </c>
      <c r="M143" s="30" t="s">
        <v>54</v>
      </c>
      <c r="N143" s="30" t="s">
        <v>577</v>
      </c>
      <c r="O143" s="30" t="str">
        <f>IFERROR(VLOOKUP(Impuestos44[[#This Row],[Nro]],[4]Placas!$A:$D,4,0),"")</f>
        <v>2 Vales Caja 2025050958.pdf</v>
      </c>
      <c r="P143" s="37"/>
      <c r="Q143" s="36"/>
      <c r="R143" s="38"/>
      <c r="S143" s="43"/>
      <c r="U143" s="40"/>
      <c r="V143" s="40"/>
      <c r="W143" s="40"/>
    </row>
    <row r="144" spans="3:23" x14ac:dyDescent="0.3">
      <c r="C144" s="35" t="str">
        <f>CONCATENATE(Impuestos44[[#This Row],[Placa Vehiculo]],Impuestos44[[#This Row],[Vales]])</f>
        <v>CNL-0742 Vales</v>
      </c>
      <c r="D144" s="36" t="s">
        <v>74</v>
      </c>
      <c r="E144" s="37" t="s">
        <v>569</v>
      </c>
      <c r="F144" s="36">
        <v>2025</v>
      </c>
      <c r="G144" s="38">
        <v>325.24</v>
      </c>
      <c r="H144" s="39">
        <v>45795</v>
      </c>
      <c r="I144">
        <f>IF(Impuestos44[[#This Row],[Fecha]]="","",MONTH(Impuestos44[[#This Row],[Fecha]]))</f>
        <v>5</v>
      </c>
      <c r="J144" s="40" t="s">
        <v>576</v>
      </c>
      <c r="K144" s="40" t="s">
        <v>37</v>
      </c>
      <c r="L144" t="s">
        <v>571</v>
      </c>
      <c r="M144" s="30" t="s">
        <v>54</v>
      </c>
      <c r="N144" s="30" t="s">
        <v>577</v>
      </c>
      <c r="O144" s="30" t="str">
        <f>IFERROR(VLOOKUP(Impuestos44[[#This Row],[Nro]],[4]Placas!$A:$D,4,0),"")</f>
        <v>2 Vales Caja 2025050958.pdf</v>
      </c>
      <c r="P144" s="37"/>
      <c r="Q144" s="36"/>
      <c r="R144" s="38"/>
      <c r="S144" s="43"/>
      <c r="U144" s="40"/>
      <c r="V144" s="40"/>
      <c r="W144" s="40"/>
    </row>
    <row r="145" spans="3:23" x14ac:dyDescent="0.3">
      <c r="C145" s="35" t="str">
        <f>CONCATENATE(Impuestos44[[#This Row],[Placa Vehiculo]],Impuestos44[[#This Row],[Vales]])</f>
        <v>CNK-5422 Vales</v>
      </c>
      <c r="D145" s="36" t="s">
        <v>93</v>
      </c>
      <c r="E145" s="37" t="s">
        <v>569</v>
      </c>
      <c r="F145" s="36">
        <v>2025</v>
      </c>
      <c r="G145" s="38">
        <v>350.68</v>
      </c>
      <c r="H145" s="39">
        <v>45795</v>
      </c>
      <c r="I145">
        <f>IF(Impuestos44[[#This Row],[Fecha]]="","",MONTH(Impuestos44[[#This Row],[Fecha]]))</f>
        <v>5</v>
      </c>
      <c r="J145" s="40" t="s">
        <v>576</v>
      </c>
      <c r="K145" s="40" t="s">
        <v>37</v>
      </c>
      <c r="L145" t="s">
        <v>571</v>
      </c>
      <c r="M145" s="30" t="s">
        <v>54</v>
      </c>
      <c r="N145" s="30" t="s">
        <v>577</v>
      </c>
      <c r="O145" s="30" t="str">
        <f>IFERROR(VLOOKUP(Impuestos44[[#This Row],[Nro]],[4]Placas!$A:$D,4,0),"")</f>
        <v>2 Vales Caja 2025050959.pdf</v>
      </c>
      <c r="P145" s="37"/>
      <c r="Q145" s="36"/>
      <c r="R145" s="38"/>
      <c r="S145" s="43"/>
      <c r="U145" s="40"/>
      <c r="V145" s="40"/>
      <c r="W145" s="40"/>
    </row>
    <row r="146" spans="3:23" x14ac:dyDescent="0.3">
      <c r="C146" s="35" t="str">
        <f>CONCATENATE(Impuestos44[[#This Row],[Placa Vehiculo]],Impuestos44[[#This Row],[Vales]])</f>
        <v>CNL-0092 Vales</v>
      </c>
      <c r="D146" s="36" t="s">
        <v>94</v>
      </c>
      <c r="E146" s="37" t="s">
        <v>569</v>
      </c>
      <c r="F146" s="36">
        <v>2025</v>
      </c>
      <c r="G146" s="38">
        <v>350.68</v>
      </c>
      <c r="H146" s="39">
        <v>45795</v>
      </c>
      <c r="I146">
        <f>IF(Impuestos44[[#This Row],[Fecha]]="","",MONTH(Impuestos44[[#This Row],[Fecha]]))</f>
        <v>5</v>
      </c>
      <c r="J146" s="40" t="s">
        <v>576</v>
      </c>
      <c r="K146" s="40" t="s">
        <v>37</v>
      </c>
      <c r="L146" t="s">
        <v>571</v>
      </c>
      <c r="M146" s="30" t="s">
        <v>54</v>
      </c>
      <c r="N146" s="30" t="s">
        <v>577</v>
      </c>
      <c r="O146" s="30" t="str">
        <f>IFERROR(VLOOKUP(Impuestos44[[#This Row],[Nro]],[4]Placas!$A:$D,4,0),"")</f>
        <v>2 Vales Caja 2025050959.pdf</v>
      </c>
      <c r="P146" s="37"/>
      <c r="Q146" s="36"/>
      <c r="R146" s="38"/>
      <c r="S146" s="43"/>
      <c r="U146" s="40"/>
      <c r="V146" s="40"/>
      <c r="W146" s="40"/>
    </row>
    <row r="147" spans="3:23" x14ac:dyDescent="0.3">
      <c r="C147" s="35" t="str">
        <f>CONCATENATE(Impuestos44[[#This Row],[Placa Vehiculo]],Impuestos44[[#This Row],[Vales]])</f>
        <v>CNK-5032 Vales</v>
      </c>
      <c r="D147" s="36" t="s">
        <v>95</v>
      </c>
      <c r="E147" s="37" t="s">
        <v>569</v>
      </c>
      <c r="F147" s="36">
        <v>2025</v>
      </c>
      <c r="G147" s="38">
        <v>350.68</v>
      </c>
      <c r="H147" s="39">
        <v>45795</v>
      </c>
      <c r="I147">
        <f>IF(Impuestos44[[#This Row],[Fecha]]="","",MONTH(Impuestos44[[#This Row],[Fecha]]))</f>
        <v>5</v>
      </c>
      <c r="J147" s="40" t="s">
        <v>576</v>
      </c>
      <c r="K147" s="40" t="s">
        <v>37</v>
      </c>
      <c r="L147" t="s">
        <v>571</v>
      </c>
      <c r="M147" s="30" t="s">
        <v>54</v>
      </c>
      <c r="N147" s="30" t="s">
        <v>577</v>
      </c>
      <c r="O147" s="30" t="str">
        <f>IFERROR(VLOOKUP(Impuestos44[[#This Row],[Nro]],[4]Placas!$A:$D,4,0),"")</f>
        <v>2 Vales Caja 2025050959.pdf</v>
      </c>
      <c r="P147" s="37"/>
      <c r="Q147" s="36"/>
      <c r="R147" s="38"/>
      <c r="S147" s="43"/>
      <c r="U147" s="40"/>
      <c r="V147" s="40"/>
      <c r="W147" s="40"/>
    </row>
    <row r="148" spans="3:23" x14ac:dyDescent="0.3">
      <c r="C148" s="35" t="str">
        <f>CONCATENATE(Impuestos44[[#This Row],[Placa Vehiculo]],Impuestos44[[#This Row],[Vales]])</f>
        <v>CNK-6752 Vales</v>
      </c>
      <c r="D148" s="36" t="s">
        <v>75</v>
      </c>
      <c r="E148" s="37" t="s">
        <v>569</v>
      </c>
      <c r="F148" s="36">
        <v>2025</v>
      </c>
      <c r="G148" s="38">
        <v>325.24</v>
      </c>
      <c r="H148" s="39">
        <v>45795</v>
      </c>
      <c r="I148">
        <f>IF(Impuestos44[[#This Row],[Fecha]]="","",MONTH(Impuestos44[[#This Row],[Fecha]]))</f>
        <v>5</v>
      </c>
      <c r="J148" s="40" t="s">
        <v>576</v>
      </c>
      <c r="K148" s="40" t="s">
        <v>37</v>
      </c>
      <c r="L148" t="s">
        <v>571</v>
      </c>
      <c r="M148" s="30" t="s">
        <v>54</v>
      </c>
      <c r="N148" s="30" t="s">
        <v>577</v>
      </c>
      <c r="O148" s="30" t="str">
        <f>IFERROR(VLOOKUP(Impuestos44[[#This Row],[Nro]],[4]Placas!$A:$D,4,0),"")</f>
        <v>2 Vales Caja 2025050958.pdf</v>
      </c>
      <c r="P148" s="37"/>
      <c r="Q148" s="36"/>
      <c r="R148" s="38"/>
      <c r="S148" s="43"/>
      <c r="U148" s="40"/>
      <c r="V148" s="40"/>
      <c r="W148" s="40"/>
    </row>
    <row r="149" spans="3:23" x14ac:dyDescent="0.3">
      <c r="C149" s="35" t="str">
        <f>CONCATENATE(Impuestos44[[#This Row],[Placa Vehiculo]],Impuestos44[[#This Row],[Vales]])</f>
        <v>CNK-2632 Vales</v>
      </c>
      <c r="D149" s="36" t="s">
        <v>96</v>
      </c>
      <c r="E149" s="37" t="s">
        <v>569</v>
      </c>
      <c r="F149" s="36">
        <v>2025</v>
      </c>
      <c r="G149" s="38">
        <v>350.68</v>
      </c>
      <c r="H149" s="39">
        <v>45795</v>
      </c>
      <c r="I149">
        <f>IF(Impuestos44[[#This Row],[Fecha]]="","",MONTH(Impuestos44[[#This Row],[Fecha]]))</f>
        <v>5</v>
      </c>
      <c r="J149" s="40" t="s">
        <v>576</v>
      </c>
      <c r="K149" s="40" t="s">
        <v>37</v>
      </c>
      <c r="L149" t="s">
        <v>571</v>
      </c>
      <c r="M149" s="30" t="s">
        <v>54</v>
      </c>
      <c r="N149" s="30" t="s">
        <v>577</v>
      </c>
      <c r="O149" s="30" t="str">
        <f>IFERROR(VLOOKUP(Impuestos44[[#This Row],[Nro]],[4]Placas!$A:$D,4,0),"")</f>
        <v>2 Vales Caja 2025050959.pdf</v>
      </c>
      <c r="P149" s="37"/>
      <c r="Q149" s="36"/>
      <c r="R149" s="38"/>
      <c r="S149" s="43"/>
      <c r="U149" s="40"/>
      <c r="V149" s="40"/>
      <c r="W149" s="40"/>
    </row>
    <row r="150" spans="3:23" x14ac:dyDescent="0.3">
      <c r="C150" s="35" t="str">
        <f>CONCATENATE(Impuestos44[[#This Row],[Placa Vehiculo]],Impuestos44[[#This Row],[Vales]])</f>
        <v>CNL-0912 Vales</v>
      </c>
      <c r="D150" s="36" t="s">
        <v>76</v>
      </c>
      <c r="E150" s="37" t="s">
        <v>569</v>
      </c>
      <c r="F150" s="36">
        <v>2025</v>
      </c>
      <c r="G150" s="38">
        <v>325.24</v>
      </c>
      <c r="H150" s="39">
        <v>45795</v>
      </c>
      <c r="I150">
        <f>IF(Impuestos44[[#This Row],[Fecha]]="","",MONTH(Impuestos44[[#This Row],[Fecha]]))</f>
        <v>5</v>
      </c>
      <c r="J150" s="40" t="s">
        <v>576</v>
      </c>
      <c r="K150" s="40" t="s">
        <v>37</v>
      </c>
      <c r="L150" t="s">
        <v>571</v>
      </c>
      <c r="M150" s="30" t="s">
        <v>54</v>
      </c>
      <c r="N150" s="30" t="s">
        <v>577</v>
      </c>
      <c r="O150" s="30" t="str">
        <f>IFERROR(VLOOKUP(Impuestos44[[#This Row],[Nro]],[4]Placas!$A:$D,4,0),"")</f>
        <v>2 Vales Caja 2025050958.pdf</v>
      </c>
      <c r="P150" s="37"/>
      <c r="Q150" s="36"/>
      <c r="R150" s="38"/>
      <c r="S150" s="43"/>
      <c r="U150" s="40"/>
      <c r="V150" s="40"/>
      <c r="W150" s="40"/>
    </row>
    <row r="151" spans="3:23" x14ac:dyDescent="0.3">
      <c r="C151" s="35" t="str">
        <f>CONCATENATE(Impuestos44[[#This Row],[Placa Vehiculo]],Impuestos44[[#This Row],[Vales]])</f>
        <v>CNK-5872 Vales</v>
      </c>
      <c r="D151" s="36" t="s">
        <v>77</v>
      </c>
      <c r="E151" s="37" t="s">
        <v>569</v>
      </c>
      <c r="F151" s="36">
        <v>2025</v>
      </c>
      <c r="G151" s="38">
        <v>325.24</v>
      </c>
      <c r="H151" s="39">
        <v>45795</v>
      </c>
      <c r="I151">
        <f>IF(Impuestos44[[#This Row],[Fecha]]="","",MONTH(Impuestos44[[#This Row],[Fecha]]))</f>
        <v>5</v>
      </c>
      <c r="J151" s="40" t="s">
        <v>576</v>
      </c>
      <c r="K151" s="40" t="s">
        <v>37</v>
      </c>
      <c r="L151" t="s">
        <v>571</v>
      </c>
      <c r="M151" s="30" t="s">
        <v>54</v>
      </c>
      <c r="N151" s="30" t="s">
        <v>577</v>
      </c>
      <c r="O151" s="30" t="str">
        <f>IFERROR(VLOOKUP(Impuestos44[[#This Row],[Nro]],[4]Placas!$A:$D,4,0),"")</f>
        <v>2 Vales Caja 2025050958.pdf</v>
      </c>
      <c r="P151" s="37"/>
      <c r="Q151" s="36"/>
      <c r="R151" s="38"/>
      <c r="S151" s="43"/>
      <c r="U151" s="40"/>
      <c r="V151" s="40"/>
      <c r="W151" s="40"/>
    </row>
    <row r="152" spans="3:23" x14ac:dyDescent="0.3">
      <c r="C152" s="35" t="str">
        <f>CONCATENATE(Impuestos44[[#This Row],[Placa Vehiculo]],Impuestos44[[#This Row],[Vales]])</f>
        <v>CNL-1212 Vales</v>
      </c>
      <c r="D152" s="36" t="s">
        <v>97</v>
      </c>
      <c r="E152" s="37" t="s">
        <v>569</v>
      </c>
      <c r="F152" s="36">
        <v>2025</v>
      </c>
      <c r="G152" s="38">
        <v>350.68</v>
      </c>
      <c r="H152" s="39">
        <v>45795</v>
      </c>
      <c r="I152">
        <f>IF(Impuestos44[[#This Row],[Fecha]]="","",MONTH(Impuestos44[[#This Row],[Fecha]]))</f>
        <v>5</v>
      </c>
      <c r="J152" s="40" t="s">
        <v>576</v>
      </c>
      <c r="K152" s="40" t="s">
        <v>37</v>
      </c>
      <c r="L152" t="s">
        <v>571</v>
      </c>
      <c r="M152" s="30" t="s">
        <v>54</v>
      </c>
      <c r="N152" s="30" t="s">
        <v>577</v>
      </c>
      <c r="O152" s="30" t="str">
        <f>IFERROR(VLOOKUP(Impuestos44[[#This Row],[Nro]],[4]Placas!$A:$D,4,0),"")</f>
        <v>2 Vales Caja 2025050959.pdf</v>
      </c>
      <c r="P152" s="37"/>
      <c r="Q152" s="36"/>
      <c r="R152" s="38"/>
      <c r="S152" s="43"/>
      <c r="U152" s="40"/>
      <c r="V152" s="40"/>
      <c r="W152" s="40"/>
    </row>
    <row r="153" spans="3:23" x14ac:dyDescent="0.3">
      <c r="C153" s="35" t="str">
        <f>CONCATENATE(Impuestos44[[#This Row],[Placa Vehiculo]],Impuestos44[[#This Row],[Vales]])</f>
        <v>CNK-4852 Vales</v>
      </c>
      <c r="D153" s="36" t="s">
        <v>98</v>
      </c>
      <c r="E153" s="37" t="s">
        <v>569</v>
      </c>
      <c r="F153" s="36">
        <v>2025</v>
      </c>
      <c r="G153" s="38">
        <v>350.68</v>
      </c>
      <c r="H153" s="39">
        <v>45795</v>
      </c>
      <c r="I153">
        <f>IF(Impuestos44[[#This Row],[Fecha]]="","",MONTH(Impuestos44[[#This Row],[Fecha]]))</f>
        <v>5</v>
      </c>
      <c r="J153" s="40" t="s">
        <v>576</v>
      </c>
      <c r="K153" s="40" t="s">
        <v>37</v>
      </c>
      <c r="L153" t="s">
        <v>571</v>
      </c>
      <c r="M153" s="30" t="s">
        <v>54</v>
      </c>
      <c r="N153" s="30" t="s">
        <v>577</v>
      </c>
      <c r="O153" s="30" t="str">
        <f>IFERROR(VLOOKUP(Impuestos44[[#This Row],[Nro]],[4]Placas!$A:$D,4,0),"")</f>
        <v>2 Vales Caja 2025050959.pdf</v>
      </c>
      <c r="P153" s="37"/>
      <c r="Q153" s="36"/>
      <c r="R153" s="38"/>
      <c r="S153" s="43"/>
      <c r="U153" s="40"/>
      <c r="V153" s="40"/>
      <c r="W153" s="40"/>
    </row>
    <row r="154" spans="3:23" x14ac:dyDescent="0.3">
      <c r="C154" s="35" t="str">
        <f>CONCATENATE(Impuestos44[[#This Row],[Placa Vehiculo]],Impuestos44[[#This Row],[Vales]])</f>
        <v>CNK-5052 Vales</v>
      </c>
      <c r="D154" s="36" t="s">
        <v>99</v>
      </c>
      <c r="E154" s="37" t="s">
        <v>569</v>
      </c>
      <c r="F154" s="36">
        <v>2025</v>
      </c>
      <c r="G154" s="38">
        <v>350.68</v>
      </c>
      <c r="H154" s="39">
        <v>45795</v>
      </c>
      <c r="I154">
        <f>IF(Impuestos44[[#This Row],[Fecha]]="","",MONTH(Impuestos44[[#This Row],[Fecha]]))</f>
        <v>5</v>
      </c>
      <c r="J154" s="40" t="s">
        <v>576</v>
      </c>
      <c r="K154" s="40" t="s">
        <v>37</v>
      </c>
      <c r="L154" t="s">
        <v>571</v>
      </c>
      <c r="M154" s="30" t="s">
        <v>54</v>
      </c>
      <c r="N154" s="30" t="s">
        <v>577</v>
      </c>
      <c r="O154" s="30" t="str">
        <f>IFERROR(VLOOKUP(Impuestos44[[#This Row],[Nro]],[4]Placas!$A:$D,4,0),"")</f>
        <v>2 Vales Caja 2025050959.pdf</v>
      </c>
      <c r="P154" s="37"/>
      <c r="Q154" s="36"/>
      <c r="R154" s="38"/>
      <c r="S154" s="43"/>
      <c r="U154" s="40"/>
      <c r="V154" s="40"/>
      <c r="W154" s="40"/>
    </row>
    <row r="155" spans="3:23" x14ac:dyDescent="0.3">
      <c r="C155" s="35" t="str">
        <f>CONCATENATE(Impuestos44[[#This Row],[Placa Vehiculo]],Impuestos44[[#This Row],[Vales]])</f>
        <v>CNK-5732 Vales</v>
      </c>
      <c r="D155" s="36" t="s">
        <v>100</v>
      </c>
      <c r="E155" s="37" t="s">
        <v>569</v>
      </c>
      <c r="F155" s="36">
        <v>2025</v>
      </c>
      <c r="G155" s="38">
        <v>350.68</v>
      </c>
      <c r="H155" s="39">
        <v>45795</v>
      </c>
      <c r="I155">
        <f>IF(Impuestos44[[#This Row],[Fecha]]="","",MONTH(Impuestos44[[#This Row],[Fecha]]))</f>
        <v>5</v>
      </c>
      <c r="J155" s="40" t="s">
        <v>576</v>
      </c>
      <c r="K155" s="40" t="s">
        <v>37</v>
      </c>
      <c r="L155" t="s">
        <v>571</v>
      </c>
      <c r="M155" s="30" t="s">
        <v>54</v>
      </c>
      <c r="N155" s="30" t="s">
        <v>577</v>
      </c>
      <c r="O155" s="30" t="str">
        <f>IFERROR(VLOOKUP(Impuestos44[[#This Row],[Nro]],[4]Placas!$A:$D,4,0),"")</f>
        <v>2 Vales Caja 2025050959.pdf</v>
      </c>
      <c r="P155" s="37"/>
      <c r="Q155" s="36"/>
      <c r="R155" s="38"/>
      <c r="S155" s="43"/>
      <c r="U155" s="40"/>
      <c r="V155" s="40"/>
      <c r="W155" s="40"/>
    </row>
    <row r="156" spans="3:23" x14ac:dyDescent="0.3">
      <c r="C156" s="35" t="str">
        <f>CONCATENATE(Impuestos44[[#This Row],[Placa Vehiculo]],Impuestos44[[#This Row],[Vales]])</f>
        <v>CNL-0102 Vales</v>
      </c>
      <c r="D156" s="36" t="s">
        <v>78</v>
      </c>
      <c r="E156" s="37" t="s">
        <v>569</v>
      </c>
      <c r="F156" s="36">
        <v>2025</v>
      </c>
      <c r="G156" s="38">
        <v>325.24</v>
      </c>
      <c r="H156" s="39">
        <v>45795</v>
      </c>
      <c r="I156">
        <f>IF(Impuestos44[[#This Row],[Fecha]]="","",MONTH(Impuestos44[[#This Row],[Fecha]]))</f>
        <v>5</v>
      </c>
      <c r="J156" s="40" t="s">
        <v>576</v>
      </c>
      <c r="K156" s="40" t="s">
        <v>37</v>
      </c>
      <c r="L156" t="s">
        <v>571</v>
      </c>
      <c r="M156" s="30" t="s">
        <v>54</v>
      </c>
      <c r="N156" s="30" t="s">
        <v>577</v>
      </c>
      <c r="O156" s="30" t="str">
        <f>IFERROR(VLOOKUP(Impuestos44[[#This Row],[Nro]],[4]Placas!$A:$D,4,0),"")</f>
        <v>2 Vales Caja 2025050958.pdf</v>
      </c>
      <c r="P156" s="37"/>
      <c r="Q156" s="36"/>
      <c r="R156" s="38"/>
      <c r="S156" s="43"/>
      <c r="U156" s="40"/>
      <c r="V156" s="40"/>
      <c r="W156" s="40"/>
    </row>
    <row r="157" spans="3:23" x14ac:dyDescent="0.3">
      <c r="C157" s="35" t="str">
        <f>CONCATENATE(Impuestos44[[#This Row],[Placa Vehiculo]],Impuestos44[[#This Row],[Vales]])</f>
        <v>CNL-0032 Vales</v>
      </c>
      <c r="D157" s="36" t="s">
        <v>79</v>
      </c>
      <c r="E157" s="37" t="s">
        <v>569</v>
      </c>
      <c r="F157" s="36">
        <v>2025</v>
      </c>
      <c r="G157" s="38">
        <v>325.24</v>
      </c>
      <c r="H157" s="39">
        <v>45795</v>
      </c>
      <c r="I157">
        <f>IF(Impuestos44[[#This Row],[Fecha]]="","",MONTH(Impuestos44[[#This Row],[Fecha]]))</f>
        <v>5</v>
      </c>
      <c r="J157" s="40" t="s">
        <v>576</v>
      </c>
      <c r="K157" s="40" t="s">
        <v>37</v>
      </c>
      <c r="L157" t="s">
        <v>571</v>
      </c>
      <c r="M157" s="30" t="s">
        <v>54</v>
      </c>
      <c r="N157" s="30" t="s">
        <v>577</v>
      </c>
      <c r="O157" s="30" t="str">
        <f>IFERROR(VLOOKUP(Impuestos44[[#This Row],[Nro]],[4]Placas!$A:$D,4,0),"")</f>
        <v>2 Vales Caja 2025050958.pdf</v>
      </c>
      <c r="P157" s="37"/>
      <c r="Q157" s="36"/>
      <c r="R157" s="38"/>
      <c r="S157" s="43"/>
      <c r="U157" s="40"/>
      <c r="V157" s="40"/>
      <c r="W157" s="40"/>
    </row>
    <row r="158" spans="3:23" x14ac:dyDescent="0.3">
      <c r="C158" s="35" t="str">
        <f>CONCATENATE(Impuestos44[[#This Row],[Placa Vehiculo]],Impuestos44[[#This Row],[Vales]])</f>
        <v>CNL-0132 Vales</v>
      </c>
      <c r="D158" s="36" t="s">
        <v>80</v>
      </c>
      <c r="E158" s="37" t="s">
        <v>569</v>
      </c>
      <c r="F158" s="36">
        <v>2025</v>
      </c>
      <c r="G158" s="38">
        <v>325.24</v>
      </c>
      <c r="H158" s="39">
        <v>45795</v>
      </c>
      <c r="I158">
        <f>IF(Impuestos44[[#This Row],[Fecha]]="","",MONTH(Impuestos44[[#This Row],[Fecha]]))</f>
        <v>5</v>
      </c>
      <c r="J158" s="40" t="s">
        <v>576</v>
      </c>
      <c r="K158" s="40" t="s">
        <v>37</v>
      </c>
      <c r="L158" t="s">
        <v>571</v>
      </c>
      <c r="M158" s="30" t="s">
        <v>54</v>
      </c>
      <c r="N158" s="30" t="s">
        <v>577</v>
      </c>
      <c r="O158" s="30" t="str">
        <f>IFERROR(VLOOKUP(Impuestos44[[#This Row],[Nro]],[4]Placas!$A:$D,4,0),"")</f>
        <v>2 Vales Caja 2025050958.pdf</v>
      </c>
      <c r="P158" s="37"/>
      <c r="Q158" s="36"/>
      <c r="R158" s="38"/>
      <c r="S158" s="43"/>
      <c r="U158" s="40"/>
      <c r="V158" s="40"/>
      <c r="W158" s="40"/>
    </row>
    <row r="159" spans="3:23" x14ac:dyDescent="0.3">
      <c r="C159" s="35" t="str">
        <f>CONCATENATE(Impuestos44[[#This Row],[Placa Vehiculo]],Impuestos44[[#This Row],[Vales]])</f>
        <v>CNK-5302 Vales</v>
      </c>
      <c r="D159" s="36" t="s">
        <v>81</v>
      </c>
      <c r="E159" s="37" t="s">
        <v>569</v>
      </c>
      <c r="F159" s="36">
        <v>2025</v>
      </c>
      <c r="G159" s="38">
        <v>325.24</v>
      </c>
      <c r="H159" s="39">
        <v>45795</v>
      </c>
      <c r="I159">
        <f>IF(Impuestos44[[#This Row],[Fecha]]="","",MONTH(Impuestos44[[#This Row],[Fecha]]))</f>
        <v>5</v>
      </c>
      <c r="J159" s="40" t="s">
        <v>576</v>
      </c>
      <c r="K159" s="40" t="s">
        <v>37</v>
      </c>
      <c r="L159" t="s">
        <v>571</v>
      </c>
      <c r="M159" s="30" t="s">
        <v>54</v>
      </c>
      <c r="N159" s="30" t="s">
        <v>577</v>
      </c>
      <c r="O159" s="30" t="str">
        <f>IFERROR(VLOOKUP(Impuestos44[[#This Row],[Nro]],[4]Placas!$A:$D,4,0),"")</f>
        <v>2 Vales Caja 2025050958.pdf</v>
      </c>
      <c r="P159" s="37"/>
      <c r="Q159" s="36"/>
      <c r="R159" s="38"/>
      <c r="S159" s="43"/>
      <c r="U159" s="40"/>
      <c r="V159" s="40"/>
      <c r="W159" s="40"/>
    </row>
    <row r="160" spans="3:23" x14ac:dyDescent="0.3">
      <c r="C160" s="35" t="str">
        <f>CONCATENATE(Impuestos44[[#This Row],[Placa Vehiculo]],Impuestos44[[#This Row],[Vales]])</f>
        <v>CNL-1352 Vales</v>
      </c>
      <c r="D160" s="36" t="s">
        <v>82</v>
      </c>
      <c r="E160" s="37" t="s">
        <v>569</v>
      </c>
      <c r="F160" s="36">
        <v>2025</v>
      </c>
      <c r="G160" s="38">
        <v>325.24</v>
      </c>
      <c r="H160" s="39">
        <v>45795</v>
      </c>
      <c r="I160">
        <f>IF(Impuestos44[[#This Row],[Fecha]]="","",MONTH(Impuestos44[[#This Row],[Fecha]]))</f>
        <v>5</v>
      </c>
      <c r="J160" s="40" t="s">
        <v>576</v>
      </c>
      <c r="K160" s="40" t="s">
        <v>37</v>
      </c>
      <c r="L160" t="s">
        <v>571</v>
      </c>
      <c r="M160" s="30" t="s">
        <v>54</v>
      </c>
      <c r="N160" s="30" t="s">
        <v>577</v>
      </c>
      <c r="O160" s="30" t="str">
        <f>IFERROR(VLOOKUP(Impuestos44[[#This Row],[Nro]],[4]Placas!$A:$D,4,0),"")</f>
        <v>2 Vales Caja 2025050958.pdf</v>
      </c>
      <c r="P160" s="37"/>
      <c r="Q160" s="36"/>
      <c r="R160" s="38"/>
      <c r="S160" s="43"/>
      <c r="U160" s="40"/>
      <c r="V160" s="40"/>
      <c r="W160" s="40"/>
    </row>
    <row r="161" spans="3:23" x14ac:dyDescent="0.3">
      <c r="C161" s="35" t="str">
        <f>CONCATENATE(Impuestos44[[#This Row],[Placa Vehiculo]],Impuestos44[[#This Row],[Vales]])</f>
        <v>CNK-6462 Vales</v>
      </c>
      <c r="D161" s="36" t="s">
        <v>83</v>
      </c>
      <c r="E161" s="37" t="s">
        <v>569</v>
      </c>
      <c r="F161" s="36">
        <v>2025</v>
      </c>
      <c r="G161" s="38">
        <v>325.24</v>
      </c>
      <c r="H161" s="39">
        <v>45795</v>
      </c>
      <c r="I161">
        <f>IF(Impuestos44[[#This Row],[Fecha]]="","",MONTH(Impuestos44[[#This Row],[Fecha]]))</f>
        <v>5</v>
      </c>
      <c r="J161" s="40" t="s">
        <v>576</v>
      </c>
      <c r="K161" s="40" t="s">
        <v>37</v>
      </c>
      <c r="L161" t="s">
        <v>571</v>
      </c>
      <c r="M161" s="30" t="s">
        <v>54</v>
      </c>
      <c r="N161" s="30" t="s">
        <v>577</v>
      </c>
      <c r="O161" s="30" t="str">
        <f>IFERROR(VLOOKUP(Impuestos44[[#This Row],[Nro]],[4]Placas!$A:$D,4,0),"")</f>
        <v>2 Vales Caja 2025050958.pdf</v>
      </c>
      <c r="P161" s="37"/>
      <c r="Q161" s="36"/>
      <c r="R161" s="38"/>
      <c r="S161" s="43"/>
      <c r="U161" s="40"/>
      <c r="V161" s="40"/>
      <c r="W161" s="40"/>
    </row>
    <row r="162" spans="3:23" x14ac:dyDescent="0.3">
      <c r="C162" s="35" t="str">
        <f>CONCATENATE(Impuestos44[[#This Row],[Placa Vehiculo]],Impuestos44[[#This Row],[Vales]])</f>
        <v>CNL-0722 Vales</v>
      </c>
      <c r="D162" s="36" t="s">
        <v>84</v>
      </c>
      <c r="E162" s="37" t="s">
        <v>569</v>
      </c>
      <c r="F162" s="36">
        <v>2025</v>
      </c>
      <c r="G162" s="38">
        <v>325.24</v>
      </c>
      <c r="H162" s="39">
        <v>45795</v>
      </c>
      <c r="I162">
        <f>IF(Impuestos44[[#This Row],[Fecha]]="","",MONTH(Impuestos44[[#This Row],[Fecha]]))</f>
        <v>5</v>
      </c>
      <c r="J162" s="40" t="s">
        <v>576</v>
      </c>
      <c r="K162" s="40" t="s">
        <v>37</v>
      </c>
      <c r="L162" t="s">
        <v>571</v>
      </c>
      <c r="M162" s="30" t="s">
        <v>54</v>
      </c>
      <c r="N162" s="30" t="s">
        <v>577</v>
      </c>
      <c r="O162" s="30" t="str">
        <f>IFERROR(VLOOKUP(Impuestos44[[#This Row],[Nro]],[4]Placas!$A:$D,4,0),"")</f>
        <v>2 Vales Caja 2025050958.pdf</v>
      </c>
      <c r="P162" s="37"/>
      <c r="Q162" s="36"/>
      <c r="R162" s="38"/>
      <c r="S162" s="43"/>
      <c r="U162" s="40"/>
      <c r="V162" s="40"/>
      <c r="W162" s="40"/>
    </row>
    <row r="163" spans="3:23" x14ac:dyDescent="0.3">
      <c r="C163" s="35" t="str">
        <f>CONCATENATE(Impuestos44[[#This Row],[Placa Vehiculo]],Impuestos44[[#This Row],[Vales]])</f>
        <v>CAU-7462 Vales</v>
      </c>
      <c r="D163" s="36" t="s">
        <v>59</v>
      </c>
      <c r="E163" s="37" t="s">
        <v>569</v>
      </c>
      <c r="F163" s="36">
        <v>2025</v>
      </c>
      <c r="G163" s="38">
        <v>318.60000000000002</v>
      </c>
      <c r="H163" s="39">
        <v>45795</v>
      </c>
      <c r="I163">
        <f>IF(Impuestos44[[#This Row],[Fecha]]="","",MONTH(Impuestos44[[#This Row],[Fecha]]))</f>
        <v>5</v>
      </c>
      <c r="J163" s="40" t="s">
        <v>576</v>
      </c>
      <c r="K163" s="40" t="s">
        <v>37</v>
      </c>
      <c r="L163" t="s">
        <v>571</v>
      </c>
      <c r="M163" s="30" t="s">
        <v>58</v>
      </c>
      <c r="N163" s="30" t="s">
        <v>577</v>
      </c>
      <c r="O163" s="30" t="str">
        <f>IFERROR(VLOOKUP(Impuestos44[[#This Row],[Nro]],[4]Placas!$A:$D,4,0),"")</f>
        <v>2 Vales Caja 2025050960.pdf</v>
      </c>
      <c r="P163" s="37"/>
      <c r="Q163" s="36"/>
      <c r="R163" s="38"/>
      <c r="S163" s="43"/>
      <c r="U163" s="40"/>
      <c r="V163" s="40"/>
      <c r="W163" s="40"/>
    </row>
    <row r="164" spans="3:23" x14ac:dyDescent="0.3">
      <c r="C164" s="35" t="str">
        <f>CONCATENATE(Impuestos44[[#This Row],[Placa Vehiculo]],Impuestos44[[#This Row],[Vales]])</f>
        <v>BYR-9432 Vales</v>
      </c>
      <c r="D164" s="36" t="s">
        <v>160</v>
      </c>
      <c r="E164" s="37" t="s">
        <v>569</v>
      </c>
      <c r="F164" s="36">
        <v>2025</v>
      </c>
      <c r="G164" s="38">
        <v>356.83</v>
      </c>
      <c r="H164" s="39">
        <v>45795</v>
      </c>
      <c r="I164">
        <f>IF(Impuestos44[[#This Row],[Fecha]]="","",MONTH(Impuestos44[[#This Row],[Fecha]]))</f>
        <v>5</v>
      </c>
      <c r="J164" s="40" t="s">
        <v>576</v>
      </c>
      <c r="K164" s="40" t="s">
        <v>37</v>
      </c>
      <c r="L164" t="s">
        <v>571</v>
      </c>
      <c r="M164" s="30" t="s">
        <v>48</v>
      </c>
      <c r="N164" s="30" t="s">
        <v>577</v>
      </c>
      <c r="O164" s="30" t="str">
        <f>IFERROR(VLOOKUP(Impuestos44[[#This Row],[Nro]],[4]Placas!$A:$D,4,0),"")</f>
        <v>2 Vales Caja 2025050955.pdf</v>
      </c>
      <c r="P164" s="37"/>
      <c r="Q164" s="36"/>
      <c r="R164" s="38"/>
      <c r="S164" s="43"/>
      <c r="U164" s="40"/>
      <c r="V164" s="40"/>
      <c r="W164" s="40"/>
    </row>
    <row r="165" spans="3:23" x14ac:dyDescent="0.3">
      <c r="C165" s="35" t="str">
        <f>CONCATENATE(Impuestos44[[#This Row],[Placa Vehiculo]],Impuestos44[[#This Row],[Vales]])</f>
        <v>BYR-9452 Vales</v>
      </c>
      <c r="D165" s="36" t="s">
        <v>161</v>
      </c>
      <c r="E165" s="37" t="s">
        <v>569</v>
      </c>
      <c r="F165" s="36">
        <v>2025</v>
      </c>
      <c r="G165" s="38">
        <v>356.83</v>
      </c>
      <c r="H165" s="39">
        <v>45795</v>
      </c>
      <c r="I165">
        <f>IF(Impuestos44[[#This Row],[Fecha]]="","",MONTH(Impuestos44[[#This Row],[Fecha]]))</f>
        <v>5</v>
      </c>
      <c r="J165" s="40" t="s">
        <v>576</v>
      </c>
      <c r="K165" s="40" t="s">
        <v>37</v>
      </c>
      <c r="L165" t="s">
        <v>571</v>
      </c>
      <c r="M165" s="30" t="s">
        <v>48</v>
      </c>
      <c r="N165" s="30" t="s">
        <v>577</v>
      </c>
      <c r="O165" s="30" t="str">
        <f>IFERROR(VLOOKUP(Impuestos44[[#This Row],[Nro]],[4]Placas!$A:$D,4,0),"")</f>
        <v>2 Vales Caja 2025050955.pdf</v>
      </c>
      <c r="P165" s="37"/>
      <c r="Q165" s="36"/>
      <c r="R165" s="38"/>
      <c r="S165" s="43"/>
      <c r="U165" s="40"/>
      <c r="V165" s="40"/>
      <c r="W165" s="40"/>
    </row>
    <row r="166" spans="3:23" x14ac:dyDescent="0.3">
      <c r="C166" s="35" t="str">
        <f>CONCATENATE(Impuestos44[[#This Row],[Placa Vehiculo]],Impuestos44[[#This Row],[Vales]])</f>
        <v>BYR-9462 Vales</v>
      </c>
      <c r="D166" s="36" t="s">
        <v>162</v>
      </c>
      <c r="E166" s="37" t="s">
        <v>569</v>
      </c>
      <c r="F166" s="36">
        <v>2025</v>
      </c>
      <c r="G166" s="38">
        <v>356.83</v>
      </c>
      <c r="H166" s="39">
        <v>45795</v>
      </c>
      <c r="I166">
        <f>IF(Impuestos44[[#This Row],[Fecha]]="","",MONTH(Impuestos44[[#This Row],[Fecha]]))</f>
        <v>5</v>
      </c>
      <c r="J166" s="40" t="s">
        <v>576</v>
      </c>
      <c r="K166" s="40" t="s">
        <v>37</v>
      </c>
      <c r="L166" t="s">
        <v>571</v>
      </c>
      <c r="M166" s="30" t="s">
        <v>48</v>
      </c>
      <c r="N166" s="30" t="s">
        <v>577</v>
      </c>
      <c r="O166" s="30" t="str">
        <f>IFERROR(VLOOKUP(Impuestos44[[#This Row],[Nro]],[4]Placas!$A:$D,4,0),"")</f>
        <v>2 Vales Caja 2025050955.pdf</v>
      </c>
      <c r="P166" s="37"/>
      <c r="Q166" s="36"/>
      <c r="R166" s="38"/>
      <c r="S166" s="43"/>
      <c r="U166" s="40"/>
      <c r="V166" s="40"/>
      <c r="W166" s="40"/>
    </row>
    <row r="167" spans="3:23" x14ac:dyDescent="0.3">
      <c r="C167" s="35" t="str">
        <f>CONCATENATE(Impuestos44[[#This Row],[Placa Vehiculo]],Impuestos44[[#This Row],[Vales]])</f>
        <v>BYS-7672 Vales</v>
      </c>
      <c r="D167" s="36" t="s">
        <v>163</v>
      </c>
      <c r="E167" s="37" t="s">
        <v>569</v>
      </c>
      <c r="F167" s="36">
        <v>2025</v>
      </c>
      <c r="G167" s="38">
        <v>356.83</v>
      </c>
      <c r="H167" s="39">
        <v>45795</v>
      </c>
      <c r="I167">
        <f>IF(Impuestos44[[#This Row],[Fecha]]="","",MONTH(Impuestos44[[#This Row],[Fecha]]))</f>
        <v>5</v>
      </c>
      <c r="J167" s="40" t="s">
        <v>576</v>
      </c>
      <c r="K167" s="40" t="s">
        <v>37</v>
      </c>
      <c r="L167" t="s">
        <v>571</v>
      </c>
      <c r="M167" s="30" t="s">
        <v>48</v>
      </c>
      <c r="N167" s="30" t="s">
        <v>577</v>
      </c>
      <c r="O167" s="30" t="str">
        <f>IFERROR(VLOOKUP(Impuestos44[[#This Row],[Nro]],[4]Placas!$A:$D,4,0),"")</f>
        <v>2 Vales Caja 2025050955.pdf</v>
      </c>
      <c r="P167" s="37"/>
      <c r="Q167" s="36"/>
      <c r="R167" s="38"/>
      <c r="S167" s="43"/>
      <c r="U167" s="40"/>
      <c r="V167" s="40"/>
      <c r="W167" s="40"/>
    </row>
    <row r="168" spans="3:23" x14ac:dyDescent="0.3">
      <c r="C168" s="35" t="str">
        <f>CONCATENATE(Impuestos44[[#This Row],[Placa Vehiculo]],Impuestos44[[#This Row],[Vales]])</f>
        <v>BYS-7902 Vales</v>
      </c>
      <c r="D168" s="36" t="s">
        <v>164</v>
      </c>
      <c r="E168" s="37" t="s">
        <v>569</v>
      </c>
      <c r="F168" s="36">
        <v>2025</v>
      </c>
      <c r="G168" s="38">
        <v>356.83</v>
      </c>
      <c r="H168" s="39">
        <v>45795</v>
      </c>
      <c r="I168">
        <f>IF(Impuestos44[[#This Row],[Fecha]]="","",MONTH(Impuestos44[[#This Row],[Fecha]]))</f>
        <v>5</v>
      </c>
      <c r="J168" s="40" t="s">
        <v>576</v>
      </c>
      <c r="K168" s="40" t="s">
        <v>37</v>
      </c>
      <c r="L168" t="s">
        <v>571</v>
      </c>
      <c r="M168" s="30" t="s">
        <v>48</v>
      </c>
      <c r="N168" s="30" t="s">
        <v>577</v>
      </c>
      <c r="O168" s="30" t="str">
        <f>IFERROR(VLOOKUP(Impuestos44[[#This Row],[Nro]],[4]Placas!$A:$D,4,0),"")</f>
        <v>2 Vales Caja 2025050955.pdf</v>
      </c>
      <c r="P168" s="37"/>
      <c r="Q168" s="36"/>
      <c r="R168" s="38"/>
      <c r="S168" s="43"/>
      <c r="U168" s="40"/>
      <c r="V168" s="40"/>
      <c r="W168" s="40"/>
    </row>
    <row r="169" spans="3:23" x14ac:dyDescent="0.3">
      <c r="C169" s="35" t="str">
        <f>CONCATENATE(Impuestos44[[#This Row],[Placa Vehiculo]],Impuestos44[[#This Row],[Vales]])</f>
        <v>BYS-8392 Vales</v>
      </c>
      <c r="D169" s="36" t="s">
        <v>165</v>
      </c>
      <c r="E169" s="37" t="s">
        <v>569</v>
      </c>
      <c r="F169" s="36">
        <v>2025</v>
      </c>
      <c r="G169" s="38">
        <v>356.83</v>
      </c>
      <c r="H169" s="39">
        <v>45795</v>
      </c>
      <c r="I169">
        <f>IF(Impuestos44[[#This Row],[Fecha]]="","",MONTH(Impuestos44[[#This Row],[Fecha]]))</f>
        <v>5</v>
      </c>
      <c r="J169" s="40" t="s">
        <v>576</v>
      </c>
      <c r="K169" s="40" t="s">
        <v>37</v>
      </c>
      <c r="L169" t="s">
        <v>571</v>
      </c>
      <c r="M169" s="30" t="s">
        <v>48</v>
      </c>
      <c r="N169" s="30" t="s">
        <v>577</v>
      </c>
      <c r="O169" s="30" t="str">
        <f>IFERROR(VLOOKUP(Impuestos44[[#This Row],[Nro]],[4]Placas!$A:$D,4,0),"")</f>
        <v>2 Vales Caja 2025050955.pdf</v>
      </c>
      <c r="P169" s="37"/>
      <c r="Q169" s="36"/>
      <c r="R169" s="38"/>
      <c r="S169" s="43"/>
      <c r="U169" s="40"/>
      <c r="V169" s="40"/>
      <c r="W169" s="40"/>
    </row>
    <row r="170" spans="3:23" x14ac:dyDescent="0.3">
      <c r="C170" s="35" t="str">
        <f>CONCATENATE(Impuestos44[[#This Row],[Placa Vehiculo]],Impuestos44[[#This Row],[Vales]])</f>
        <v>BYS-8482 Vales</v>
      </c>
      <c r="D170" s="36" t="s">
        <v>166</v>
      </c>
      <c r="E170" s="37" t="s">
        <v>569</v>
      </c>
      <c r="F170" s="36">
        <v>2025</v>
      </c>
      <c r="G170" s="38">
        <v>356.83</v>
      </c>
      <c r="H170" s="39">
        <v>45795</v>
      </c>
      <c r="I170">
        <f>IF(Impuestos44[[#This Row],[Fecha]]="","",MONTH(Impuestos44[[#This Row],[Fecha]]))</f>
        <v>5</v>
      </c>
      <c r="J170" s="40" t="s">
        <v>576</v>
      </c>
      <c r="K170" s="40" t="s">
        <v>37</v>
      </c>
      <c r="L170" t="s">
        <v>571</v>
      </c>
      <c r="M170" s="30" t="s">
        <v>48</v>
      </c>
      <c r="N170" s="30" t="s">
        <v>577</v>
      </c>
      <c r="O170" s="30" t="str">
        <f>IFERROR(VLOOKUP(Impuestos44[[#This Row],[Nro]],[4]Placas!$A:$D,4,0),"")</f>
        <v>2 Vales Caja 2025050955.pdf</v>
      </c>
      <c r="P170" s="37"/>
      <c r="Q170" s="36"/>
      <c r="R170" s="38"/>
      <c r="S170" s="43"/>
      <c r="U170" s="40"/>
      <c r="V170" s="40"/>
      <c r="W170" s="40"/>
    </row>
    <row r="171" spans="3:23" x14ac:dyDescent="0.3">
      <c r="C171" s="35" t="str">
        <f>CONCATENATE(Impuestos44[[#This Row],[Placa Vehiculo]],Impuestos44[[#This Row],[Vales]])</f>
        <v>BYS-8542 Vales</v>
      </c>
      <c r="D171" s="36" t="s">
        <v>167</v>
      </c>
      <c r="E171" s="37" t="s">
        <v>569</v>
      </c>
      <c r="F171" s="36">
        <v>2025</v>
      </c>
      <c r="G171" s="38">
        <v>356.83</v>
      </c>
      <c r="H171" s="39">
        <v>45795</v>
      </c>
      <c r="I171">
        <f>IF(Impuestos44[[#This Row],[Fecha]]="","",MONTH(Impuestos44[[#This Row],[Fecha]]))</f>
        <v>5</v>
      </c>
      <c r="J171" s="40" t="s">
        <v>576</v>
      </c>
      <c r="K171" s="40" t="s">
        <v>37</v>
      </c>
      <c r="L171" t="s">
        <v>571</v>
      </c>
      <c r="M171" s="30" t="s">
        <v>48</v>
      </c>
      <c r="N171" s="30" t="s">
        <v>577</v>
      </c>
      <c r="O171" s="30" t="str">
        <f>IFERROR(VLOOKUP(Impuestos44[[#This Row],[Nro]],[4]Placas!$A:$D,4,0),"")</f>
        <v>2 Vales Caja 2025050955.pdf</v>
      </c>
      <c r="P171" s="37"/>
      <c r="Q171" s="36"/>
      <c r="R171" s="38"/>
      <c r="S171" s="43"/>
      <c r="U171" s="40"/>
      <c r="V171" s="40"/>
      <c r="W171" s="40"/>
    </row>
    <row r="172" spans="3:23" x14ac:dyDescent="0.3">
      <c r="C172" s="35" t="str">
        <f>CONCATENATE(Impuestos44[[#This Row],[Placa Vehiculo]],Impuestos44[[#This Row],[Vales]])</f>
        <v>BYS-8812 Vales</v>
      </c>
      <c r="D172" s="36" t="s">
        <v>168</v>
      </c>
      <c r="E172" s="37" t="s">
        <v>569</v>
      </c>
      <c r="F172" s="36">
        <v>2025</v>
      </c>
      <c r="G172" s="38">
        <v>356.83</v>
      </c>
      <c r="H172" s="39">
        <v>45795</v>
      </c>
      <c r="I172">
        <f>IF(Impuestos44[[#This Row],[Fecha]]="","",MONTH(Impuestos44[[#This Row],[Fecha]]))</f>
        <v>5</v>
      </c>
      <c r="J172" s="40" t="s">
        <v>576</v>
      </c>
      <c r="K172" s="40" t="s">
        <v>37</v>
      </c>
      <c r="L172" t="s">
        <v>571</v>
      </c>
      <c r="M172" s="30" t="s">
        <v>48</v>
      </c>
      <c r="N172" s="30" t="s">
        <v>577</v>
      </c>
      <c r="O172" s="30" t="str">
        <f>IFERROR(VLOOKUP(Impuestos44[[#This Row],[Nro]],[4]Placas!$A:$D,4,0),"")</f>
        <v>2 Vales Caja 2025050955.pdf</v>
      </c>
      <c r="P172" s="37"/>
      <c r="Q172" s="36"/>
      <c r="R172" s="38"/>
      <c r="S172" s="43"/>
      <c r="U172" s="40"/>
      <c r="V172" s="40"/>
      <c r="W172" s="40"/>
    </row>
    <row r="173" spans="3:23" x14ac:dyDescent="0.3">
      <c r="C173" s="35" t="str">
        <f>CONCATENATE(Impuestos44[[#This Row],[Placa Vehiculo]],Impuestos44[[#This Row],[Vales]])</f>
        <v>BYS-8862 Vales</v>
      </c>
      <c r="D173" s="36" t="s">
        <v>169</v>
      </c>
      <c r="E173" s="37" t="s">
        <v>569</v>
      </c>
      <c r="F173" s="36">
        <v>2025</v>
      </c>
      <c r="G173" s="38">
        <v>356.83</v>
      </c>
      <c r="H173" s="39">
        <v>45795</v>
      </c>
      <c r="I173">
        <f>IF(Impuestos44[[#This Row],[Fecha]]="","",MONTH(Impuestos44[[#This Row],[Fecha]]))</f>
        <v>5</v>
      </c>
      <c r="J173" s="40" t="s">
        <v>576</v>
      </c>
      <c r="K173" s="40" t="s">
        <v>37</v>
      </c>
      <c r="L173" t="s">
        <v>571</v>
      </c>
      <c r="M173" s="30" t="s">
        <v>48</v>
      </c>
      <c r="N173" s="30" t="s">
        <v>577</v>
      </c>
      <c r="O173" s="30" t="str">
        <f>IFERROR(VLOOKUP(Impuestos44[[#This Row],[Nro]],[4]Placas!$A:$D,4,0),"")</f>
        <v>2 Vales Caja 2025050955.pdf</v>
      </c>
      <c r="P173" s="37"/>
      <c r="Q173" s="36"/>
      <c r="R173" s="38"/>
      <c r="S173" s="43"/>
      <c r="U173" s="40"/>
      <c r="V173" s="40"/>
      <c r="W173" s="40"/>
    </row>
    <row r="174" spans="3:23" x14ac:dyDescent="0.3">
      <c r="C174" s="35" t="str">
        <f>CONCATENATE(Impuestos44[[#This Row],[Placa Vehiculo]],Impuestos44[[#This Row],[Vales]])</f>
        <v>BYS-8882 Vales</v>
      </c>
      <c r="D174" s="36" t="s">
        <v>170</v>
      </c>
      <c r="E174" s="37" t="s">
        <v>569</v>
      </c>
      <c r="F174" s="36">
        <v>2025</v>
      </c>
      <c r="G174" s="38">
        <v>356.83</v>
      </c>
      <c r="H174" s="39">
        <v>45795</v>
      </c>
      <c r="I174">
        <f>IF(Impuestos44[[#This Row],[Fecha]]="","",MONTH(Impuestos44[[#This Row],[Fecha]]))</f>
        <v>5</v>
      </c>
      <c r="J174" s="40" t="s">
        <v>576</v>
      </c>
      <c r="K174" s="40" t="s">
        <v>37</v>
      </c>
      <c r="L174" t="s">
        <v>571</v>
      </c>
      <c r="M174" s="30" t="s">
        <v>48</v>
      </c>
      <c r="N174" s="30" t="s">
        <v>577</v>
      </c>
      <c r="O174" s="30" t="str">
        <f>IFERROR(VLOOKUP(Impuestos44[[#This Row],[Nro]],[4]Placas!$A:$D,4,0),"")</f>
        <v>2 Vales Caja 2025050955.pdf</v>
      </c>
      <c r="P174" s="37"/>
      <c r="Q174" s="36"/>
      <c r="R174" s="38"/>
      <c r="S174" s="43"/>
      <c r="U174" s="40"/>
      <c r="V174" s="40"/>
      <c r="W174" s="40"/>
    </row>
    <row r="175" spans="3:23" x14ac:dyDescent="0.3">
      <c r="C175" s="35" t="str">
        <f>CONCATENATE(Impuestos44[[#This Row],[Placa Vehiculo]],Impuestos44[[#This Row],[Vales]])</f>
        <v>BZJ-8502 Vales</v>
      </c>
      <c r="D175" s="36" t="s">
        <v>118</v>
      </c>
      <c r="E175" s="37" t="s">
        <v>569</v>
      </c>
      <c r="F175" s="36">
        <v>2025</v>
      </c>
      <c r="G175" s="38">
        <v>706.43</v>
      </c>
      <c r="H175" s="39">
        <v>45795</v>
      </c>
      <c r="I175">
        <f>IF(Impuestos44[[#This Row],[Fecha]]="","",MONTH(Impuestos44[[#This Row],[Fecha]]))</f>
        <v>5</v>
      </c>
      <c r="J175" s="40" t="s">
        <v>576</v>
      </c>
      <c r="K175" s="40" t="s">
        <v>37</v>
      </c>
      <c r="L175" t="s">
        <v>571</v>
      </c>
      <c r="M175" s="30" t="s">
        <v>40</v>
      </c>
      <c r="N175" s="30" t="s">
        <v>577</v>
      </c>
      <c r="O175" s="30" t="str">
        <f>IFERROR(VLOOKUP(Impuestos44[[#This Row],[Nro]],[4]Placas!$A:$D,4,0),"")</f>
        <v/>
      </c>
      <c r="P175" s="37"/>
      <c r="Q175" s="36"/>
      <c r="R175" s="38"/>
      <c r="S175" s="43"/>
      <c r="U175" s="40"/>
      <c r="V175" s="40"/>
      <c r="W175" s="40"/>
    </row>
    <row r="176" spans="3:23" x14ac:dyDescent="0.3">
      <c r="C176" s="35" t="str">
        <f>CONCATENATE(Impuestos44[[#This Row],[Placa Vehiculo]],Impuestos44[[#This Row],[Vales]])</f>
        <v>BZJ-8532 Vales</v>
      </c>
      <c r="D176" s="36" t="s">
        <v>120</v>
      </c>
      <c r="E176" s="37" t="s">
        <v>569</v>
      </c>
      <c r="F176" s="36">
        <v>2025</v>
      </c>
      <c r="G176" s="38">
        <v>706.43</v>
      </c>
      <c r="H176" s="39">
        <v>45795</v>
      </c>
      <c r="I176">
        <f>IF(Impuestos44[[#This Row],[Fecha]]="","",MONTH(Impuestos44[[#This Row],[Fecha]]))</f>
        <v>5</v>
      </c>
      <c r="J176" s="40" t="s">
        <v>576</v>
      </c>
      <c r="K176" s="40" t="s">
        <v>37</v>
      </c>
      <c r="L176" t="s">
        <v>571</v>
      </c>
      <c r="M176" s="30" t="s">
        <v>40</v>
      </c>
      <c r="N176" s="30" t="s">
        <v>577</v>
      </c>
      <c r="O176" s="30" t="str">
        <f>IFERROR(VLOOKUP(Impuestos44[[#This Row],[Nro]],[4]Placas!$A:$D,4,0),"")</f>
        <v/>
      </c>
      <c r="P176" s="37"/>
      <c r="Q176" s="36"/>
      <c r="R176" s="38"/>
      <c r="S176" s="43"/>
      <c r="U176" s="40"/>
      <c r="V176" s="40"/>
      <c r="W176" s="40"/>
    </row>
    <row r="177" spans="3:23" x14ac:dyDescent="0.3">
      <c r="C177" s="35" t="str">
        <f>CONCATENATE(Impuestos44[[#This Row],[Placa Vehiculo]],Impuestos44[[#This Row],[Vales]])</f>
        <v>BZJ-8852 Vales</v>
      </c>
      <c r="D177" s="36" t="s">
        <v>121</v>
      </c>
      <c r="E177" s="37" t="s">
        <v>569</v>
      </c>
      <c r="F177" s="36">
        <v>2025</v>
      </c>
      <c r="G177" s="38">
        <v>706.43</v>
      </c>
      <c r="H177" s="39">
        <v>45795</v>
      </c>
      <c r="I177">
        <f>IF(Impuestos44[[#This Row],[Fecha]]="","",MONTH(Impuestos44[[#This Row],[Fecha]]))</f>
        <v>5</v>
      </c>
      <c r="J177" s="40" t="s">
        <v>576</v>
      </c>
      <c r="K177" s="40" t="s">
        <v>37</v>
      </c>
      <c r="L177" t="s">
        <v>571</v>
      </c>
      <c r="M177" s="30" t="s">
        <v>40</v>
      </c>
      <c r="N177" s="30" t="s">
        <v>577</v>
      </c>
      <c r="O177" s="30" t="str">
        <f>IFERROR(VLOOKUP(Impuestos44[[#This Row],[Nro]],[4]Placas!$A:$D,4,0),"")</f>
        <v>2 Vales Caja 2025050953.pdf</v>
      </c>
      <c r="P177" s="37"/>
      <c r="Q177" s="36"/>
      <c r="R177" s="38"/>
      <c r="S177" s="43"/>
      <c r="U177" s="40"/>
      <c r="V177" s="40"/>
      <c r="W177" s="40"/>
    </row>
    <row r="178" spans="3:23" x14ac:dyDescent="0.3">
      <c r="C178" s="35" t="str">
        <f>CONCATENATE(Impuestos44[[#This Row],[Placa Vehiculo]],Impuestos44[[#This Row],[Vales]])</f>
        <v>BZK-7092 Vales</v>
      </c>
      <c r="D178" s="36" t="s">
        <v>122</v>
      </c>
      <c r="E178" s="37" t="s">
        <v>569</v>
      </c>
      <c r="F178" s="36">
        <v>2025</v>
      </c>
      <c r="G178" s="38">
        <v>706.43</v>
      </c>
      <c r="H178" s="39">
        <v>45795</v>
      </c>
      <c r="I178">
        <f>IF(Impuestos44[[#This Row],[Fecha]]="","",MONTH(Impuestos44[[#This Row],[Fecha]]))</f>
        <v>5</v>
      </c>
      <c r="J178" s="40" t="s">
        <v>576</v>
      </c>
      <c r="K178" s="40" t="s">
        <v>37</v>
      </c>
      <c r="L178" t="s">
        <v>571</v>
      </c>
      <c r="M178" s="30" t="s">
        <v>40</v>
      </c>
      <c r="N178" s="30" t="s">
        <v>577</v>
      </c>
      <c r="O178" s="30" t="str">
        <f>IFERROR(VLOOKUP(Impuestos44[[#This Row],[Nro]],[4]Placas!$A:$D,4,0),"")</f>
        <v>2 Vales Caja 2025050953.pdf</v>
      </c>
      <c r="P178" s="37"/>
      <c r="Q178" s="36"/>
      <c r="R178" s="38"/>
      <c r="S178" s="43"/>
      <c r="U178" s="40"/>
      <c r="V178" s="40"/>
      <c r="W178" s="40"/>
    </row>
    <row r="179" spans="3:23" x14ac:dyDescent="0.3">
      <c r="C179" s="35" t="str">
        <f>CONCATENATE(Impuestos44[[#This Row],[Placa Vehiculo]],Impuestos44[[#This Row],[Vales]])</f>
        <v>BZK-7122 Vales</v>
      </c>
      <c r="D179" s="36" t="s">
        <v>123</v>
      </c>
      <c r="E179" s="37" t="s">
        <v>569</v>
      </c>
      <c r="F179" s="36">
        <v>2025</v>
      </c>
      <c r="G179" s="38">
        <v>706.43</v>
      </c>
      <c r="H179" s="39">
        <v>45795</v>
      </c>
      <c r="I179">
        <f>IF(Impuestos44[[#This Row],[Fecha]]="","",MONTH(Impuestos44[[#This Row],[Fecha]]))</f>
        <v>5</v>
      </c>
      <c r="J179" s="40" t="s">
        <v>576</v>
      </c>
      <c r="K179" s="40" t="s">
        <v>37</v>
      </c>
      <c r="L179" t="s">
        <v>571</v>
      </c>
      <c r="M179" s="30" t="s">
        <v>40</v>
      </c>
      <c r="N179" s="30" t="s">
        <v>577</v>
      </c>
      <c r="O179" s="30" t="str">
        <f>IFERROR(VLOOKUP(Impuestos44[[#This Row],[Nro]],[4]Placas!$A:$D,4,0),"")</f>
        <v>2 Vales Caja 2025050953.pdf</v>
      </c>
      <c r="P179" s="37"/>
      <c r="Q179" s="36"/>
      <c r="R179" s="38"/>
      <c r="S179" s="43"/>
      <c r="U179" s="40"/>
      <c r="V179" s="40"/>
      <c r="W179" s="40"/>
    </row>
    <row r="180" spans="3:23" x14ac:dyDescent="0.3">
      <c r="C180" s="35" t="str">
        <f>CONCATENATE(Impuestos44[[#This Row],[Placa Vehiculo]],Impuestos44[[#This Row],[Vales]])</f>
        <v>BZK-7132 Vales</v>
      </c>
      <c r="D180" s="36" t="s">
        <v>124</v>
      </c>
      <c r="E180" s="37" t="s">
        <v>569</v>
      </c>
      <c r="F180" s="36">
        <v>2025</v>
      </c>
      <c r="G180" s="38">
        <v>706.43</v>
      </c>
      <c r="H180" s="39">
        <v>45795</v>
      </c>
      <c r="I180">
        <f>IF(Impuestos44[[#This Row],[Fecha]]="","",MONTH(Impuestos44[[#This Row],[Fecha]]))</f>
        <v>5</v>
      </c>
      <c r="J180" s="40" t="s">
        <v>576</v>
      </c>
      <c r="K180" s="40" t="s">
        <v>37</v>
      </c>
      <c r="L180" t="s">
        <v>571</v>
      </c>
      <c r="M180" s="30" t="s">
        <v>40</v>
      </c>
      <c r="N180" s="30" t="s">
        <v>577</v>
      </c>
      <c r="O180" s="30" t="str">
        <f>IFERROR(VLOOKUP(Impuestos44[[#This Row],[Nro]],[4]Placas!$A:$D,4,0),"")</f>
        <v>2 Vales Caja 2025050953.pdf</v>
      </c>
      <c r="P180" s="37"/>
      <c r="Q180" s="36"/>
      <c r="R180" s="38"/>
      <c r="S180" s="43"/>
      <c r="U180" s="40"/>
      <c r="V180" s="40"/>
      <c r="W180" s="40"/>
    </row>
    <row r="181" spans="3:23" x14ac:dyDescent="0.3">
      <c r="C181" s="35" t="str">
        <f>CONCATENATE(Impuestos44[[#This Row],[Placa Vehiculo]],Impuestos44[[#This Row],[Vales]])</f>
        <v>BZO-8882 Vales</v>
      </c>
      <c r="D181" s="36" t="s">
        <v>125</v>
      </c>
      <c r="E181" s="37" t="s">
        <v>569</v>
      </c>
      <c r="F181" s="36">
        <v>2025</v>
      </c>
      <c r="G181" s="38">
        <v>706.43</v>
      </c>
      <c r="H181" s="39">
        <v>45795</v>
      </c>
      <c r="I181">
        <f>IF(Impuestos44[[#This Row],[Fecha]]="","",MONTH(Impuestos44[[#This Row],[Fecha]]))</f>
        <v>5</v>
      </c>
      <c r="J181" s="40" t="s">
        <v>576</v>
      </c>
      <c r="K181" s="40" t="s">
        <v>37</v>
      </c>
      <c r="L181" t="s">
        <v>571</v>
      </c>
      <c r="M181" s="30" t="s">
        <v>40</v>
      </c>
      <c r="N181" s="30" t="s">
        <v>577</v>
      </c>
      <c r="O181" s="30" t="str">
        <f>IFERROR(VLOOKUP(Impuestos44[[#This Row],[Nro]],[4]Placas!$A:$D,4,0),"")</f>
        <v>2 Vales Caja 2025050953.pdf</v>
      </c>
      <c r="P181" s="37"/>
      <c r="Q181" s="36"/>
      <c r="R181" s="38"/>
      <c r="S181" s="43"/>
      <c r="U181" s="40"/>
      <c r="V181" s="40"/>
      <c r="W181" s="40"/>
    </row>
    <row r="182" spans="3:23" x14ac:dyDescent="0.3">
      <c r="C182" s="35" t="str">
        <f>CONCATENATE(Impuestos44[[#This Row],[Placa Vehiculo]],Impuestos44[[#This Row],[Vales]])</f>
        <v>BZK-7982 Vales</v>
      </c>
      <c r="D182" s="36" t="s">
        <v>126</v>
      </c>
      <c r="E182" s="37" t="s">
        <v>569</v>
      </c>
      <c r="F182" s="36">
        <v>2025</v>
      </c>
      <c r="G182" s="38">
        <v>706.43</v>
      </c>
      <c r="H182" s="39">
        <v>45795</v>
      </c>
      <c r="I182">
        <f>IF(Impuestos44[[#This Row],[Fecha]]="","",MONTH(Impuestos44[[#This Row],[Fecha]]))</f>
        <v>5</v>
      </c>
      <c r="J182" s="40" t="s">
        <v>576</v>
      </c>
      <c r="K182" s="40" t="s">
        <v>37</v>
      </c>
      <c r="L182" t="s">
        <v>571</v>
      </c>
      <c r="M182" s="30" t="s">
        <v>40</v>
      </c>
      <c r="N182" s="30" t="s">
        <v>577</v>
      </c>
      <c r="O182" s="30" t="str">
        <f>IFERROR(VLOOKUP(Impuestos44[[#This Row],[Nro]],[4]Placas!$A:$D,4,0),"")</f>
        <v>2 Vales Caja 2025050953.pdf</v>
      </c>
      <c r="P182" s="37"/>
      <c r="Q182" s="36"/>
      <c r="R182" s="38"/>
      <c r="S182" s="43"/>
      <c r="U182" s="40"/>
      <c r="V182" s="40"/>
      <c r="W182" s="40"/>
    </row>
    <row r="183" spans="3:23" x14ac:dyDescent="0.3">
      <c r="C183" s="35" t="str">
        <f>CONCATENATE(Impuestos44[[#This Row],[Placa Vehiculo]],Impuestos44[[#This Row],[Vales]])</f>
        <v>BZO-7992 Vales</v>
      </c>
      <c r="D183" s="36" t="s">
        <v>127</v>
      </c>
      <c r="E183" s="37" t="s">
        <v>569</v>
      </c>
      <c r="F183" s="36">
        <v>2025</v>
      </c>
      <c r="G183" s="38">
        <v>706.43</v>
      </c>
      <c r="H183" s="39">
        <v>45795</v>
      </c>
      <c r="I183">
        <f>IF(Impuestos44[[#This Row],[Fecha]]="","",MONTH(Impuestos44[[#This Row],[Fecha]]))</f>
        <v>5</v>
      </c>
      <c r="J183" s="40" t="s">
        <v>576</v>
      </c>
      <c r="K183" s="40" t="s">
        <v>37</v>
      </c>
      <c r="L183" t="s">
        <v>571</v>
      </c>
      <c r="M183" s="30" t="s">
        <v>40</v>
      </c>
      <c r="N183" s="30" t="s">
        <v>577</v>
      </c>
      <c r="O183" s="30" t="str">
        <f>IFERROR(VLOOKUP(Impuestos44[[#This Row],[Nro]],[4]Placas!$A:$D,4,0),"")</f>
        <v>2 Vales Caja 2025050953.pdf</v>
      </c>
      <c r="P183" s="37"/>
      <c r="Q183" s="36"/>
      <c r="R183" s="38"/>
      <c r="S183" s="43"/>
      <c r="U183" s="40"/>
      <c r="V183" s="40"/>
      <c r="W183" s="40"/>
    </row>
    <row r="184" spans="3:23" x14ac:dyDescent="0.3">
      <c r="C184" s="35" t="str">
        <f>CONCATENATE(Impuestos44[[#This Row],[Placa Vehiculo]],Impuestos44[[#This Row],[Vales]])</f>
        <v>BZO-7552 Vales</v>
      </c>
      <c r="D184" s="36" t="s">
        <v>128</v>
      </c>
      <c r="E184" s="37" t="s">
        <v>569</v>
      </c>
      <c r="F184" s="36">
        <v>2025</v>
      </c>
      <c r="G184" s="38">
        <v>706.43</v>
      </c>
      <c r="H184" s="39">
        <v>45795</v>
      </c>
      <c r="I184">
        <f>IF(Impuestos44[[#This Row],[Fecha]]="","",MONTH(Impuestos44[[#This Row],[Fecha]]))</f>
        <v>5</v>
      </c>
      <c r="J184" s="40" t="s">
        <v>576</v>
      </c>
      <c r="K184" s="40" t="s">
        <v>37</v>
      </c>
      <c r="L184" t="s">
        <v>571</v>
      </c>
      <c r="M184" s="30" t="s">
        <v>40</v>
      </c>
      <c r="N184" s="30" t="s">
        <v>577</v>
      </c>
      <c r="O184" s="30" t="str">
        <f>IFERROR(VLOOKUP(Impuestos44[[#This Row],[Nro]],[4]Placas!$A:$D,4,0),"")</f>
        <v>2 Vales Caja 2025050953.pdf</v>
      </c>
      <c r="P184" s="37"/>
      <c r="Q184" s="36"/>
      <c r="R184" s="38"/>
      <c r="S184" s="43"/>
      <c r="U184" s="40"/>
      <c r="V184" s="40"/>
      <c r="W184" s="40"/>
    </row>
    <row r="185" spans="3:23" x14ac:dyDescent="0.3">
      <c r="C185" s="35" t="str">
        <f>CONCATENATE(Impuestos44[[#This Row],[Placa Vehiculo]],Impuestos44[[#This Row],[Vales]])</f>
        <v>BZO-9372 Vales</v>
      </c>
      <c r="D185" s="36" t="s">
        <v>129</v>
      </c>
      <c r="E185" s="37" t="s">
        <v>569</v>
      </c>
      <c r="F185" s="36">
        <v>2025</v>
      </c>
      <c r="G185" s="38">
        <v>706.43</v>
      </c>
      <c r="H185" s="39">
        <v>45795</v>
      </c>
      <c r="I185">
        <f>IF(Impuestos44[[#This Row],[Fecha]]="","",MONTH(Impuestos44[[#This Row],[Fecha]]))</f>
        <v>5</v>
      </c>
      <c r="J185" s="40" t="s">
        <v>576</v>
      </c>
      <c r="K185" s="40" t="s">
        <v>37</v>
      </c>
      <c r="L185" t="s">
        <v>571</v>
      </c>
      <c r="M185" s="30" t="s">
        <v>40</v>
      </c>
      <c r="N185" s="30" t="s">
        <v>577</v>
      </c>
      <c r="O185" s="30" t="str">
        <f>IFERROR(VLOOKUP(Impuestos44[[#This Row],[Nro]],[4]Placas!$A:$D,4,0),"")</f>
        <v>2 Vales Caja 2025050953.pdf</v>
      </c>
      <c r="P185" s="37"/>
      <c r="Q185" s="36"/>
      <c r="R185" s="38"/>
      <c r="S185" s="43"/>
      <c r="U185" s="40"/>
      <c r="V185" s="40"/>
      <c r="W185" s="40"/>
    </row>
    <row r="186" spans="3:23" x14ac:dyDescent="0.3">
      <c r="C186" s="35" t="str">
        <f>CONCATENATE(Impuestos44[[#This Row],[Placa Vehiculo]],Impuestos44[[#This Row],[Vales]])</f>
        <v>BZT-7252 Vales</v>
      </c>
      <c r="D186" s="36" t="s">
        <v>130</v>
      </c>
      <c r="E186" s="37" t="s">
        <v>569</v>
      </c>
      <c r="F186" s="36">
        <v>2025</v>
      </c>
      <c r="G186" s="38">
        <v>706.43</v>
      </c>
      <c r="H186" s="39">
        <v>45795</v>
      </c>
      <c r="I186">
        <f>IF(Impuestos44[[#This Row],[Fecha]]="","",MONTH(Impuestos44[[#This Row],[Fecha]]))</f>
        <v>5</v>
      </c>
      <c r="J186" s="40" t="s">
        <v>576</v>
      </c>
      <c r="K186" s="40" t="s">
        <v>37</v>
      </c>
      <c r="L186" t="s">
        <v>571</v>
      </c>
      <c r="M186" s="30" t="s">
        <v>40</v>
      </c>
      <c r="N186" s="30" t="s">
        <v>577</v>
      </c>
      <c r="O186" s="30" t="str">
        <f>IFERROR(VLOOKUP(Impuestos44[[#This Row],[Nro]],[4]Placas!$A:$D,4,0),"")</f>
        <v>2 Vales Caja 2025050953.pdf</v>
      </c>
      <c r="P186" s="37"/>
      <c r="Q186" s="36"/>
      <c r="R186" s="38"/>
      <c r="S186" s="43"/>
      <c r="U186" s="40"/>
      <c r="V186" s="40"/>
      <c r="W186" s="40"/>
    </row>
    <row r="187" spans="3:23" x14ac:dyDescent="0.3">
      <c r="C187" s="35" t="str">
        <f>CONCATENATE(Impuestos44[[#This Row],[Placa Vehiculo]],Impuestos44[[#This Row],[Vales]])</f>
        <v>CNK-5332 Vales</v>
      </c>
      <c r="D187" s="36" t="s">
        <v>101</v>
      </c>
      <c r="E187" s="37" t="s">
        <v>569</v>
      </c>
      <c r="F187" s="36">
        <v>2025</v>
      </c>
      <c r="G187" s="38">
        <v>350.68</v>
      </c>
      <c r="H187" s="39">
        <v>45795</v>
      </c>
      <c r="I187">
        <f>IF(Impuestos44[[#This Row],[Fecha]]="","",MONTH(Impuestos44[[#This Row],[Fecha]]))</f>
        <v>5</v>
      </c>
      <c r="J187" s="40" t="s">
        <v>576</v>
      </c>
      <c r="K187" s="40" t="s">
        <v>37</v>
      </c>
      <c r="L187" t="s">
        <v>571</v>
      </c>
      <c r="M187" s="30" t="s">
        <v>54</v>
      </c>
      <c r="N187" s="30" t="s">
        <v>577</v>
      </c>
      <c r="O187" s="30" t="str">
        <f>IFERROR(VLOOKUP(Impuestos44[[#This Row],[Nro]],[4]Placas!$A:$D,4,0),"")</f>
        <v>2 Vales Caja 2025050959.pdf</v>
      </c>
      <c r="P187" s="37"/>
      <c r="Q187" s="36"/>
      <c r="R187" s="38"/>
      <c r="S187" s="43"/>
      <c r="U187" s="40"/>
      <c r="V187" s="40"/>
      <c r="W187" s="40"/>
    </row>
    <row r="188" spans="3:23" x14ac:dyDescent="0.3">
      <c r="C188" s="35" t="str">
        <f>CONCATENATE(Impuestos44[[#This Row],[Placa Vehiculo]],Impuestos44[[#This Row],[Vales]])</f>
        <v>CAT-9472 Vales</v>
      </c>
      <c r="D188" s="36" t="s">
        <v>62</v>
      </c>
      <c r="E188" s="37" t="s">
        <v>569</v>
      </c>
      <c r="F188" s="36">
        <v>2025</v>
      </c>
      <c r="G188" s="38">
        <v>318.60000000000002</v>
      </c>
      <c r="H188" s="39">
        <v>45795</v>
      </c>
      <c r="I188">
        <f>IF(Impuestos44[[#This Row],[Fecha]]="","",MONTH(Impuestos44[[#This Row],[Fecha]]))</f>
        <v>5</v>
      </c>
      <c r="J188" s="40" t="s">
        <v>576</v>
      </c>
      <c r="K188" s="40" t="s">
        <v>37</v>
      </c>
      <c r="L188" t="s">
        <v>571</v>
      </c>
      <c r="M188" s="30" t="s">
        <v>58</v>
      </c>
      <c r="N188" s="30" t="s">
        <v>577</v>
      </c>
      <c r="O188" s="30" t="str">
        <f>IFERROR(VLOOKUP(Impuestos44[[#This Row],[Nro]],[4]Placas!$A:$D,4,0),"")</f>
        <v>2 Vales Caja 2025050960.pdf</v>
      </c>
      <c r="P188" s="37"/>
      <c r="Q188" s="36"/>
      <c r="R188" s="38"/>
      <c r="S188" s="43"/>
      <c r="U188" s="40"/>
      <c r="V188" s="40"/>
      <c r="W188" s="40"/>
    </row>
    <row r="189" spans="3:23" x14ac:dyDescent="0.3">
      <c r="C189" s="35" t="str">
        <f>CONCATENATE(Impuestos44[[#This Row],[Placa Vehiculo]],Impuestos44[[#This Row],[Vales]])</f>
        <v>CAU-7452 Vales</v>
      </c>
      <c r="D189" s="36" t="s">
        <v>63</v>
      </c>
      <c r="E189" s="37" t="s">
        <v>569</v>
      </c>
      <c r="F189" s="36">
        <v>2025</v>
      </c>
      <c r="G189" s="38">
        <v>318.60000000000002</v>
      </c>
      <c r="H189" s="39">
        <v>45795</v>
      </c>
      <c r="I189">
        <f>IF(Impuestos44[[#This Row],[Fecha]]="","",MONTH(Impuestos44[[#This Row],[Fecha]]))</f>
        <v>5</v>
      </c>
      <c r="J189" s="40" t="s">
        <v>576</v>
      </c>
      <c r="K189" s="40" t="s">
        <v>37</v>
      </c>
      <c r="L189" t="s">
        <v>571</v>
      </c>
      <c r="M189" s="30" t="s">
        <v>58</v>
      </c>
      <c r="N189" s="30" t="s">
        <v>577</v>
      </c>
      <c r="O189" s="30" t="str">
        <f>IFERROR(VLOOKUP(Impuestos44[[#This Row],[Nro]],[4]Placas!$A:$D,4,0),"")</f>
        <v>2 Vales Caja 2025050960.pdf</v>
      </c>
      <c r="P189" s="37"/>
      <c r="Q189" s="36"/>
      <c r="R189" s="38"/>
      <c r="S189" s="43"/>
      <c r="U189" s="40"/>
      <c r="V189" s="40"/>
      <c r="W189" s="40"/>
    </row>
    <row r="190" spans="3:23" x14ac:dyDescent="0.3">
      <c r="C190" s="35" t="str">
        <f>CONCATENATE(Impuestos44[[#This Row],[Placa Vehiculo]],Impuestos44[[#This Row],[Vales]])</f>
        <v>CAT-9362 Vales</v>
      </c>
      <c r="D190" s="36" t="s">
        <v>64</v>
      </c>
      <c r="E190" s="37" t="s">
        <v>569</v>
      </c>
      <c r="F190" s="36">
        <v>2025</v>
      </c>
      <c r="G190" s="38">
        <v>318.60000000000002</v>
      </c>
      <c r="H190" s="39">
        <v>45795</v>
      </c>
      <c r="I190">
        <f>IF(Impuestos44[[#This Row],[Fecha]]="","",MONTH(Impuestos44[[#This Row],[Fecha]]))</f>
        <v>5</v>
      </c>
      <c r="J190" s="40" t="s">
        <v>576</v>
      </c>
      <c r="K190" s="40" t="s">
        <v>37</v>
      </c>
      <c r="L190" t="s">
        <v>571</v>
      </c>
      <c r="M190" s="30" t="s">
        <v>58</v>
      </c>
      <c r="N190" s="30" t="s">
        <v>577</v>
      </c>
      <c r="O190" s="30" t="str">
        <f>IFERROR(VLOOKUP(Impuestos44[[#This Row],[Nro]],[4]Placas!$A:$D,4,0),"")</f>
        <v>2 Vales Caja 2025050960.pdf</v>
      </c>
      <c r="P190" s="37"/>
      <c r="Q190" s="36"/>
      <c r="R190" s="38"/>
      <c r="S190" s="43"/>
      <c r="U190" s="40"/>
      <c r="V190" s="40"/>
      <c r="W190" s="40"/>
    </row>
    <row r="191" spans="3:23" x14ac:dyDescent="0.3">
      <c r="C191" s="35" t="str">
        <f>CONCATENATE(Impuestos44[[#This Row],[Placa Vehiculo]],Impuestos44[[#This Row],[Vales]])</f>
        <v>CNK-6152 Vales</v>
      </c>
      <c r="D191" s="36" t="s">
        <v>85</v>
      </c>
      <c r="E191" s="37" t="s">
        <v>569</v>
      </c>
      <c r="F191" s="36">
        <v>2025</v>
      </c>
      <c r="G191" s="38">
        <v>325.24</v>
      </c>
      <c r="H191" s="39">
        <v>45795</v>
      </c>
      <c r="I191">
        <f>IF(Impuestos44[[#This Row],[Fecha]]="","",MONTH(Impuestos44[[#This Row],[Fecha]]))</f>
        <v>5</v>
      </c>
      <c r="J191" s="40" t="s">
        <v>576</v>
      </c>
      <c r="K191" s="40" t="s">
        <v>37</v>
      </c>
      <c r="L191" t="s">
        <v>571</v>
      </c>
      <c r="M191" s="30" t="s">
        <v>54</v>
      </c>
      <c r="N191" s="30" t="s">
        <v>577</v>
      </c>
      <c r="O191" s="30" t="str">
        <f>IFERROR(VLOOKUP(Impuestos44[[#This Row],[Nro]],[4]Placas!$A:$D,4,0),"")</f>
        <v>2 Vales Caja 2025050958.pdf</v>
      </c>
      <c r="P191" s="37"/>
      <c r="Q191" s="36"/>
      <c r="R191" s="38"/>
      <c r="S191" s="43"/>
      <c r="U191" s="40"/>
      <c r="V191" s="40"/>
      <c r="W191" s="40"/>
    </row>
    <row r="192" spans="3:23" x14ac:dyDescent="0.3">
      <c r="C192" s="35" t="str">
        <f>CONCATENATE(Impuestos44[[#This Row],[Placa Vehiculo]],Impuestos44[[#This Row],[Vales]])</f>
        <v>CNL-6892 Vales</v>
      </c>
      <c r="D192" s="36" t="s">
        <v>102</v>
      </c>
      <c r="E192" s="37" t="s">
        <v>569</v>
      </c>
      <c r="F192" s="36">
        <v>2025</v>
      </c>
      <c r="G192" s="38">
        <v>350.68</v>
      </c>
      <c r="H192" s="39">
        <v>45795</v>
      </c>
      <c r="I192">
        <f>IF(Impuestos44[[#This Row],[Fecha]]="","",MONTH(Impuestos44[[#This Row],[Fecha]]))</f>
        <v>5</v>
      </c>
      <c r="J192" s="40" t="s">
        <v>576</v>
      </c>
      <c r="K192" s="40" t="s">
        <v>37</v>
      </c>
      <c r="L192" t="s">
        <v>571</v>
      </c>
      <c r="M192" s="30" t="s">
        <v>54</v>
      </c>
      <c r="N192" s="30" t="s">
        <v>577</v>
      </c>
      <c r="O192" s="30" t="str">
        <f>IFERROR(VLOOKUP(Impuestos44[[#This Row],[Nro]],[4]Placas!$A:$D,4,0),"")</f>
        <v>2 Vales Caja 2025050959.pdf</v>
      </c>
      <c r="P192" s="37"/>
      <c r="Q192" s="36"/>
      <c r="R192" s="38"/>
      <c r="S192" s="43"/>
      <c r="U192" s="40"/>
      <c r="V192" s="40"/>
      <c r="W192" s="40"/>
    </row>
    <row r="193" spans="3:23" x14ac:dyDescent="0.3">
      <c r="C193" s="35" t="str">
        <f>CONCATENATE(Impuestos44[[#This Row],[Placa Vehiculo]],Impuestos44[[#This Row],[Vales]])</f>
        <v>CNK-5042 Vales</v>
      </c>
      <c r="D193" s="36" t="s">
        <v>86</v>
      </c>
      <c r="E193" s="37" t="s">
        <v>569</v>
      </c>
      <c r="F193" s="36">
        <v>2025</v>
      </c>
      <c r="G193" s="38">
        <v>325.24</v>
      </c>
      <c r="H193" s="39">
        <v>45795</v>
      </c>
      <c r="I193">
        <f>IF(Impuestos44[[#This Row],[Fecha]]="","",MONTH(Impuestos44[[#This Row],[Fecha]]))</f>
        <v>5</v>
      </c>
      <c r="J193" s="40" t="s">
        <v>576</v>
      </c>
      <c r="K193" s="40" t="s">
        <v>37</v>
      </c>
      <c r="L193" t="s">
        <v>571</v>
      </c>
      <c r="M193" s="30" t="s">
        <v>54</v>
      </c>
      <c r="N193" s="30" t="s">
        <v>577</v>
      </c>
      <c r="O193" s="30" t="str">
        <f>IFERROR(VLOOKUP(Impuestos44[[#This Row],[Nro]],[4]Placas!$A:$D,4,0),"")</f>
        <v>2 Vales Caja 2025050958.pdf</v>
      </c>
      <c r="P193" s="37"/>
      <c r="Q193" s="36"/>
      <c r="R193" s="38"/>
      <c r="S193" s="43"/>
      <c r="U193" s="40"/>
      <c r="V193" s="40"/>
      <c r="W193" s="40"/>
    </row>
    <row r="194" spans="3:23" x14ac:dyDescent="0.3">
      <c r="C194" s="35" t="str">
        <f>CONCATENATE(Impuestos44[[#This Row],[Placa Vehiculo]],Impuestos44[[#This Row],[Vales]])</f>
        <v>CNK-6442 Vales</v>
      </c>
      <c r="D194" s="36" t="s">
        <v>87</v>
      </c>
      <c r="E194" s="37" t="s">
        <v>569</v>
      </c>
      <c r="F194" s="36">
        <v>2025</v>
      </c>
      <c r="G194" s="38">
        <v>325.24</v>
      </c>
      <c r="H194" s="39">
        <v>45795</v>
      </c>
      <c r="I194">
        <f>IF(Impuestos44[[#This Row],[Fecha]]="","",MONTH(Impuestos44[[#This Row],[Fecha]]))</f>
        <v>5</v>
      </c>
      <c r="J194" s="40" t="s">
        <v>576</v>
      </c>
      <c r="K194" s="40" t="s">
        <v>37</v>
      </c>
      <c r="L194" t="s">
        <v>571</v>
      </c>
      <c r="M194" s="30" t="s">
        <v>54</v>
      </c>
      <c r="N194" s="30" t="s">
        <v>577</v>
      </c>
      <c r="O194" s="30" t="str">
        <f>IFERROR(VLOOKUP(Impuestos44[[#This Row],[Nro]],[4]Placas!$A:$D,4,0),"")</f>
        <v>2 Vales Caja 2025050958.pdf</v>
      </c>
      <c r="P194" s="37"/>
      <c r="Q194" s="36"/>
      <c r="R194" s="38"/>
      <c r="S194" s="43"/>
      <c r="U194" s="40"/>
      <c r="V194" s="40"/>
      <c r="W194" s="40"/>
    </row>
    <row r="195" spans="3:23" x14ac:dyDescent="0.3">
      <c r="C195" s="35" t="str">
        <f>CONCATENATE(Impuestos44[[#This Row],[Placa Vehiculo]],Impuestos44[[#This Row],[Vales]])</f>
        <v>CNK-6902 Vales</v>
      </c>
      <c r="D195" s="36" t="s">
        <v>103</v>
      </c>
      <c r="E195" s="37" t="s">
        <v>569</v>
      </c>
      <c r="F195" s="36">
        <v>2025</v>
      </c>
      <c r="G195" s="38">
        <v>350.68</v>
      </c>
      <c r="H195" s="39">
        <v>45795</v>
      </c>
      <c r="I195">
        <f>IF(Impuestos44[[#This Row],[Fecha]]="","",MONTH(Impuestos44[[#This Row],[Fecha]]))</f>
        <v>5</v>
      </c>
      <c r="J195" s="40" t="s">
        <v>576</v>
      </c>
      <c r="K195" s="40" t="s">
        <v>37</v>
      </c>
      <c r="L195" t="s">
        <v>571</v>
      </c>
      <c r="M195" s="30" t="s">
        <v>54</v>
      </c>
      <c r="N195" s="30" t="s">
        <v>577</v>
      </c>
      <c r="O195" s="30" t="str">
        <f>IFERROR(VLOOKUP(Impuestos44[[#This Row],[Nro]],[4]Placas!$A:$D,4,0),"")</f>
        <v>2 Vales Caja 2025050959.pdf</v>
      </c>
      <c r="P195" s="37"/>
      <c r="Q195" s="36"/>
      <c r="R195" s="38"/>
      <c r="S195" s="43"/>
      <c r="U195" s="40"/>
      <c r="V195" s="40"/>
      <c r="W195" s="40"/>
    </row>
    <row r="196" spans="3:23" x14ac:dyDescent="0.3">
      <c r="C196" s="35" t="str">
        <f>CONCATENATE(Impuestos44[[#This Row],[Placa Vehiculo]],Impuestos44[[#This Row],[Vales]])</f>
        <v>CNL-1652 Vales</v>
      </c>
      <c r="D196" s="36" t="s">
        <v>88</v>
      </c>
      <c r="E196" s="37" t="s">
        <v>569</v>
      </c>
      <c r="F196" s="36">
        <v>2025</v>
      </c>
      <c r="G196" s="38">
        <v>325.24</v>
      </c>
      <c r="H196" s="39">
        <v>45795</v>
      </c>
      <c r="I196">
        <f>IF(Impuestos44[[#This Row],[Fecha]]="","",MONTH(Impuestos44[[#This Row],[Fecha]]))</f>
        <v>5</v>
      </c>
      <c r="J196" s="40" t="s">
        <v>576</v>
      </c>
      <c r="K196" s="40" t="s">
        <v>37</v>
      </c>
      <c r="L196" t="s">
        <v>571</v>
      </c>
      <c r="M196" s="30" t="s">
        <v>54</v>
      </c>
      <c r="N196" s="30" t="s">
        <v>577</v>
      </c>
      <c r="O196" s="30" t="str">
        <f>IFERROR(VLOOKUP(Impuestos44[[#This Row],[Nro]],[4]Placas!$A:$D,4,0),"")</f>
        <v>2 Vales Caja 2025050958.pdf</v>
      </c>
      <c r="P196" s="37"/>
      <c r="Q196" s="36"/>
      <c r="R196" s="38"/>
      <c r="S196" s="43"/>
      <c r="U196" s="40"/>
      <c r="V196" s="40"/>
      <c r="W196" s="40"/>
    </row>
    <row r="197" spans="3:23" x14ac:dyDescent="0.3">
      <c r="C197" s="35" t="str">
        <f>CONCATENATE(Impuestos44[[#This Row],[Placa Vehiculo]],Impuestos44[[#This Row],[Vales]])</f>
        <v>CNL-0332 Vales</v>
      </c>
      <c r="D197" s="36" t="s">
        <v>89</v>
      </c>
      <c r="E197" s="37" t="s">
        <v>569</v>
      </c>
      <c r="F197" s="36">
        <v>2025</v>
      </c>
      <c r="G197" s="38">
        <v>325.24</v>
      </c>
      <c r="H197" s="39">
        <v>45795</v>
      </c>
      <c r="I197">
        <f>IF(Impuestos44[[#This Row],[Fecha]]="","",MONTH(Impuestos44[[#This Row],[Fecha]]))</f>
        <v>5</v>
      </c>
      <c r="J197" s="40" t="s">
        <v>576</v>
      </c>
      <c r="K197" s="40" t="s">
        <v>37</v>
      </c>
      <c r="L197" t="s">
        <v>571</v>
      </c>
      <c r="M197" s="30" t="s">
        <v>54</v>
      </c>
      <c r="N197" s="30" t="s">
        <v>577</v>
      </c>
      <c r="O197" s="30" t="str">
        <f>IFERROR(VLOOKUP(Impuestos44[[#This Row],[Nro]],[4]Placas!$A:$D,4,0),"")</f>
        <v>2 Vales Caja 2025050958.pdf</v>
      </c>
      <c r="P197" s="37"/>
      <c r="Q197" s="36"/>
      <c r="R197" s="38"/>
      <c r="S197" s="43"/>
      <c r="U197" s="40"/>
      <c r="V197" s="40"/>
      <c r="W197" s="40"/>
    </row>
    <row r="198" spans="3:23" x14ac:dyDescent="0.3">
      <c r="C198" s="35" t="str">
        <f>CONCATENATE(Impuestos44[[#This Row],[Placa Vehiculo]],Impuestos44[[#This Row],[Vales]])</f>
        <v>CNL-0752 Vales</v>
      </c>
      <c r="D198" s="36" t="s">
        <v>90</v>
      </c>
      <c r="E198" s="37" t="s">
        <v>569</v>
      </c>
      <c r="F198" s="36">
        <v>2025</v>
      </c>
      <c r="G198" s="38">
        <v>325.24</v>
      </c>
      <c r="H198" s="39">
        <v>45795</v>
      </c>
      <c r="I198">
        <f>IF(Impuestos44[[#This Row],[Fecha]]="","",MONTH(Impuestos44[[#This Row],[Fecha]]))</f>
        <v>5</v>
      </c>
      <c r="J198" s="40" t="s">
        <v>576</v>
      </c>
      <c r="K198" s="40" t="s">
        <v>37</v>
      </c>
      <c r="L198" t="s">
        <v>571</v>
      </c>
      <c r="M198" s="30" t="s">
        <v>54</v>
      </c>
      <c r="N198" s="30" t="s">
        <v>577</v>
      </c>
      <c r="O198" s="30" t="str">
        <f>IFERROR(VLOOKUP(Impuestos44[[#This Row],[Nro]],[4]Placas!$A:$D,4,0),"")</f>
        <v>2 Vales Caja 2025050958.pdf</v>
      </c>
      <c r="P198" s="37"/>
      <c r="Q198" s="36"/>
      <c r="R198" s="38"/>
      <c r="S198" s="43"/>
      <c r="U198" s="40"/>
      <c r="V198" s="40"/>
      <c r="W198" s="40"/>
    </row>
    <row r="199" spans="3:23" x14ac:dyDescent="0.3">
      <c r="C199" s="35" t="str">
        <f>CONCATENATE(Impuestos44[[#This Row],[Placa Vehiculo]],Impuestos44[[#This Row],[Vales]])</f>
        <v>CNL-4942 Vales</v>
      </c>
      <c r="D199" s="36" t="s">
        <v>104</v>
      </c>
      <c r="E199" s="37" t="s">
        <v>569</v>
      </c>
      <c r="F199" s="36">
        <v>2025</v>
      </c>
      <c r="G199" s="38">
        <v>350.68</v>
      </c>
      <c r="H199" s="39">
        <v>45795</v>
      </c>
      <c r="I199">
        <f>IF(Impuestos44[[#This Row],[Fecha]]="","",MONTH(Impuestos44[[#This Row],[Fecha]]))</f>
        <v>5</v>
      </c>
      <c r="J199" s="40" t="s">
        <v>576</v>
      </c>
      <c r="K199" s="40" t="s">
        <v>37</v>
      </c>
      <c r="L199" t="s">
        <v>571</v>
      </c>
      <c r="M199" s="30" t="s">
        <v>54</v>
      </c>
      <c r="N199" s="30" t="s">
        <v>577</v>
      </c>
      <c r="O199" s="30" t="str">
        <f>IFERROR(VLOOKUP(Impuestos44[[#This Row],[Nro]],[4]Placas!$A:$D,4,0),"")</f>
        <v>2 Vales Caja 2025050959.pdf</v>
      </c>
      <c r="P199" s="37"/>
      <c r="Q199" s="36"/>
      <c r="R199" s="38"/>
      <c r="S199" s="43"/>
      <c r="U199" s="40"/>
      <c r="V199" s="40"/>
      <c r="W199" s="40"/>
    </row>
    <row r="200" spans="3:23" x14ac:dyDescent="0.3">
      <c r="C200" s="35" t="str">
        <f>CONCATENATE(Impuestos44[[#This Row],[Placa Vehiculo]],Impuestos44[[#This Row],[Vales]])</f>
        <v>CNL-0122 Vales</v>
      </c>
      <c r="D200" s="36" t="s">
        <v>105</v>
      </c>
      <c r="E200" s="37" t="s">
        <v>569</v>
      </c>
      <c r="F200" s="36">
        <v>2025</v>
      </c>
      <c r="G200" s="38">
        <v>350.68</v>
      </c>
      <c r="H200" s="39">
        <v>45795</v>
      </c>
      <c r="I200">
        <f>IF(Impuestos44[[#This Row],[Fecha]]="","",MONTH(Impuestos44[[#This Row],[Fecha]]))</f>
        <v>5</v>
      </c>
      <c r="J200" s="40" t="s">
        <v>576</v>
      </c>
      <c r="K200" s="40" t="s">
        <v>37</v>
      </c>
      <c r="L200" t="s">
        <v>571</v>
      </c>
      <c r="M200" s="30" t="s">
        <v>54</v>
      </c>
      <c r="N200" s="30" t="s">
        <v>577</v>
      </c>
      <c r="O200" s="30" t="str">
        <f>IFERROR(VLOOKUP(Impuestos44[[#This Row],[Nro]],[4]Placas!$A:$D,4,0),"")</f>
        <v>2 Vales Caja 2025050959.pdf</v>
      </c>
      <c r="P200" s="37"/>
      <c r="Q200" s="36"/>
      <c r="R200" s="38"/>
      <c r="S200" s="43"/>
      <c r="U200" s="40"/>
      <c r="V200" s="40"/>
      <c r="W200" s="40"/>
    </row>
    <row r="201" spans="3:23" x14ac:dyDescent="0.3">
      <c r="C201" s="35" t="str">
        <f>CONCATENATE(Impuestos44[[#This Row],[Placa Vehiculo]],Impuestos44[[#This Row],[Vales]])</f>
        <v>CNK-6412 Vales</v>
      </c>
      <c r="D201" s="36" t="s">
        <v>106</v>
      </c>
      <c r="E201" s="37" t="s">
        <v>569</v>
      </c>
      <c r="F201" s="36">
        <v>2025</v>
      </c>
      <c r="G201" s="38">
        <v>350.68</v>
      </c>
      <c r="H201" s="39">
        <v>45795</v>
      </c>
      <c r="I201">
        <f>IF(Impuestos44[[#This Row],[Fecha]]="","",MONTH(Impuestos44[[#This Row],[Fecha]]))</f>
        <v>5</v>
      </c>
      <c r="J201" s="40" t="s">
        <v>576</v>
      </c>
      <c r="K201" s="40" t="s">
        <v>37</v>
      </c>
      <c r="L201" t="s">
        <v>571</v>
      </c>
      <c r="M201" s="30" t="s">
        <v>54</v>
      </c>
      <c r="N201" s="30" t="s">
        <v>577</v>
      </c>
      <c r="O201" s="30" t="str">
        <f>IFERROR(VLOOKUP(Impuestos44[[#This Row],[Nro]],[4]Placas!$A:$D,4,0),"")</f>
        <v>2 Vales Caja 2025050959.pdf</v>
      </c>
      <c r="P201" s="37"/>
      <c r="Q201" s="36"/>
      <c r="R201" s="38"/>
      <c r="S201" s="43"/>
      <c r="U201" s="40"/>
      <c r="V201" s="40"/>
      <c r="W201" s="40"/>
    </row>
    <row r="202" spans="3:23" x14ac:dyDescent="0.3">
      <c r="C202" s="35" t="str">
        <f>CONCATENATE(Impuestos44[[#This Row],[Placa Vehiculo]],Impuestos44[[#This Row],[Vales]])</f>
        <v>CNK-6392 Vales</v>
      </c>
      <c r="D202" s="36" t="s">
        <v>107</v>
      </c>
      <c r="E202" s="37" t="s">
        <v>569</v>
      </c>
      <c r="F202" s="36">
        <v>2025</v>
      </c>
      <c r="G202" s="38">
        <v>350.68</v>
      </c>
      <c r="H202" s="39">
        <v>45795</v>
      </c>
      <c r="I202">
        <f>IF(Impuestos44[[#This Row],[Fecha]]="","",MONTH(Impuestos44[[#This Row],[Fecha]]))</f>
        <v>5</v>
      </c>
      <c r="J202" s="40" t="s">
        <v>576</v>
      </c>
      <c r="K202" s="40" t="s">
        <v>37</v>
      </c>
      <c r="L202" t="s">
        <v>571</v>
      </c>
      <c r="M202" s="30" t="s">
        <v>54</v>
      </c>
      <c r="N202" s="30" t="s">
        <v>577</v>
      </c>
      <c r="O202" s="30" t="str">
        <f>IFERROR(VLOOKUP(Impuestos44[[#This Row],[Nro]],[4]Placas!$A:$D,4,0),"")</f>
        <v>2 Vales Caja 2025050959.pdf</v>
      </c>
      <c r="P202" s="37"/>
      <c r="Q202" s="36"/>
      <c r="R202" s="38"/>
      <c r="S202" s="43"/>
      <c r="U202" s="40"/>
      <c r="V202" s="40"/>
      <c r="W202" s="40"/>
    </row>
    <row r="203" spans="3:23" x14ac:dyDescent="0.3">
      <c r="C203" s="35" t="str">
        <f>CONCATENATE(Impuestos44[[#This Row],[Placa Vehiculo]],Impuestos44[[#This Row],[Vales]])</f>
        <v>CNK-4712 Vales</v>
      </c>
      <c r="D203" s="36" t="s">
        <v>108</v>
      </c>
      <c r="E203" s="37" t="s">
        <v>569</v>
      </c>
      <c r="F203" s="36">
        <v>2025</v>
      </c>
      <c r="G203" s="38">
        <v>350.68</v>
      </c>
      <c r="H203" s="39">
        <v>45795</v>
      </c>
      <c r="I203">
        <f>IF(Impuestos44[[#This Row],[Fecha]]="","",MONTH(Impuestos44[[#This Row],[Fecha]]))</f>
        <v>5</v>
      </c>
      <c r="J203" s="40" t="s">
        <v>576</v>
      </c>
      <c r="K203" s="40" t="s">
        <v>37</v>
      </c>
      <c r="L203" t="s">
        <v>571</v>
      </c>
      <c r="M203" s="30" t="s">
        <v>54</v>
      </c>
      <c r="N203" s="30" t="s">
        <v>577</v>
      </c>
      <c r="O203" s="30" t="str">
        <f>IFERROR(VLOOKUP(Impuestos44[[#This Row],[Nro]],[4]Placas!$A:$D,4,0),"")</f>
        <v>2 Vales Caja 2025050959.pdf</v>
      </c>
      <c r="P203" s="37"/>
      <c r="Q203" s="36"/>
      <c r="R203" s="38"/>
      <c r="S203" s="43"/>
      <c r="U203" s="40"/>
      <c r="V203" s="40"/>
      <c r="W203" s="40"/>
    </row>
    <row r="204" spans="3:23" x14ac:dyDescent="0.3">
      <c r="C204" s="35" t="str">
        <f>CONCATENATE(Impuestos44[[#This Row],[Placa Vehiculo]],Impuestos44[[#This Row],[Vales]])</f>
        <v>CCV-8772 Vales</v>
      </c>
      <c r="D204" s="36" t="s">
        <v>41</v>
      </c>
      <c r="E204" s="37" t="s">
        <v>569</v>
      </c>
      <c r="F204" s="36">
        <v>2025</v>
      </c>
      <c r="G204" s="38" t="s">
        <v>575</v>
      </c>
      <c r="H204" s="39">
        <v>45795</v>
      </c>
      <c r="I204">
        <f>IF(Impuestos44[[#This Row],[Fecha]]="","",MONTH(Impuestos44[[#This Row],[Fecha]]))</f>
        <v>5</v>
      </c>
      <c r="J204" s="40" t="s">
        <v>576</v>
      </c>
      <c r="K204" s="40" t="s">
        <v>37</v>
      </c>
      <c r="M204" s="30" t="s">
        <v>45</v>
      </c>
      <c r="N204" s="30" t="s">
        <v>577</v>
      </c>
      <c r="O204" s="30" t="str">
        <f>IFERROR(VLOOKUP(Impuestos44[[#This Row],[Nro]],[4]Placas!$A:$D,4,0),"")</f>
        <v/>
      </c>
      <c r="P204" s="37"/>
      <c r="Q204" s="36"/>
      <c r="R204" s="38"/>
      <c r="S204" s="43"/>
      <c r="U204" s="40"/>
      <c r="V204" s="40"/>
      <c r="W204" s="40"/>
    </row>
    <row r="205" spans="3:23" x14ac:dyDescent="0.3">
      <c r="C205" s="35" t="str">
        <f>CONCATENATE(Impuestos44[[#This Row],[Placa Vehiculo]],Impuestos44[[#This Row],[Vales]])</f>
        <v>CCV-8782 Vales</v>
      </c>
      <c r="D205" s="36" t="s">
        <v>47</v>
      </c>
      <c r="E205" s="37" t="s">
        <v>569</v>
      </c>
      <c r="F205" s="36">
        <v>2025</v>
      </c>
      <c r="G205" s="38" t="s">
        <v>575</v>
      </c>
      <c r="H205" s="39">
        <v>45795</v>
      </c>
      <c r="I205">
        <f>IF(Impuestos44[[#This Row],[Fecha]]="","",MONTH(Impuestos44[[#This Row],[Fecha]]))</f>
        <v>5</v>
      </c>
      <c r="J205" s="40" t="s">
        <v>576</v>
      </c>
      <c r="K205" s="40" t="s">
        <v>37</v>
      </c>
      <c r="M205" s="30" t="s">
        <v>45</v>
      </c>
      <c r="N205" s="30" t="s">
        <v>577</v>
      </c>
      <c r="O205" s="30" t="str">
        <f>IFERROR(VLOOKUP(Impuestos44[[#This Row],[Nro]],[4]Placas!$A:$D,4,0),"")</f>
        <v/>
      </c>
      <c r="P205" s="37"/>
      <c r="Q205" s="36"/>
      <c r="R205" s="38"/>
      <c r="S205" s="43"/>
      <c r="U205" s="40"/>
      <c r="V205" s="40"/>
      <c r="W205" s="40"/>
    </row>
    <row r="206" spans="3:23" x14ac:dyDescent="0.3">
      <c r="C206" s="35" t="str">
        <f>CONCATENATE(Impuestos44[[#This Row],[Placa Vehiculo]],Impuestos44[[#This Row],[Vales]])</f>
        <v>CCV-9382 Vales</v>
      </c>
      <c r="D206" s="36" t="s">
        <v>49</v>
      </c>
      <c r="E206" s="37" t="s">
        <v>569</v>
      </c>
      <c r="F206" s="36">
        <v>2025</v>
      </c>
      <c r="G206" s="38" t="s">
        <v>575</v>
      </c>
      <c r="H206" s="39">
        <v>45795</v>
      </c>
      <c r="I206">
        <f>IF(Impuestos44[[#This Row],[Fecha]]="","",MONTH(Impuestos44[[#This Row],[Fecha]]))</f>
        <v>5</v>
      </c>
      <c r="J206" s="40" t="s">
        <v>576</v>
      </c>
      <c r="K206" s="40" t="s">
        <v>37</v>
      </c>
      <c r="M206" s="30" t="s">
        <v>45</v>
      </c>
      <c r="N206" s="30" t="s">
        <v>577</v>
      </c>
      <c r="O206" s="30" t="str">
        <f>IFERROR(VLOOKUP(Impuestos44[[#This Row],[Nro]],[4]Placas!$A:$D,4,0),"")</f>
        <v/>
      </c>
      <c r="P206" s="37"/>
      <c r="Q206" s="36"/>
      <c r="R206" s="38"/>
      <c r="S206" s="43"/>
      <c r="U206" s="40"/>
      <c r="V206" s="40"/>
      <c r="W206" s="40"/>
    </row>
    <row r="207" spans="3:23" x14ac:dyDescent="0.3">
      <c r="C207" s="35" t="str">
        <f>CONCATENATE(Impuestos44[[#This Row],[Placa Vehiculo]],Impuestos44[[#This Row],[Vales]])</f>
        <v>CCX-9192 Vales</v>
      </c>
      <c r="D207" s="36" t="s">
        <v>50</v>
      </c>
      <c r="E207" s="37" t="s">
        <v>569</v>
      </c>
      <c r="F207" s="36">
        <v>2025</v>
      </c>
      <c r="G207" s="38" t="s">
        <v>575</v>
      </c>
      <c r="H207" s="39">
        <v>45795</v>
      </c>
      <c r="I207">
        <f>IF(Impuestos44[[#This Row],[Fecha]]="","",MONTH(Impuestos44[[#This Row],[Fecha]]))</f>
        <v>5</v>
      </c>
      <c r="J207" s="40" t="s">
        <v>576</v>
      </c>
      <c r="K207" s="40" t="s">
        <v>37</v>
      </c>
      <c r="M207" s="30" t="s">
        <v>45</v>
      </c>
      <c r="N207" s="30" t="s">
        <v>577</v>
      </c>
      <c r="O207" s="30" t="str">
        <f>IFERROR(VLOOKUP(Impuestos44[[#This Row],[Nro]],[4]Placas!$A:$D,4,0),"")</f>
        <v/>
      </c>
      <c r="P207" s="37"/>
      <c r="Q207" s="36"/>
      <c r="R207" s="38"/>
      <c r="S207" s="43"/>
      <c r="U207" s="40"/>
      <c r="V207" s="40"/>
      <c r="W207" s="40"/>
    </row>
    <row r="208" spans="3:23" x14ac:dyDescent="0.3">
      <c r="C208" s="35" t="str">
        <f>CONCATENATE(Impuestos44[[#This Row],[Placa Vehiculo]],Impuestos44[[#This Row],[Vales]])</f>
        <v>CCV-7572 Vales</v>
      </c>
      <c r="D208" s="36" t="s">
        <v>51</v>
      </c>
      <c r="E208" s="37" t="s">
        <v>569</v>
      </c>
      <c r="F208" s="36">
        <v>2025</v>
      </c>
      <c r="G208" s="38" t="s">
        <v>575</v>
      </c>
      <c r="H208" s="39">
        <v>45795</v>
      </c>
      <c r="I208">
        <f>IF(Impuestos44[[#This Row],[Fecha]]="","",MONTH(Impuestos44[[#This Row],[Fecha]]))</f>
        <v>5</v>
      </c>
      <c r="J208" s="40" t="s">
        <v>576</v>
      </c>
      <c r="K208" s="40" t="s">
        <v>37</v>
      </c>
      <c r="M208" s="30" t="s">
        <v>45</v>
      </c>
      <c r="N208" s="30" t="s">
        <v>577</v>
      </c>
      <c r="O208" s="30" t="str">
        <f>IFERROR(VLOOKUP(Impuestos44[[#This Row],[Nro]],[4]Placas!$A:$D,4,0),"")</f>
        <v/>
      </c>
      <c r="P208" s="37"/>
      <c r="Q208" s="36"/>
      <c r="R208" s="38"/>
      <c r="S208" s="43"/>
      <c r="U208" s="40"/>
      <c r="V208" s="40"/>
      <c r="W208" s="40"/>
    </row>
    <row r="209" spans="3:23" x14ac:dyDescent="0.3">
      <c r="C209" s="35" t="str">
        <f>CONCATENATE(Impuestos44[[#This Row],[Placa Vehiculo]],Impuestos44[[#This Row],[Vales]])</f>
        <v>CCU-8772 Vales</v>
      </c>
      <c r="D209" s="36" t="s">
        <v>53</v>
      </c>
      <c r="E209" s="37" t="s">
        <v>569</v>
      </c>
      <c r="F209" s="36">
        <v>2025</v>
      </c>
      <c r="G209" s="38" t="s">
        <v>575</v>
      </c>
      <c r="H209" s="39">
        <v>45795</v>
      </c>
      <c r="I209">
        <f>IF(Impuestos44[[#This Row],[Fecha]]="","",MONTH(Impuestos44[[#This Row],[Fecha]]))</f>
        <v>5</v>
      </c>
      <c r="J209" s="40" t="s">
        <v>576</v>
      </c>
      <c r="K209" s="40" t="s">
        <v>37</v>
      </c>
      <c r="M209" s="30" t="s">
        <v>45</v>
      </c>
      <c r="N209" s="30" t="s">
        <v>577</v>
      </c>
      <c r="O209" s="30" t="str">
        <f>IFERROR(VLOOKUP(Impuestos44[[#This Row],[Nro]],[4]Placas!$A:$D,4,0),"")</f>
        <v/>
      </c>
      <c r="P209" s="37"/>
      <c r="Q209" s="36"/>
      <c r="R209" s="38"/>
      <c r="S209" s="43"/>
      <c r="U209" s="40"/>
      <c r="V209" s="40"/>
      <c r="W209" s="40"/>
    </row>
    <row r="210" spans="3:23" x14ac:dyDescent="0.3">
      <c r="C210" s="35" t="str">
        <f>CONCATENATE(Impuestos44[[#This Row],[Placa Vehiculo]],Impuestos44[[#This Row],[Vales]])</f>
        <v>CCX-8832 Vales</v>
      </c>
      <c r="D210" s="36" t="s">
        <v>55</v>
      </c>
      <c r="E210" s="37" t="s">
        <v>569</v>
      </c>
      <c r="F210" s="36">
        <v>2025</v>
      </c>
      <c r="G210" s="38" t="s">
        <v>575</v>
      </c>
      <c r="H210" s="39">
        <v>45795</v>
      </c>
      <c r="I210">
        <f>IF(Impuestos44[[#This Row],[Fecha]]="","",MONTH(Impuestos44[[#This Row],[Fecha]]))</f>
        <v>5</v>
      </c>
      <c r="J210" s="40" t="s">
        <v>576</v>
      </c>
      <c r="K210" s="40" t="s">
        <v>37</v>
      </c>
      <c r="M210" s="30" t="s">
        <v>45</v>
      </c>
      <c r="N210" s="30" t="s">
        <v>577</v>
      </c>
      <c r="O210" s="30" t="str">
        <f>IFERROR(VLOOKUP(Impuestos44[[#This Row],[Nro]],[4]Placas!$A:$D,4,0),"")</f>
        <v/>
      </c>
      <c r="P210" s="37"/>
      <c r="Q210" s="36"/>
      <c r="R210" s="38"/>
      <c r="S210" s="43"/>
      <c r="U210" s="40"/>
      <c r="V210" s="40"/>
      <c r="W210" s="40"/>
    </row>
    <row r="211" spans="3:23" x14ac:dyDescent="0.3">
      <c r="C211" s="35" t="str">
        <f>CONCATENATE(Impuestos44[[#This Row],[Placa Vehiculo]],Impuestos44[[#This Row],[Vales]])</f>
        <v>CCV-8472 Vales</v>
      </c>
      <c r="D211" s="36" t="s">
        <v>57</v>
      </c>
      <c r="E211" s="37" t="s">
        <v>569</v>
      </c>
      <c r="F211" s="36">
        <v>2025</v>
      </c>
      <c r="G211" s="38" t="s">
        <v>575</v>
      </c>
      <c r="H211" s="39">
        <v>45795</v>
      </c>
      <c r="I211">
        <f>IF(Impuestos44[[#This Row],[Fecha]]="","",MONTH(Impuestos44[[#This Row],[Fecha]]))</f>
        <v>5</v>
      </c>
      <c r="J211" s="40" t="s">
        <v>576</v>
      </c>
      <c r="K211" s="40" t="s">
        <v>37</v>
      </c>
      <c r="M211" s="30" t="s">
        <v>45</v>
      </c>
      <c r="N211" s="30" t="s">
        <v>577</v>
      </c>
      <c r="O211" s="30" t="str">
        <f>IFERROR(VLOOKUP(Impuestos44[[#This Row],[Nro]],[4]Placas!$A:$D,4,0),"")</f>
        <v/>
      </c>
      <c r="P211" s="37"/>
      <c r="Q211" s="36"/>
      <c r="R211" s="38"/>
      <c r="S211" s="43"/>
      <c r="U211" s="40"/>
      <c r="V211" s="40"/>
      <c r="W211" s="40"/>
    </row>
    <row r="212" spans="3:23" x14ac:dyDescent="0.3">
      <c r="C212" s="35" t="str">
        <f>CONCATENATE(Impuestos44[[#This Row],[Placa Vehiculo]],Impuestos44[[#This Row],[Vales]])</f>
        <v>CNL-0172 Vales</v>
      </c>
      <c r="D212" s="36" t="s">
        <v>33</v>
      </c>
      <c r="E212" s="37" t="s">
        <v>569</v>
      </c>
      <c r="F212" s="36">
        <v>2025</v>
      </c>
      <c r="G212" s="38">
        <v>575.25</v>
      </c>
      <c r="H212" s="39">
        <v>45795</v>
      </c>
      <c r="I212">
        <f>IF(Impuestos44[[#This Row],[Fecha]]="","",MONTH(Impuestos44[[#This Row],[Fecha]]))</f>
        <v>5</v>
      </c>
      <c r="J212" s="40" t="s">
        <v>576</v>
      </c>
      <c r="K212" s="40" t="s">
        <v>37</v>
      </c>
      <c r="L212" t="s">
        <v>571</v>
      </c>
      <c r="M212" s="30" t="s">
        <v>39</v>
      </c>
      <c r="N212" s="30" t="s">
        <v>577</v>
      </c>
      <c r="O212" s="30" t="str">
        <f>IFERROR(VLOOKUP(Impuestos44[[#This Row],[Nro]],[4]Placas!$A:$D,4,0),"")</f>
        <v>2 Vales Caja 2025050952.pdf</v>
      </c>
      <c r="P212" s="37"/>
      <c r="Q212" s="36"/>
      <c r="R212" s="38"/>
      <c r="S212" s="43"/>
      <c r="U212" s="40"/>
      <c r="V212" s="40"/>
      <c r="W212" s="40"/>
    </row>
    <row r="213" spans="3:23" x14ac:dyDescent="0.3">
      <c r="C213" s="35" t="str">
        <f>CONCATENATE(Impuestos44[[#This Row],[Placa Vehiculo]],Impuestos44[[#This Row],[Vales]])</f>
        <v>CAU-7292 Vales</v>
      </c>
      <c r="D213" s="36" t="s">
        <v>65</v>
      </c>
      <c r="E213" s="37" t="s">
        <v>569</v>
      </c>
      <c r="F213" s="36">
        <v>2025</v>
      </c>
      <c r="G213" s="38">
        <v>318.60000000000002</v>
      </c>
      <c r="H213" s="39">
        <v>45795</v>
      </c>
      <c r="I213">
        <f>IF(Impuestos44[[#This Row],[Fecha]]="","",MONTH(Impuestos44[[#This Row],[Fecha]]))</f>
        <v>5</v>
      </c>
      <c r="J213" s="40" t="s">
        <v>576</v>
      </c>
      <c r="K213" s="40" t="s">
        <v>37</v>
      </c>
      <c r="L213" t="s">
        <v>571</v>
      </c>
      <c r="M213" s="30" t="s">
        <v>58</v>
      </c>
      <c r="N213" s="30" t="s">
        <v>577</v>
      </c>
      <c r="O213" s="30" t="str">
        <f>IFERROR(VLOOKUP(Impuestos44[[#This Row],[Nro]],[4]Placas!$A:$D,4,0),"")</f>
        <v>2 Vales Caja 2025050960.pdf</v>
      </c>
      <c r="P213" s="37"/>
      <c r="Q213" s="36"/>
      <c r="R213" s="38"/>
      <c r="S213" s="43"/>
      <c r="U213" s="40"/>
      <c r="V213" s="40"/>
      <c r="W213" s="40"/>
    </row>
    <row r="214" spans="3:23" x14ac:dyDescent="0.3">
      <c r="C214" s="35" t="str">
        <f>CONCATENATE(Impuestos44[[#This Row],[Placa Vehiculo]],Impuestos44[[#This Row],[Vales]])</f>
        <v>CAU-7412 Vales</v>
      </c>
      <c r="D214" s="36" t="s">
        <v>67</v>
      </c>
      <c r="E214" s="37" t="s">
        <v>569</v>
      </c>
      <c r="F214" s="36">
        <v>2025</v>
      </c>
      <c r="G214" s="38">
        <v>318.60000000000002</v>
      </c>
      <c r="H214" s="39">
        <v>45795</v>
      </c>
      <c r="I214">
        <f>IF(Impuestos44[[#This Row],[Fecha]]="","",MONTH(Impuestos44[[#This Row],[Fecha]]))</f>
        <v>5</v>
      </c>
      <c r="J214" s="40" t="s">
        <v>576</v>
      </c>
      <c r="K214" s="40" t="s">
        <v>37</v>
      </c>
      <c r="L214" t="s">
        <v>571</v>
      </c>
      <c r="M214" s="30" t="s">
        <v>58</v>
      </c>
      <c r="N214" s="30" t="s">
        <v>577</v>
      </c>
      <c r="O214" s="30" t="str">
        <f>IFERROR(VLOOKUP(Impuestos44[[#This Row],[Nro]],[4]Placas!$A:$D,4,0),"")</f>
        <v>2 Vales Caja 2025050960.pdf</v>
      </c>
      <c r="P214" s="37"/>
      <c r="Q214" s="36"/>
      <c r="R214" s="38"/>
      <c r="S214" s="43"/>
      <c r="U214" s="40"/>
      <c r="V214" s="40"/>
      <c r="W214" s="40"/>
    </row>
    <row r="215" spans="3:23" x14ac:dyDescent="0.3">
      <c r="C215" s="35" t="str">
        <f>CONCATENATE(Impuestos44[[#This Row],[Placa Vehiculo]],Impuestos44[[#This Row],[Vales]])</f>
        <v>CAU-7322 Vales</v>
      </c>
      <c r="D215" s="36" t="s">
        <v>68</v>
      </c>
      <c r="E215" s="37" t="s">
        <v>569</v>
      </c>
      <c r="F215" s="36">
        <v>2025</v>
      </c>
      <c r="G215" s="38">
        <v>318.60000000000002</v>
      </c>
      <c r="H215" s="39">
        <v>45795</v>
      </c>
      <c r="I215">
        <f>IF(Impuestos44[[#This Row],[Fecha]]="","",MONTH(Impuestos44[[#This Row],[Fecha]]))</f>
        <v>5</v>
      </c>
      <c r="J215" s="40" t="s">
        <v>576</v>
      </c>
      <c r="K215" s="40" t="s">
        <v>37</v>
      </c>
      <c r="L215" t="s">
        <v>571</v>
      </c>
      <c r="M215" s="30" t="s">
        <v>58</v>
      </c>
      <c r="N215" s="30" t="s">
        <v>577</v>
      </c>
      <c r="O215" s="30" t="str">
        <f>IFERROR(VLOOKUP(Impuestos44[[#This Row],[Nro]],[4]Placas!$A:$D,4,0),"")</f>
        <v>2 Vales Caja 2025050960.pdf</v>
      </c>
      <c r="P215" s="37"/>
      <c r="Q215" s="36"/>
      <c r="R215" s="38"/>
      <c r="S215" s="43"/>
      <c r="U215" s="40"/>
      <c r="V215" s="40"/>
      <c r="W215" s="40"/>
    </row>
    <row r="216" spans="3:23" x14ac:dyDescent="0.3">
      <c r="C216" s="35" t="str">
        <f>CONCATENATE(Impuestos44[[#This Row],[Placa Vehiculo]],Impuestos44[[#This Row],[Vales]])</f>
        <v>CAU-7152 Vales</v>
      </c>
      <c r="D216" s="36" t="s">
        <v>8</v>
      </c>
      <c r="E216" s="37" t="s">
        <v>569</v>
      </c>
      <c r="F216" s="36">
        <v>2025</v>
      </c>
      <c r="G216" s="38">
        <v>318.60000000000002</v>
      </c>
      <c r="H216" s="39">
        <v>45795</v>
      </c>
      <c r="I216">
        <f>IF(Impuestos44[[#This Row],[Fecha]]="","",MONTH(Impuestos44[[#This Row],[Fecha]]))</f>
        <v>5</v>
      </c>
      <c r="J216" s="40" t="s">
        <v>576</v>
      </c>
      <c r="K216" s="40" t="s">
        <v>37</v>
      </c>
      <c r="L216" t="s">
        <v>571</v>
      </c>
      <c r="M216" s="30" t="s">
        <v>58</v>
      </c>
      <c r="N216" s="30" t="s">
        <v>577</v>
      </c>
      <c r="O216" s="30" t="str">
        <f>IFERROR(VLOOKUP(Impuestos44[[#This Row],[Nro]],[4]Placas!$A:$D,4,0),"")</f>
        <v>2 Vales Caja 2025050960.pdf</v>
      </c>
      <c r="P216" s="37"/>
      <c r="Q216" s="36"/>
      <c r="R216" s="38"/>
      <c r="S216" s="43"/>
      <c r="U216" s="40"/>
      <c r="V216" s="40"/>
      <c r="W216" s="40"/>
    </row>
    <row r="217" spans="3:23" x14ac:dyDescent="0.3">
      <c r="C217" s="35" t="str">
        <f>CONCATENATE(Impuestos44[[#This Row],[Placa Vehiculo]],Impuestos44[[#This Row],[Vales]])</f>
        <v>CNK-6882 Vales</v>
      </c>
      <c r="D217" s="36" t="s">
        <v>69</v>
      </c>
      <c r="E217" s="37" t="s">
        <v>569</v>
      </c>
      <c r="F217" s="36">
        <v>2025</v>
      </c>
      <c r="G217" s="38">
        <v>674.81</v>
      </c>
      <c r="H217" s="39">
        <v>45795</v>
      </c>
      <c r="I217">
        <f>IF(Impuestos44[[#This Row],[Fecha]]="","",MONTH(Impuestos44[[#This Row],[Fecha]]))</f>
        <v>5</v>
      </c>
      <c r="J217" s="40" t="s">
        <v>576</v>
      </c>
      <c r="K217" s="40" t="s">
        <v>37</v>
      </c>
      <c r="L217" t="s">
        <v>571</v>
      </c>
      <c r="M217" s="30" t="s">
        <v>52</v>
      </c>
      <c r="N217" s="30" t="s">
        <v>577</v>
      </c>
      <c r="O217" s="30" t="str">
        <f>IFERROR(VLOOKUP(Impuestos44[[#This Row],[Nro]],[4]Placas!$A:$D,4,0),"")</f>
        <v>2 Vales Caja 2025050957.pdf</v>
      </c>
      <c r="P217" s="37"/>
      <c r="Q217" s="36"/>
      <c r="R217" s="38"/>
      <c r="S217" s="43"/>
      <c r="U217" s="40"/>
      <c r="V217" s="40"/>
      <c r="W217" s="40"/>
    </row>
    <row r="218" spans="3:23" x14ac:dyDescent="0.3">
      <c r="C218" s="35" t="str">
        <f>CONCATENATE(Impuestos44[[#This Row],[Placa Vehiculo]],Impuestos44[[#This Row],[Vales]])</f>
        <v>CNL-6322 Vales</v>
      </c>
      <c r="D218" s="36" t="s">
        <v>109</v>
      </c>
      <c r="E218" s="37" t="s">
        <v>569</v>
      </c>
      <c r="F218" s="36">
        <v>2025</v>
      </c>
      <c r="G218" s="38">
        <v>350.68</v>
      </c>
      <c r="H218" s="39">
        <v>45795</v>
      </c>
      <c r="I218">
        <f>IF(Impuestos44[[#This Row],[Fecha]]="","",MONTH(Impuestos44[[#This Row],[Fecha]]))</f>
        <v>5</v>
      </c>
      <c r="J218" s="40" t="s">
        <v>576</v>
      </c>
      <c r="K218" s="40" t="s">
        <v>37</v>
      </c>
      <c r="L218" t="s">
        <v>571</v>
      </c>
      <c r="M218" s="30" t="s">
        <v>54</v>
      </c>
      <c r="N218" s="30" t="s">
        <v>577</v>
      </c>
      <c r="O218" s="30" t="str">
        <f>IFERROR(VLOOKUP(Impuestos44[[#This Row],[Nro]],[4]Placas!$A:$D,4,0),"")</f>
        <v>2 Vales Caja 2025050959.pdf</v>
      </c>
      <c r="P218" s="37"/>
      <c r="Q218" s="36"/>
      <c r="R218" s="38"/>
      <c r="S218" s="43"/>
      <c r="U218" s="40"/>
      <c r="V218" s="40"/>
      <c r="W218" s="40"/>
    </row>
    <row r="219" spans="3:23" x14ac:dyDescent="0.3">
      <c r="C219" s="35" t="str">
        <f>CONCATENATE(Impuestos44[[#This Row],[Placa Vehiculo]],Impuestos44[[#This Row],[Vales]])</f>
        <v>CDR-9482 Vales</v>
      </c>
      <c r="D219" s="36" t="s">
        <v>115</v>
      </c>
      <c r="E219" s="37" t="s">
        <v>569</v>
      </c>
      <c r="F219" s="36">
        <v>2025</v>
      </c>
      <c r="G219" s="38" t="s">
        <v>575</v>
      </c>
      <c r="H219" s="39">
        <v>45795</v>
      </c>
      <c r="I219">
        <f>IF(Impuestos44[[#This Row],[Fecha]]="","",MONTH(Impuestos44[[#This Row],[Fecha]]))</f>
        <v>5</v>
      </c>
      <c r="J219" s="40" t="s">
        <v>576</v>
      </c>
      <c r="K219" s="40" t="s">
        <v>37</v>
      </c>
      <c r="M219" s="30" t="s">
        <v>46</v>
      </c>
      <c r="N219" s="30" t="s">
        <v>577</v>
      </c>
      <c r="O219" s="30" t="str">
        <f>IFERROR(VLOOKUP(Impuestos44[[#This Row],[Nro]],[4]Placas!$A:$D,4,0),"")</f>
        <v/>
      </c>
      <c r="P219" s="37"/>
      <c r="Q219" s="36"/>
      <c r="R219" s="38"/>
      <c r="S219" s="43"/>
      <c r="U219" s="40"/>
      <c r="V219" s="40"/>
      <c r="W219" s="40"/>
    </row>
    <row r="220" spans="3:23" x14ac:dyDescent="0.3">
      <c r="C220" s="35" t="str">
        <f>CONCATENATE(Impuestos44[[#This Row],[Placa Vehiculo]],Impuestos44[[#This Row],[Vales]])</f>
        <v>CPB-0542 Vales</v>
      </c>
      <c r="D220" s="36" t="s">
        <v>171</v>
      </c>
      <c r="E220" s="37" t="s">
        <v>569</v>
      </c>
      <c r="F220" s="36">
        <v>2025</v>
      </c>
      <c r="G220" s="38">
        <v>2079</v>
      </c>
      <c r="H220" s="39">
        <v>45795</v>
      </c>
      <c r="I220" s="41">
        <f>IF(Impuestos44[[#This Row],[Fecha]]="","",MONTH(Impuestos44[[#This Row],[Fecha]]))</f>
        <v>5</v>
      </c>
      <c r="J220" s="40" t="s">
        <v>576</v>
      </c>
      <c r="K220" s="40" t="s">
        <v>37</v>
      </c>
      <c r="L220" t="s">
        <v>571</v>
      </c>
      <c r="M220" s="42" t="s">
        <v>32</v>
      </c>
      <c r="N220" s="30" t="s">
        <v>577</v>
      </c>
      <c r="O220" s="42" t="str">
        <f>IFERROR(VLOOKUP(Impuestos44[[#This Row],[Nro]],[4]Placas!$A:$D,4,0),"")</f>
        <v/>
      </c>
      <c r="P220" s="37"/>
      <c r="Q220" s="36"/>
      <c r="R220" s="38"/>
      <c r="S220" s="43"/>
      <c r="U220" s="40"/>
      <c r="V220" s="40"/>
      <c r="W220" s="40"/>
    </row>
    <row r="221" spans="3:23" x14ac:dyDescent="0.3">
      <c r="C221" s="35" t="str">
        <f>CONCATENATE(Impuestos44[[#This Row],[Placa Vehiculo]],Impuestos44[[#This Row],[Vales]])</f>
        <v>BUR-9203 Vales</v>
      </c>
      <c r="D221" s="36" t="s">
        <v>131</v>
      </c>
      <c r="E221" s="37" t="s">
        <v>569</v>
      </c>
      <c r="F221" s="36">
        <v>2025</v>
      </c>
      <c r="G221" s="38">
        <v>283.70999999999998</v>
      </c>
      <c r="H221" s="39">
        <v>45898</v>
      </c>
      <c r="I221" s="41">
        <f>IF(Impuestos44[[#This Row],[Fecha]]="","",MONTH(Impuestos44[[#This Row],[Fecha]]))</f>
        <v>8</v>
      </c>
      <c r="J221" s="40" t="s">
        <v>578</v>
      </c>
      <c r="K221" s="40" t="s">
        <v>37</v>
      </c>
      <c r="L221" t="s">
        <v>571</v>
      </c>
      <c r="M221" s="30" t="s">
        <v>48</v>
      </c>
      <c r="N221" s="30" t="s">
        <v>579</v>
      </c>
      <c r="O221" s="30" t="str">
        <f>IFERROR(VLOOKUP(Impuestos44[[#This Row],[Nro]],[4]Placas!$A:$D,4,0),"")</f>
        <v>3 Vales Caja 2025080398.pdf</v>
      </c>
      <c r="P221" s="37"/>
      <c r="Q221" s="36"/>
      <c r="R221" s="38"/>
      <c r="S221" s="43"/>
      <c r="U221" s="40"/>
      <c r="V221" s="40"/>
      <c r="W221" s="40"/>
    </row>
    <row r="222" spans="3:23" x14ac:dyDescent="0.3">
      <c r="C222" s="35" t="str">
        <f>CONCATENATE(Impuestos44[[#This Row],[Placa Vehiculo]],Impuestos44[[#This Row],[Vales]])</f>
        <v>BUR-9283 Vales</v>
      </c>
      <c r="D222" s="36" t="s">
        <v>134</v>
      </c>
      <c r="E222" s="37" t="s">
        <v>569</v>
      </c>
      <c r="F222" s="36">
        <v>2025</v>
      </c>
      <c r="G222" s="38">
        <v>283.70999999999998</v>
      </c>
      <c r="H222" s="39">
        <v>45898</v>
      </c>
      <c r="I222" s="41">
        <f>IF(Impuestos44[[#This Row],[Fecha]]="","",MONTH(Impuestos44[[#This Row],[Fecha]]))</f>
        <v>8</v>
      </c>
      <c r="J222" s="40" t="s">
        <v>578</v>
      </c>
      <c r="K222" s="40" t="s">
        <v>37</v>
      </c>
      <c r="L222" t="s">
        <v>571</v>
      </c>
      <c r="M222" s="30" t="s">
        <v>48</v>
      </c>
      <c r="N222" s="30" t="s">
        <v>579</v>
      </c>
      <c r="O222" s="30" t="str">
        <f>IFERROR(VLOOKUP(Impuestos44[[#This Row],[Nro]],[4]Placas!$A:$D,4,0),"")</f>
        <v>3 Vales Caja 2025080398.pdf</v>
      </c>
      <c r="P222" s="37"/>
      <c r="Q222" s="36"/>
      <c r="R222" s="38"/>
      <c r="S222" s="43"/>
      <c r="U222" s="40"/>
      <c r="V222" s="40"/>
      <c r="W222" s="40"/>
    </row>
    <row r="223" spans="3:23" x14ac:dyDescent="0.3">
      <c r="C223" s="35" t="str">
        <f>CONCATENATE(Impuestos44[[#This Row],[Placa Vehiculo]],Impuestos44[[#This Row],[Vales]])</f>
        <v>BUR-9443 Vales</v>
      </c>
      <c r="D223" s="36" t="s">
        <v>135</v>
      </c>
      <c r="E223" s="37" t="s">
        <v>569</v>
      </c>
      <c r="F223" s="36">
        <v>2025</v>
      </c>
      <c r="G223" s="38">
        <v>283.70999999999998</v>
      </c>
      <c r="H223" s="39">
        <v>45898</v>
      </c>
      <c r="I223" s="41">
        <f>IF(Impuestos44[[#This Row],[Fecha]]="","",MONTH(Impuestos44[[#This Row],[Fecha]]))</f>
        <v>8</v>
      </c>
      <c r="J223" s="40" t="s">
        <v>578</v>
      </c>
      <c r="K223" s="40" t="s">
        <v>37</v>
      </c>
      <c r="L223" t="s">
        <v>571</v>
      </c>
      <c r="M223" s="30" t="s">
        <v>48</v>
      </c>
      <c r="N223" s="30" t="s">
        <v>579</v>
      </c>
      <c r="O223" s="30" t="str">
        <f>IFERROR(VLOOKUP(Impuestos44[[#This Row],[Nro]],[4]Placas!$A:$D,4,0),"")</f>
        <v>3 Vales Caja 2025080398.pdf</v>
      </c>
      <c r="P223" s="37"/>
      <c r="Q223" s="36"/>
      <c r="R223" s="38"/>
      <c r="S223" s="43"/>
      <c r="U223" s="40"/>
      <c r="V223" s="40"/>
      <c r="W223" s="40"/>
    </row>
    <row r="224" spans="3:23" x14ac:dyDescent="0.3">
      <c r="C224" s="35" t="str">
        <f>CONCATENATE(Impuestos44[[#This Row],[Placa Vehiculo]],Impuestos44[[#This Row],[Vales]])</f>
        <v>BUR-9463 Vales</v>
      </c>
      <c r="D224" s="36" t="s">
        <v>136</v>
      </c>
      <c r="E224" s="37" t="s">
        <v>569</v>
      </c>
      <c r="F224" s="36">
        <v>2025</v>
      </c>
      <c r="G224" s="38">
        <v>283.70999999999998</v>
      </c>
      <c r="H224" s="39">
        <v>45898</v>
      </c>
      <c r="I224" s="41">
        <f>IF(Impuestos44[[#This Row],[Fecha]]="","",MONTH(Impuestos44[[#This Row],[Fecha]]))</f>
        <v>8</v>
      </c>
      <c r="J224" s="40" t="s">
        <v>578</v>
      </c>
      <c r="K224" s="40" t="s">
        <v>37</v>
      </c>
      <c r="L224" t="s">
        <v>571</v>
      </c>
      <c r="M224" s="30" t="s">
        <v>48</v>
      </c>
      <c r="N224" s="30" t="s">
        <v>579</v>
      </c>
      <c r="O224" s="30" t="str">
        <f>IFERROR(VLOOKUP(Impuestos44[[#This Row],[Nro]],[4]Placas!$A:$D,4,0),"")</f>
        <v>3 Vales Caja 2025080398.pdf</v>
      </c>
      <c r="P224" s="37"/>
      <c r="Q224" s="36"/>
      <c r="R224" s="38"/>
      <c r="S224" s="43"/>
      <c r="U224" s="40"/>
      <c r="V224" s="40"/>
      <c r="W224" s="40"/>
    </row>
    <row r="225" spans="3:23" x14ac:dyDescent="0.3">
      <c r="C225" s="35" t="str">
        <f>CONCATENATE(Impuestos44[[#This Row],[Placa Vehiculo]],Impuestos44[[#This Row],[Vales]])</f>
        <v>BUS-7353 Vales</v>
      </c>
      <c r="D225" s="36" t="s">
        <v>137</v>
      </c>
      <c r="E225" s="37" t="s">
        <v>569</v>
      </c>
      <c r="F225" s="36">
        <v>2025</v>
      </c>
      <c r="G225" s="38">
        <v>283.70999999999998</v>
      </c>
      <c r="H225" s="39">
        <v>45898</v>
      </c>
      <c r="I225" s="41">
        <f>IF(Impuestos44[[#This Row],[Fecha]]="","",MONTH(Impuestos44[[#This Row],[Fecha]]))</f>
        <v>8</v>
      </c>
      <c r="J225" s="40" t="s">
        <v>578</v>
      </c>
      <c r="K225" s="40" t="s">
        <v>37</v>
      </c>
      <c r="L225" t="s">
        <v>571</v>
      </c>
      <c r="M225" s="30" t="s">
        <v>48</v>
      </c>
      <c r="N225" s="30" t="s">
        <v>579</v>
      </c>
      <c r="O225" s="30" t="str">
        <f>IFERROR(VLOOKUP(Impuestos44[[#This Row],[Nro]],[4]Placas!$A:$D,4,0),"")</f>
        <v>3 Vales Caja 2025080398.pdf</v>
      </c>
      <c r="P225" s="37"/>
      <c r="Q225" s="36"/>
      <c r="R225" s="38"/>
      <c r="S225" s="43"/>
      <c r="U225" s="40"/>
      <c r="V225" s="40"/>
      <c r="W225" s="40"/>
    </row>
    <row r="226" spans="3:23" x14ac:dyDescent="0.3">
      <c r="C226" s="35" t="str">
        <f>CONCATENATE(Impuestos44[[#This Row],[Placa Vehiculo]],Impuestos44[[#This Row],[Vales]])</f>
        <v>BUR-9213 Vales</v>
      </c>
      <c r="D226" s="36" t="s">
        <v>138</v>
      </c>
      <c r="E226" s="37" t="s">
        <v>569</v>
      </c>
      <c r="F226" s="36">
        <v>2025</v>
      </c>
      <c r="G226" s="38">
        <v>283.70999999999998</v>
      </c>
      <c r="H226" s="39">
        <v>45898</v>
      </c>
      <c r="I226" s="41">
        <f>IF(Impuestos44[[#This Row],[Fecha]]="","",MONTH(Impuestos44[[#This Row],[Fecha]]))</f>
        <v>8</v>
      </c>
      <c r="J226" s="40" t="s">
        <v>578</v>
      </c>
      <c r="K226" s="40" t="s">
        <v>37</v>
      </c>
      <c r="L226" t="s">
        <v>571</v>
      </c>
      <c r="M226" s="30" t="s">
        <v>48</v>
      </c>
      <c r="N226" s="30" t="s">
        <v>579</v>
      </c>
      <c r="O226" s="30" t="str">
        <f>IFERROR(VLOOKUP(Impuestos44[[#This Row],[Nro]],[4]Placas!$A:$D,4,0),"")</f>
        <v>3 Vales Caja 2025080398.pdf</v>
      </c>
      <c r="P226" s="37"/>
      <c r="Q226" s="36"/>
      <c r="R226" s="38"/>
      <c r="S226" s="43"/>
      <c r="U226" s="40"/>
      <c r="V226" s="40"/>
      <c r="W226" s="40"/>
    </row>
    <row r="227" spans="3:23" x14ac:dyDescent="0.3">
      <c r="C227" s="35" t="str">
        <f>CONCATENATE(Impuestos44[[#This Row],[Placa Vehiculo]],Impuestos44[[#This Row],[Vales]])</f>
        <v>BUR-9293 Vales</v>
      </c>
      <c r="D227" s="36" t="s">
        <v>139</v>
      </c>
      <c r="E227" s="37" t="s">
        <v>569</v>
      </c>
      <c r="F227" s="36">
        <v>2025</v>
      </c>
      <c r="G227" s="38">
        <v>283.70999999999998</v>
      </c>
      <c r="H227" s="39">
        <v>45898</v>
      </c>
      <c r="I227" s="41">
        <f>IF(Impuestos44[[#This Row],[Fecha]]="","",MONTH(Impuestos44[[#This Row],[Fecha]]))</f>
        <v>8</v>
      </c>
      <c r="J227" s="40" t="s">
        <v>578</v>
      </c>
      <c r="K227" s="40" t="s">
        <v>37</v>
      </c>
      <c r="L227" t="s">
        <v>571</v>
      </c>
      <c r="M227" s="30" t="s">
        <v>48</v>
      </c>
      <c r="N227" s="30" t="s">
        <v>579</v>
      </c>
      <c r="O227" s="30" t="str">
        <f>IFERROR(VLOOKUP(Impuestos44[[#This Row],[Nro]],[4]Placas!$A:$D,4,0),"")</f>
        <v>3 Vales Caja 2025080398.pdf</v>
      </c>
      <c r="P227" s="37"/>
      <c r="Q227" s="36"/>
      <c r="R227" s="38"/>
      <c r="S227" s="43"/>
      <c r="U227" s="40"/>
      <c r="V227" s="40"/>
      <c r="W227" s="40"/>
    </row>
    <row r="228" spans="3:23" x14ac:dyDescent="0.3">
      <c r="C228" s="35" t="str">
        <f>CONCATENATE(Impuestos44[[#This Row],[Placa Vehiculo]],Impuestos44[[#This Row],[Vales]])</f>
        <v>BUR-9453 Vales</v>
      </c>
      <c r="D228" s="36" t="s">
        <v>140</v>
      </c>
      <c r="E228" s="37" t="s">
        <v>569</v>
      </c>
      <c r="F228" s="36">
        <v>2025</v>
      </c>
      <c r="G228" s="38">
        <v>283.70999999999998</v>
      </c>
      <c r="H228" s="39">
        <v>45898</v>
      </c>
      <c r="I228" s="41">
        <f>IF(Impuestos44[[#This Row],[Fecha]]="","",MONTH(Impuestos44[[#This Row],[Fecha]]))</f>
        <v>8</v>
      </c>
      <c r="J228" s="40" t="s">
        <v>578</v>
      </c>
      <c r="K228" s="40" t="s">
        <v>37</v>
      </c>
      <c r="L228" t="s">
        <v>571</v>
      </c>
      <c r="M228" s="30" t="s">
        <v>48</v>
      </c>
      <c r="N228" s="30" t="s">
        <v>579</v>
      </c>
      <c r="O228" s="30" t="str">
        <f>IFERROR(VLOOKUP(Impuestos44[[#This Row],[Nro]],[4]Placas!$A:$D,4,0),"")</f>
        <v>3 Vales Caja 2025080398.pdf</v>
      </c>
      <c r="P228" s="37"/>
      <c r="Q228" s="36"/>
      <c r="R228" s="38"/>
      <c r="S228" s="43"/>
      <c r="U228" s="40"/>
      <c r="V228" s="40"/>
      <c r="W228" s="40"/>
    </row>
    <row r="229" spans="3:23" x14ac:dyDescent="0.3">
      <c r="C229" s="35" t="str">
        <f>CONCATENATE(Impuestos44[[#This Row],[Placa Vehiculo]],Impuestos44[[#This Row],[Vales]])</f>
        <v>BUS-7283 Vales</v>
      </c>
      <c r="D229" s="36" t="s">
        <v>141</v>
      </c>
      <c r="E229" s="37" t="s">
        <v>569</v>
      </c>
      <c r="F229" s="36">
        <v>2025</v>
      </c>
      <c r="G229" s="38">
        <v>283.70999999999998</v>
      </c>
      <c r="H229" s="39">
        <v>45898</v>
      </c>
      <c r="I229" s="41">
        <f>IF(Impuestos44[[#This Row],[Fecha]]="","",MONTH(Impuestos44[[#This Row],[Fecha]]))</f>
        <v>8</v>
      </c>
      <c r="J229" s="40" t="s">
        <v>578</v>
      </c>
      <c r="K229" s="40" t="s">
        <v>37</v>
      </c>
      <c r="L229" t="s">
        <v>571</v>
      </c>
      <c r="M229" s="30" t="s">
        <v>48</v>
      </c>
      <c r="N229" s="30" t="s">
        <v>579</v>
      </c>
      <c r="O229" s="30" t="str">
        <f>IFERROR(VLOOKUP(Impuestos44[[#This Row],[Nro]],[4]Placas!$A:$D,4,0),"")</f>
        <v>3 Vales Caja 2025080398.pdf</v>
      </c>
      <c r="P229" s="37"/>
      <c r="Q229" s="36"/>
      <c r="R229" s="38"/>
      <c r="S229" s="43"/>
      <c r="U229" s="40"/>
      <c r="V229" s="40"/>
      <c r="W229" s="40"/>
    </row>
    <row r="230" spans="3:23" x14ac:dyDescent="0.3">
      <c r="C230" s="35" t="str">
        <f>CONCATENATE(Impuestos44[[#This Row],[Placa Vehiculo]],Impuestos44[[#This Row],[Vales]])</f>
        <v>BUS-7773 Vales</v>
      </c>
      <c r="D230" s="36" t="s">
        <v>142</v>
      </c>
      <c r="E230" s="37" t="s">
        <v>569</v>
      </c>
      <c r="F230" s="36">
        <v>2025</v>
      </c>
      <c r="G230" s="38">
        <v>148.08000000000001</v>
      </c>
      <c r="H230" s="39">
        <v>45898</v>
      </c>
      <c r="I230" s="41">
        <f>IF(Impuestos44[[#This Row],[Fecha]]="","",MONTH(Impuestos44[[#This Row],[Fecha]]))</f>
        <v>8</v>
      </c>
      <c r="J230" s="40" t="s">
        <v>578</v>
      </c>
      <c r="K230" s="40" t="s">
        <v>37</v>
      </c>
      <c r="L230" t="s">
        <v>571</v>
      </c>
      <c r="M230" s="30" t="s">
        <v>48</v>
      </c>
      <c r="N230" s="30" t="s">
        <v>579</v>
      </c>
      <c r="O230" s="30" t="str">
        <f>IFERROR(VLOOKUP(Impuestos44[[#This Row],[Nro]],[4]Placas!$A:$D,4,0),"")</f>
        <v>3 Vales Caja 2025080398.pdf</v>
      </c>
      <c r="P230" s="37"/>
      <c r="Q230" s="36"/>
      <c r="R230" s="38"/>
      <c r="S230" s="43"/>
      <c r="U230" s="40"/>
      <c r="V230" s="40"/>
      <c r="W230" s="40"/>
    </row>
    <row r="231" spans="3:23" x14ac:dyDescent="0.3">
      <c r="C231" s="35" t="str">
        <f>CONCATENATE(Impuestos44[[#This Row],[Placa Vehiculo]],Impuestos44[[#This Row],[Vales]])</f>
        <v>BUS-7783 Vales</v>
      </c>
      <c r="D231" s="36" t="s">
        <v>143</v>
      </c>
      <c r="E231" s="37" t="s">
        <v>569</v>
      </c>
      <c r="F231" s="36">
        <v>2025</v>
      </c>
      <c r="G231" s="38">
        <v>148.08000000000001</v>
      </c>
      <c r="H231" s="39">
        <v>45898</v>
      </c>
      <c r="I231" s="41">
        <f>IF(Impuestos44[[#This Row],[Fecha]]="","",MONTH(Impuestos44[[#This Row],[Fecha]]))</f>
        <v>8</v>
      </c>
      <c r="J231" s="40" t="s">
        <v>578</v>
      </c>
      <c r="K231" s="40" t="s">
        <v>37</v>
      </c>
      <c r="L231" t="s">
        <v>571</v>
      </c>
      <c r="M231" s="30" t="s">
        <v>48</v>
      </c>
      <c r="N231" s="30" t="s">
        <v>579</v>
      </c>
      <c r="O231" s="30" t="str">
        <f>IFERROR(VLOOKUP(Impuestos44[[#This Row],[Nro]],[4]Placas!$A:$D,4,0),"")</f>
        <v>3 Vales Caja 2025080398.pdf</v>
      </c>
      <c r="P231" s="37"/>
      <c r="Q231" s="36"/>
      <c r="R231" s="38"/>
      <c r="S231" s="43"/>
      <c r="U231" s="40"/>
      <c r="V231" s="40"/>
      <c r="W231" s="40"/>
    </row>
    <row r="232" spans="3:23" x14ac:dyDescent="0.3">
      <c r="C232" s="35" t="str">
        <f>CONCATENATE(Impuestos44[[#This Row],[Placa Vehiculo]],Impuestos44[[#This Row],[Vales]])</f>
        <v>BUS-7793 Vales</v>
      </c>
      <c r="D232" s="36" t="s">
        <v>144</v>
      </c>
      <c r="E232" s="37" t="s">
        <v>569</v>
      </c>
      <c r="F232" s="36">
        <v>2025</v>
      </c>
      <c r="G232" s="38">
        <v>283.70999999999998</v>
      </c>
      <c r="H232" s="39">
        <v>45898</v>
      </c>
      <c r="I232" s="41">
        <f>IF(Impuestos44[[#This Row],[Fecha]]="","",MONTH(Impuestos44[[#This Row],[Fecha]]))</f>
        <v>8</v>
      </c>
      <c r="J232" s="40" t="s">
        <v>578</v>
      </c>
      <c r="K232" s="40" t="s">
        <v>37</v>
      </c>
      <c r="L232" t="s">
        <v>571</v>
      </c>
      <c r="M232" s="30" t="s">
        <v>48</v>
      </c>
      <c r="N232" s="30" t="s">
        <v>579</v>
      </c>
      <c r="O232" s="30" t="str">
        <f>IFERROR(VLOOKUP(Impuestos44[[#This Row],[Nro]],[4]Placas!$A:$D,4,0),"")</f>
        <v>3 Vales Caja 2025080398.pdf</v>
      </c>
      <c r="P232" s="37"/>
      <c r="Q232" s="36"/>
      <c r="R232" s="38"/>
      <c r="S232" s="43"/>
      <c r="U232" s="40"/>
      <c r="V232" s="40"/>
      <c r="W232" s="40"/>
    </row>
    <row r="233" spans="3:23" x14ac:dyDescent="0.3">
      <c r="C233" s="35" t="str">
        <f>CONCATENATE(Impuestos44[[#This Row],[Placa Vehiculo]],Impuestos44[[#This Row],[Vales]])</f>
        <v>BUS-7823 Vales</v>
      </c>
      <c r="D233" s="36" t="s">
        <v>145</v>
      </c>
      <c r="E233" s="37" t="s">
        <v>569</v>
      </c>
      <c r="F233" s="36">
        <v>2025</v>
      </c>
      <c r="G233" s="38">
        <v>283.70999999999998</v>
      </c>
      <c r="H233" s="39">
        <v>45898</v>
      </c>
      <c r="I233" s="41">
        <f>IF(Impuestos44[[#This Row],[Fecha]]="","",MONTH(Impuestos44[[#This Row],[Fecha]]))</f>
        <v>8</v>
      </c>
      <c r="J233" s="40" t="s">
        <v>578</v>
      </c>
      <c r="K233" s="40" t="s">
        <v>37</v>
      </c>
      <c r="L233" t="s">
        <v>571</v>
      </c>
      <c r="M233" s="30" t="s">
        <v>48</v>
      </c>
      <c r="N233" s="30" t="s">
        <v>579</v>
      </c>
      <c r="O233" s="30" t="str">
        <f>IFERROR(VLOOKUP(Impuestos44[[#This Row],[Nro]],[4]Placas!$A:$D,4,0),"")</f>
        <v>3 Vales Caja 2025080398.pdf</v>
      </c>
      <c r="P233" s="37"/>
      <c r="Q233" s="36"/>
      <c r="R233" s="38"/>
      <c r="S233" s="43"/>
      <c r="U233" s="40"/>
      <c r="V233" s="40"/>
      <c r="W233" s="40"/>
    </row>
    <row r="234" spans="3:23" x14ac:dyDescent="0.3">
      <c r="C234" s="35" t="str">
        <f>CONCATENATE(Impuestos44[[#This Row],[Placa Vehiculo]],Impuestos44[[#This Row],[Vales]])</f>
        <v>BUS-8013 Vales</v>
      </c>
      <c r="D234" s="36" t="s">
        <v>146</v>
      </c>
      <c r="E234" s="37" t="s">
        <v>569</v>
      </c>
      <c r="F234" s="36">
        <v>2025</v>
      </c>
      <c r="G234" s="38">
        <v>283.70999999999998</v>
      </c>
      <c r="H234" s="39">
        <v>45898</v>
      </c>
      <c r="I234" s="41">
        <f>IF(Impuestos44[[#This Row],[Fecha]]="","",MONTH(Impuestos44[[#This Row],[Fecha]]))</f>
        <v>8</v>
      </c>
      <c r="J234" s="40" t="s">
        <v>578</v>
      </c>
      <c r="K234" s="40" t="s">
        <v>37</v>
      </c>
      <c r="L234" t="s">
        <v>571</v>
      </c>
      <c r="M234" s="30" t="s">
        <v>48</v>
      </c>
      <c r="N234" s="30" t="s">
        <v>579</v>
      </c>
      <c r="O234" s="30" t="str">
        <f>IFERROR(VLOOKUP(Impuestos44[[#This Row],[Nro]],[4]Placas!$A:$D,4,0),"")</f>
        <v>3 Vales Caja 2025080398.pdf</v>
      </c>
      <c r="P234" s="37"/>
      <c r="Q234" s="36"/>
      <c r="R234" s="38"/>
      <c r="S234" s="43"/>
      <c r="U234" s="40"/>
      <c r="V234" s="40"/>
      <c r="W234" s="40"/>
    </row>
    <row r="235" spans="3:23" x14ac:dyDescent="0.3">
      <c r="C235" s="35" t="str">
        <f>CONCATENATE(Impuestos44[[#This Row],[Placa Vehiculo]],Impuestos44[[#This Row],[Vales]])</f>
        <v>BUS-8023 Vales</v>
      </c>
      <c r="D235" s="36" t="s">
        <v>147</v>
      </c>
      <c r="E235" s="37" t="s">
        <v>569</v>
      </c>
      <c r="F235" s="36">
        <v>2025</v>
      </c>
      <c r="G235" s="38">
        <v>283.70999999999998</v>
      </c>
      <c r="H235" s="39">
        <v>45898</v>
      </c>
      <c r="I235" s="41">
        <f>IF(Impuestos44[[#This Row],[Fecha]]="","",MONTH(Impuestos44[[#This Row],[Fecha]]))</f>
        <v>8</v>
      </c>
      <c r="J235" s="40" t="s">
        <v>578</v>
      </c>
      <c r="K235" s="40" t="s">
        <v>37</v>
      </c>
      <c r="L235" t="s">
        <v>571</v>
      </c>
      <c r="M235" s="30" t="s">
        <v>48</v>
      </c>
      <c r="N235" s="30" t="s">
        <v>579</v>
      </c>
      <c r="O235" s="30" t="str">
        <f>IFERROR(VLOOKUP(Impuestos44[[#This Row],[Nro]],[4]Placas!$A:$D,4,0),"")</f>
        <v>3 Vales Caja 2025080398.pdf</v>
      </c>
      <c r="P235" s="37"/>
      <c r="Q235" s="36"/>
      <c r="R235" s="38"/>
      <c r="S235" s="43"/>
      <c r="U235" s="40"/>
      <c r="V235" s="40"/>
      <c r="W235" s="40"/>
    </row>
    <row r="236" spans="3:23" x14ac:dyDescent="0.3">
      <c r="C236" s="35" t="str">
        <f>CONCATENATE(Impuestos44[[#This Row],[Placa Vehiculo]],Impuestos44[[#This Row],[Vales]])</f>
        <v>BUS-7273 Vales</v>
      </c>
      <c r="D236" s="36" t="s">
        <v>148</v>
      </c>
      <c r="E236" s="37" t="s">
        <v>569</v>
      </c>
      <c r="F236" s="36">
        <v>2025</v>
      </c>
      <c r="G236" s="38">
        <v>283.70999999999998</v>
      </c>
      <c r="H236" s="39">
        <v>45898</v>
      </c>
      <c r="I236" s="41">
        <f>IF(Impuestos44[[#This Row],[Fecha]]="","",MONTH(Impuestos44[[#This Row],[Fecha]]))</f>
        <v>8</v>
      </c>
      <c r="J236" s="40" t="s">
        <v>578</v>
      </c>
      <c r="K236" s="40" t="s">
        <v>37</v>
      </c>
      <c r="L236" t="s">
        <v>571</v>
      </c>
      <c r="M236" s="30" t="s">
        <v>48</v>
      </c>
      <c r="N236" s="30" t="s">
        <v>579</v>
      </c>
      <c r="O236" s="30" t="str">
        <f>IFERROR(VLOOKUP(Impuestos44[[#This Row],[Nro]],[4]Placas!$A:$D,4,0),"")</f>
        <v>3 Vales Caja 2025080398.pdf</v>
      </c>
      <c r="P236" s="37"/>
      <c r="Q236" s="36"/>
      <c r="R236" s="38"/>
      <c r="S236" s="43"/>
      <c r="U236" s="40"/>
      <c r="V236" s="40"/>
      <c r="W236" s="40"/>
    </row>
    <row r="237" spans="3:23" x14ac:dyDescent="0.3">
      <c r="C237" s="35" t="str">
        <f>CONCATENATE(Impuestos44[[#This Row],[Placa Vehiculo]],Impuestos44[[#This Row],[Vales]])</f>
        <v>BUS-8163 Vales</v>
      </c>
      <c r="D237" s="36" t="s">
        <v>149</v>
      </c>
      <c r="E237" s="37" t="s">
        <v>569</v>
      </c>
      <c r="F237" s="36">
        <v>2025</v>
      </c>
      <c r="G237" s="38">
        <v>283.70999999999998</v>
      </c>
      <c r="H237" s="39">
        <v>45898</v>
      </c>
      <c r="I237" s="41">
        <f>IF(Impuestos44[[#This Row],[Fecha]]="","",MONTH(Impuestos44[[#This Row],[Fecha]]))</f>
        <v>8</v>
      </c>
      <c r="J237" s="40" t="s">
        <v>578</v>
      </c>
      <c r="K237" s="40" t="s">
        <v>37</v>
      </c>
      <c r="L237" t="s">
        <v>571</v>
      </c>
      <c r="M237" s="30" t="s">
        <v>48</v>
      </c>
      <c r="N237" s="30" t="s">
        <v>579</v>
      </c>
      <c r="O237" s="30" t="str">
        <f>IFERROR(VLOOKUP(Impuestos44[[#This Row],[Nro]],[4]Placas!$A:$D,4,0),"")</f>
        <v>3 Vales Caja 2025080398.pdf</v>
      </c>
      <c r="P237" s="37"/>
      <c r="Q237" s="36"/>
      <c r="R237" s="38"/>
      <c r="S237" s="43"/>
      <c r="U237" s="40"/>
      <c r="V237" s="40"/>
      <c r="W237" s="40"/>
    </row>
    <row r="238" spans="3:23" x14ac:dyDescent="0.3">
      <c r="C238" s="35" t="str">
        <f>CONCATENATE(Impuestos44[[#This Row],[Placa Vehiculo]],Impuestos44[[#This Row],[Vales]])</f>
        <v>BUS-8623 Vales</v>
      </c>
      <c r="D238" s="36" t="s">
        <v>150</v>
      </c>
      <c r="E238" s="37" t="s">
        <v>569</v>
      </c>
      <c r="F238" s="36">
        <v>2025</v>
      </c>
      <c r="G238" s="38">
        <v>283.70999999999998</v>
      </c>
      <c r="H238" s="39">
        <v>45898</v>
      </c>
      <c r="I238" s="41">
        <f>IF(Impuestos44[[#This Row],[Fecha]]="","",MONTH(Impuestos44[[#This Row],[Fecha]]))</f>
        <v>8</v>
      </c>
      <c r="J238" s="40" t="s">
        <v>578</v>
      </c>
      <c r="K238" s="40" t="s">
        <v>37</v>
      </c>
      <c r="L238" t="s">
        <v>571</v>
      </c>
      <c r="M238" s="30" t="s">
        <v>48</v>
      </c>
      <c r="N238" s="30" t="s">
        <v>579</v>
      </c>
      <c r="O238" s="30" t="str">
        <f>IFERROR(VLOOKUP(Impuestos44[[#This Row],[Nro]],[4]Placas!$A:$D,4,0),"")</f>
        <v>3 Vales Caja 2025080398.pdf</v>
      </c>
      <c r="P238" s="37"/>
      <c r="Q238" s="36"/>
      <c r="R238" s="38"/>
      <c r="S238" s="43"/>
      <c r="U238" s="40"/>
      <c r="V238" s="40"/>
      <c r="W238" s="40"/>
    </row>
    <row r="239" spans="3:23" x14ac:dyDescent="0.3">
      <c r="C239" s="35" t="str">
        <f>CONCATENATE(Impuestos44[[#This Row],[Placa Vehiculo]],Impuestos44[[#This Row],[Vales]])</f>
        <v>BUS-8633 Vales</v>
      </c>
      <c r="D239" s="36" t="s">
        <v>151</v>
      </c>
      <c r="E239" s="37" t="s">
        <v>569</v>
      </c>
      <c r="F239" s="36">
        <v>2025</v>
      </c>
      <c r="G239" s="38">
        <v>283.70999999999998</v>
      </c>
      <c r="H239" s="39">
        <v>45898</v>
      </c>
      <c r="I239" s="41">
        <f>IF(Impuestos44[[#This Row],[Fecha]]="","",MONTH(Impuestos44[[#This Row],[Fecha]]))</f>
        <v>8</v>
      </c>
      <c r="J239" s="40" t="s">
        <v>578</v>
      </c>
      <c r="K239" s="40" t="s">
        <v>37</v>
      </c>
      <c r="L239" t="s">
        <v>571</v>
      </c>
      <c r="M239" s="30" t="s">
        <v>48</v>
      </c>
      <c r="N239" s="30" t="s">
        <v>579</v>
      </c>
      <c r="O239" s="30" t="str">
        <f>IFERROR(VLOOKUP(Impuestos44[[#This Row],[Nro]],[4]Placas!$A:$D,4,0),"")</f>
        <v>3 Vales Caja 2025080398.pdf</v>
      </c>
      <c r="P239" s="37"/>
      <c r="Q239" s="36"/>
      <c r="R239" s="38"/>
      <c r="S239" s="43"/>
      <c r="U239" s="40"/>
      <c r="V239" s="40"/>
      <c r="W239" s="40"/>
    </row>
    <row r="240" spans="3:23" x14ac:dyDescent="0.3">
      <c r="C240" s="35" t="str">
        <f>CONCATENATE(Impuestos44[[#This Row],[Placa Vehiculo]],Impuestos44[[#This Row],[Vales]])</f>
        <v>BUS-7183 Vales</v>
      </c>
      <c r="D240" s="36" t="s">
        <v>152</v>
      </c>
      <c r="E240" s="37" t="s">
        <v>569</v>
      </c>
      <c r="F240" s="36">
        <v>2025</v>
      </c>
      <c r="G240" s="38">
        <v>283.70999999999998</v>
      </c>
      <c r="H240" s="39">
        <v>45898</v>
      </c>
      <c r="I240" s="41">
        <f>IF(Impuestos44[[#This Row],[Fecha]]="","",MONTH(Impuestos44[[#This Row],[Fecha]]))</f>
        <v>8</v>
      </c>
      <c r="J240" s="40" t="s">
        <v>578</v>
      </c>
      <c r="K240" s="40" t="s">
        <v>37</v>
      </c>
      <c r="L240" t="s">
        <v>571</v>
      </c>
      <c r="M240" s="30" t="s">
        <v>48</v>
      </c>
      <c r="N240" s="30" t="s">
        <v>579</v>
      </c>
      <c r="O240" s="30" t="str">
        <f>IFERROR(VLOOKUP(Impuestos44[[#This Row],[Nro]],[4]Placas!$A:$D,4,0),"")</f>
        <v>3 Vales Caja 2025080398.pdf</v>
      </c>
      <c r="P240" s="37"/>
      <c r="Q240" s="36"/>
      <c r="R240" s="38"/>
      <c r="S240" s="43"/>
      <c r="U240" s="40"/>
      <c r="V240" s="40"/>
      <c r="W240" s="40"/>
    </row>
    <row r="241" spans="3:23" x14ac:dyDescent="0.3">
      <c r="C241" s="35" t="str">
        <f>CONCATENATE(Impuestos44[[#This Row],[Placa Vehiculo]],Impuestos44[[#This Row],[Vales]])</f>
        <v>CFG-0233 Vales</v>
      </c>
      <c r="D241" s="36" t="s">
        <v>110</v>
      </c>
      <c r="E241" s="37" t="s">
        <v>569</v>
      </c>
      <c r="F241" s="36">
        <v>2025</v>
      </c>
      <c r="G241" s="38">
        <v>240.28</v>
      </c>
      <c r="H241" s="39">
        <v>45898</v>
      </c>
      <c r="I241" s="44">
        <f>IF(Impuestos44[[#This Row],[Fecha]]="","",MONTH(Impuestos44[[#This Row],[Fecha]]))</f>
        <v>8</v>
      </c>
      <c r="J241" s="40" t="s">
        <v>578</v>
      </c>
      <c r="K241" s="40" t="s">
        <v>37</v>
      </c>
      <c r="L241" t="s">
        <v>571</v>
      </c>
      <c r="M241" s="30" t="s">
        <v>56</v>
      </c>
      <c r="N241" s="30" t="s">
        <v>579</v>
      </c>
      <c r="O241" s="30" t="str">
        <f>IFERROR(VLOOKUP(Impuestos44[[#This Row],[Nro]],[4]Placas!$A:$D,4,0),"")</f>
        <v>3 Vales Caja 2025080401.pdf</v>
      </c>
      <c r="P241" s="37"/>
      <c r="Q241" s="36"/>
      <c r="R241" s="38"/>
      <c r="S241" s="43"/>
      <c r="U241" s="40"/>
      <c r="V241" s="40"/>
      <c r="W241" s="40"/>
    </row>
    <row r="242" spans="3:23" x14ac:dyDescent="0.3">
      <c r="C242" s="35" t="str">
        <f>CONCATENATE(Impuestos44[[#This Row],[Placa Vehiculo]],Impuestos44[[#This Row],[Vales]])</f>
        <v>CFF-5033 Vales</v>
      </c>
      <c r="D242" s="36" t="s">
        <v>114</v>
      </c>
      <c r="E242" s="37" t="s">
        <v>569</v>
      </c>
      <c r="F242" s="36">
        <v>2025</v>
      </c>
      <c r="G242" s="38">
        <v>240.28</v>
      </c>
      <c r="H242" s="39">
        <v>45898</v>
      </c>
      <c r="I242" s="41">
        <f>IF(Impuestos44[[#This Row],[Fecha]]="","",MONTH(Impuestos44[[#This Row],[Fecha]]))</f>
        <v>8</v>
      </c>
      <c r="J242" s="40" t="s">
        <v>578</v>
      </c>
      <c r="K242" s="40" t="s">
        <v>37</v>
      </c>
      <c r="L242" t="s">
        <v>571</v>
      </c>
      <c r="M242" s="30" t="s">
        <v>56</v>
      </c>
      <c r="N242" s="30" t="s">
        <v>579</v>
      </c>
      <c r="O242" s="30" t="str">
        <f>IFERROR(VLOOKUP(Impuestos44[[#This Row],[Nro]],[4]Placas!$A:$D,4,0),"")</f>
        <v>3 Vales Caja 2025080401.pdf</v>
      </c>
      <c r="P242" s="37"/>
      <c r="Q242" s="36"/>
      <c r="R242" s="38"/>
      <c r="S242" s="43"/>
      <c r="U242" s="40"/>
      <c r="V242" s="40"/>
      <c r="W242" s="40"/>
    </row>
    <row r="243" spans="3:23" x14ac:dyDescent="0.3">
      <c r="C243" s="35" t="str">
        <f>CONCATENATE(Impuestos44[[#This Row],[Placa Vehiculo]],Impuestos44[[#This Row],[Vales]])</f>
        <v>BYR-9443 Vales</v>
      </c>
      <c r="D243" s="36" t="s">
        <v>153</v>
      </c>
      <c r="E243" s="37" t="s">
        <v>569</v>
      </c>
      <c r="F243" s="36">
        <v>2025</v>
      </c>
      <c r="G243" s="38">
        <v>356.83</v>
      </c>
      <c r="H243" s="39">
        <v>45898</v>
      </c>
      <c r="I243" s="41">
        <f>IF(Impuestos44[[#This Row],[Fecha]]="","",MONTH(Impuestos44[[#This Row],[Fecha]]))</f>
        <v>8</v>
      </c>
      <c r="J243" s="40" t="s">
        <v>578</v>
      </c>
      <c r="K243" s="40" t="s">
        <v>37</v>
      </c>
      <c r="L243" t="s">
        <v>571</v>
      </c>
      <c r="M243" s="30" t="s">
        <v>48</v>
      </c>
      <c r="N243" s="30" t="s">
        <v>579</v>
      </c>
      <c r="O243" s="30" t="str">
        <f>IFERROR(VLOOKUP(Impuestos44[[#This Row],[Nro]],[4]Placas!$A:$D,4,0),"")</f>
        <v>3 Vales Caja 2025080398.pdf</v>
      </c>
      <c r="P243" s="37"/>
      <c r="Q243" s="36"/>
      <c r="R243" s="38"/>
      <c r="S243" s="43"/>
      <c r="U243" s="40"/>
      <c r="V243" s="40"/>
      <c r="W243" s="40"/>
    </row>
    <row r="244" spans="3:23" x14ac:dyDescent="0.3">
      <c r="C244" s="35" t="str">
        <f>CONCATENATE(Impuestos44[[#This Row],[Placa Vehiculo]],Impuestos44[[#This Row],[Vales]])</f>
        <v>BYR-9483 Vales</v>
      </c>
      <c r="D244" s="36" t="s">
        <v>154</v>
      </c>
      <c r="E244" s="37" t="s">
        <v>569</v>
      </c>
      <c r="F244" s="36">
        <v>2025</v>
      </c>
      <c r="G244" s="38">
        <v>356.83</v>
      </c>
      <c r="H244" s="39">
        <v>45898</v>
      </c>
      <c r="I244" s="41">
        <f>IF(Impuestos44[[#This Row],[Fecha]]="","",MONTH(Impuestos44[[#This Row],[Fecha]]))</f>
        <v>8</v>
      </c>
      <c r="J244" s="40" t="s">
        <v>578</v>
      </c>
      <c r="K244" s="40" t="s">
        <v>37</v>
      </c>
      <c r="L244" t="s">
        <v>571</v>
      </c>
      <c r="M244" s="30" t="s">
        <v>48</v>
      </c>
      <c r="N244" s="30" t="s">
        <v>579</v>
      </c>
      <c r="O244" s="30" t="str">
        <f>IFERROR(VLOOKUP(Impuestos44[[#This Row],[Nro]],[4]Placas!$A:$D,4,0),"")</f>
        <v>3 Vales Caja 2025080398.pdf</v>
      </c>
      <c r="P244" s="37"/>
      <c r="Q244" s="36"/>
      <c r="R244" s="38"/>
      <c r="S244" s="43"/>
      <c r="U244" s="40"/>
      <c r="V244" s="40"/>
      <c r="W244" s="40"/>
    </row>
    <row r="245" spans="3:23" x14ac:dyDescent="0.3">
      <c r="C245" s="35" t="str">
        <f>CONCATENATE(Impuestos44[[#This Row],[Placa Vehiculo]],Impuestos44[[#This Row],[Vales]])</f>
        <v>BYS-7643 Vales</v>
      </c>
      <c r="D245" s="36" t="s">
        <v>155</v>
      </c>
      <c r="E245" s="37" t="s">
        <v>569</v>
      </c>
      <c r="F245" s="36">
        <v>2025</v>
      </c>
      <c r="G245" s="38">
        <v>356.83</v>
      </c>
      <c r="H245" s="39">
        <v>45898</v>
      </c>
      <c r="I245" s="41">
        <f>IF(Impuestos44[[#This Row],[Fecha]]="","",MONTH(Impuestos44[[#This Row],[Fecha]]))</f>
        <v>8</v>
      </c>
      <c r="J245" s="40" t="s">
        <v>578</v>
      </c>
      <c r="K245" s="40" t="s">
        <v>37</v>
      </c>
      <c r="L245" t="s">
        <v>571</v>
      </c>
      <c r="M245" s="30" t="s">
        <v>48</v>
      </c>
      <c r="N245" s="30" t="s">
        <v>579</v>
      </c>
      <c r="O245" s="30" t="str">
        <f>IFERROR(VLOOKUP(Impuestos44[[#This Row],[Nro]],[4]Placas!$A:$D,4,0),"")</f>
        <v>3 Vales Caja 2025080398.pdf</v>
      </c>
      <c r="P245" s="37"/>
      <c r="Q245" s="36"/>
      <c r="R245" s="38"/>
      <c r="S245" s="43"/>
      <c r="U245" s="40"/>
      <c r="V245" s="40"/>
      <c r="W245" s="40"/>
    </row>
    <row r="246" spans="3:23" x14ac:dyDescent="0.3">
      <c r="C246" s="35" t="str">
        <f>CONCATENATE(Impuestos44[[#This Row],[Placa Vehiculo]],Impuestos44[[#This Row],[Vales]])</f>
        <v>BYS-7933 Vales</v>
      </c>
      <c r="D246" s="36" t="s">
        <v>156</v>
      </c>
      <c r="E246" s="37" t="s">
        <v>569</v>
      </c>
      <c r="F246" s="36">
        <v>2025</v>
      </c>
      <c r="G246" s="38">
        <v>356.83</v>
      </c>
      <c r="H246" s="39">
        <v>45898</v>
      </c>
      <c r="I246" s="41">
        <f>IF(Impuestos44[[#This Row],[Fecha]]="","",MONTH(Impuestos44[[#This Row],[Fecha]]))</f>
        <v>8</v>
      </c>
      <c r="J246" s="40" t="s">
        <v>578</v>
      </c>
      <c r="K246" s="40" t="s">
        <v>37</v>
      </c>
      <c r="L246" t="s">
        <v>571</v>
      </c>
      <c r="M246" s="30" t="s">
        <v>48</v>
      </c>
      <c r="N246" s="30" t="s">
        <v>579</v>
      </c>
      <c r="O246" s="30" t="str">
        <f>IFERROR(VLOOKUP(Impuestos44[[#This Row],[Nro]],[4]Placas!$A:$D,4,0),"")</f>
        <v>3 Vales Caja 2025080398.pdf</v>
      </c>
      <c r="P246" s="37"/>
      <c r="Q246" s="36"/>
      <c r="R246" s="38"/>
      <c r="S246" s="43"/>
      <c r="U246" s="40"/>
      <c r="V246" s="40"/>
      <c r="W246" s="40"/>
    </row>
    <row r="247" spans="3:23" x14ac:dyDescent="0.3">
      <c r="C247" s="35" t="str">
        <f>CONCATENATE(Impuestos44[[#This Row],[Placa Vehiculo]],Impuestos44[[#This Row],[Vales]])</f>
        <v>BYS-7993 Vales</v>
      </c>
      <c r="D247" s="36" t="s">
        <v>157</v>
      </c>
      <c r="E247" s="37" t="s">
        <v>569</v>
      </c>
      <c r="F247" s="36">
        <v>2025</v>
      </c>
      <c r="G247" s="38">
        <v>356.83</v>
      </c>
      <c r="H247" s="39">
        <v>45898</v>
      </c>
      <c r="I247" s="41">
        <f>IF(Impuestos44[[#This Row],[Fecha]]="","",MONTH(Impuestos44[[#This Row],[Fecha]]))</f>
        <v>8</v>
      </c>
      <c r="J247" s="40" t="s">
        <v>578</v>
      </c>
      <c r="K247" s="40" t="s">
        <v>37</v>
      </c>
      <c r="L247" t="s">
        <v>571</v>
      </c>
      <c r="M247" s="30" t="s">
        <v>48</v>
      </c>
      <c r="N247" s="30" t="s">
        <v>579</v>
      </c>
      <c r="O247" s="30" t="str">
        <f>IFERROR(VLOOKUP(Impuestos44[[#This Row],[Nro]],[4]Placas!$A:$D,4,0),"")</f>
        <v>3 Vales Caja 2025080398.pdf</v>
      </c>
      <c r="P247" s="37"/>
      <c r="Q247" s="36"/>
      <c r="R247" s="38"/>
      <c r="S247" s="43"/>
      <c r="U247" s="40"/>
      <c r="V247" s="40"/>
      <c r="W247" s="40"/>
    </row>
    <row r="248" spans="3:23" x14ac:dyDescent="0.3">
      <c r="C248" s="35" t="str">
        <f>CONCATENATE(Impuestos44[[#This Row],[Placa Vehiculo]],Impuestos44[[#This Row],[Vales]])</f>
        <v>BYS-8003 Vales</v>
      </c>
      <c r="D248" s="36" t="s">
        <v>158</v>
      </c>
      <c r="E248" s="37" t="s">
        <v>569</v>
      </c>
      <c r="F248" s="36">
        <v>2025</v>
      </c>
      <c r="G248" s="38">
        <v>356.83</v>
      </c>
      <c r="H248" s="39">
        <v>45898</v>
      </c>
      <c r="I248" s="41">
        <f>IF(Impuestos44[[#This Row],[Fecha]]="","",MONTH(Impuestos44[[#This Row],[Fecha]]))</f>
        <v>8</v>
      </c>
      <c r="J248" s="40" t="s">
        <v>578</v>
      </c>
      <c r="K248" s="40" t="s">
        <v>37</v>
      </c>
      <c r="L248" t="s">
        <v>571</v>
      </c>
      <c r="M248" s="30" t="s">
        <v>48</v>
      </c>
      <c r="N248" s="30" t="s">
        <v>579</v>
      </c>
      <c r="O248" s="30" t="str">
        <f>IFERROR(VLOOKUP(Impuestos44[[#This Row],[Nro]],[4]Placas!$A:$D,4,0),"")</f>
        <v>3 Vales Caja 2025080398.pdf</v>
      </c>
      <c r="P248" s="37"/>
      <c r="Q248" s="36"/>
      <c r="R248" s="38"/>
      <c r="S248" s="43"/>
      <c r="U248" s="40"/>
      <c r="V248" s="40"/>
      <c r="W248" s="40"/>
    </row>
    <row r="249" spans="3:23" x14ac:dyDescent="0.3">
      <c r="C249" s="35" t="str">
        <f>CONCATENATE(Impuestos44[[#This Row],[Placa Vehiculo]],Impuestos44[[#This Row],[Vales]])</f>
        <v>BYS-8453 Vales</v>
      </c>
      <c r="D249" s="36" t="s">
        <v>159</v>
      </c>
      <c r="E249" s="37" t="s">
        <v>569</v>
      </c>
      <c r="F249" s="36">
        <v>2025</v>
      </c>
      <c r="G249" s="38">
        <v>356.83</v>
      </c>
      <c r="H249" s="39">
        <v>45898</v>
      </c>
      <c r="I249" s="41">
        <f>IF(Impuestos44[[#This Row],[Fecha]]="","",MONTH(Impuestos44[[#This Row],[Fecha]]))</f>
        <v>8</v>
      </c>
      <c r="J249" s="40" t="s">
        <v>578</v>
      </c>
      <c r="K249" s="40" t="s">
        <v>37</v>
      </c>
      <c r="L249" t="s">
        <v>571</v>
      </c>
      <c r="M249" s="30" t="s">
        <v>48</v>
      </c>
      <c r="N249" s="30" t="s">
        <v>579</v>
      </c>
      <c r="O249" s="30" t="str">
        <f>IFERROR(VLOOKUP(Impuestos44[[#This Row],[Nro]],[4]Placas!$A:$D,4,0),"")</f>
        <v>3 Vales Caja 2025080398.pdf</v>
      </c>
      <c r="P249" s="37"/>
      <c r="Q249" s="36"/>
      <c r="R249" s="38"/>
      <c r="S249" s="43"/>
      <c r="U249" s="40"/>
      <c r="V249" s="40"/>
      <c r="W249" s="40"/>
    </row>
    <row r="250" spans="3:23" x14ac:dyDescent="0.3">
      <c r="C250" s="35" t="str">
        <f>CONCATENATE(Impuestos44[[#This Row],[Placa Vehiculo]],Impuestos44[[#This Row],[Vales]])</f>
        <v>CNL-0763 Vales</v>
      </c>
      <c r="D250" s="36" t="s">
        <v>91</v>
      </c>
      <c r="E250" s="37" t="s">
        <v>569</v>
      </c>
      <c r="F250" s="36">
        <v>2025</v>
      </c>
      <c r="G250" s="38">
        <v>350.68</v>
      </c>
      <c r="H250" s="39">
        <v>45898</v>
      </c>
      <c r="I250" s="44">
        <f>IF(Impuestos44[[#This Row],[Fecha]]="","",MONTH(Impuestos44[[#This Row],[Fecha]]))</f>
        <v>8</v>
      </c>
      <c r="J250" s="40" t="s">
        <v>578</v>
      </c>
      <c r="K250" s="40" t="s">
        <v>37</v>
      </c>
      <c r="L250" t="s">
        <v>571</v>
      </c>
      <c r="M250" s="30" t="s">
        <v>54</v>
      </c>
      <c r="N250" s="30" t="s">
        <v>579</v>
      </c>
      <c r="O250" s="30" t="str">
        <f>IFERROR(VLOOKUP(Impuestos44[[#This Row],[Nro]],[4]Placas!$A:$D,4,0),"")</f>
        <v>3 Vales Caja 2025080417.pdf</v>
      </c>
      <c r="P250" s="37"/>
      <c r="Q250" s="36"/>
      <c r="R250" s="38"/>
      <c r="S250" s="43"/>
      <c r="U250" s="40"/>
      <c r="V250" s="40"/>
      <c r="W250" s="40"/>
    </row>
    <row r="251" spans="3:23" x14ac:dyDescent="0.3">
      <c r="C251" s="35" t="str">
        <f>CONCATENATE(Impuestos44[[#This Row],[Placa Vehiculo]],Impuestos44[[#This Row],[Vales]])</f>
        <v>CNK-6223 Vales</v>
      </c>
      <c r="D251" s="36" t="s">
        <v>72</v>
      </c>
      <c r="E251" s="37" t="s">
        <v>569</v>
      </c>
      <c r="F251" s="36">
        <v>2025</v>
      </c>
      <c r="G251" s="38">
        <v>325.24</v>
      </c>
      <c r="H251" s="39">
        <v>45898</v>
      </c>
      <c r="I251" s="41">
        <f>IF(Impuestos44[[#This Row],[Fecha]]="","",MONTH(Impuestos44[[#This Row],[Fecha]]))</f>
        <v>8</v>
      </c>
      <c r="J251" s="40" t="s">
        <v>578</v>
      </c>
      <c r="K251" s="40" t="s">
        <v>37</v>
      </c>
      <c r="L251" t="s">
        <v>571</v>
      </c>
      <c r="M251" s="30" t="s">
        <v>54</v>
      </c>
      <c r="N251" s="30" t="s">
        <v>579</v>
      </c>
      <c r="O251" s="30" t="str">
        <f>IFERROR(VLOOKUP(Impuestos44[[#This Row],[Nro]],[4]Placas!$A:$D,4,0),"")</f>
        <v>3 Vales Caja 2025080415.pdf</v>
      </c>
      <c r="P251" s="37"/>
      <c r="Q251" s="36"/>
      <c r="R251" s="38"/>
      <c r="S251" s="43"/>
      <c r="U251" s="40"/>
      <c r="V251" s="40"/>
      <c r="W251" s="40"/>
    </row>
    <row r="252" spans="3:23" x14ac:dyDescent="0.3">
      <c r="C252" s="35" t="str">
        <f>CONCATENATE(Impuestos44[[#This Row],[Placa Vehiculo]],Impuestos44[[#This Row],[Vales]])</f>
        <v>CNL-0743 Vales</v>
      </c>
      <c r="D252" s="36" t="s">
        <v>74</v>
      </c>
      <c r="E252" s="37" t="s">
        <v>569</v>
      </c>
      <c r="F252" s="36">
        <v>2025</v>
      </c>
      <c r="G252" s="38">
        <v>325.24</v>
      </c>
      <c r="H252" s="39">
        <v>45898</v>
      </c>
      <c r="I252" s="44">
        <f>IF(Impuestos44[[#This Row],[Fecha]]="","",MONTH(Impuestos44[[#This Row],[Fecha]]))</f>
        <v>8</v>
      </c>
      <c r="J252" s="40" t="s">
        <v>578</v>
      </c>
      <c r="K252" s="40" t="s">
        <v>37</v>
      </c>
      <c r="L252" t="s">
        <v>571</v>
      </c>
      <c r="M252" s="30" t="s">
        <v>54</v>
      </c>
      <c r="N252" s="30" t="s">
        <v>579</v>
      </c>
      <c r="O252" s="30" t="str">
        <f>IFERROR(VLOOKUP(Impuestos44[[#This Row],[Nro]],[4]Placas!$A:$D,4,0),"")</f>
        <v>3 Vales Caja 2025080415.pdf</v>
      </c>
      <c r="P252" s="37"/>
      <c r="Q252" s="36"/>
      <c r="R252" s="38"/>
      <c r="S252" s="43"/>
      <c r="U252" s="40"/>
      <c r="V252" s="40"/>
      <c r="W252" s="40"/>
    </row>
    <row r="253" spans="3:23" x14ac:dyDescent="0.3">
      <c r="C253" s="35" t="str">
        <f>CONCATENATE(Impuestos44[[#This Row],[Placa Vehiculo]],Impuestos44[[#This Row],[Vales]])</f>
        <v>CNK-5423 Vales</v>
      </c>
      <c r="D253" s="36" t="s">
        <v>93</v>
      </c>
      <c r="E253" s="37" t="s">
        <v>569</v>
      </c>
      <c r="F253" s="36">
        <v>2025</v>
      </c>
      <c r="G253" s="38">
        <v>350.68</v>
      </c>
      <c r="H253" s="39">
        <v>45898</v>
      </c>
      <c r="I253" s="44">
        <f>IF(Impuestos44[[#This Row],[Fecha]]="","",MONTH(Impuestos44[[#This Row],[Fecha]]))</f>
        <v>8</v>
      </c>
      <c r="J253" s="40" t="s">
        <v>578</v>
      </c>
      <c r="K253" s="40" t="s">
        <v>37</v>
      </c>
      <c r="L253" t="s">
        <v>571</v>
      </c>
      <c r="M253" s="30" t="s">
        <v>54</v>
      </c>
      <c r="N253" s="30" t="s">
        <v>579</v>
      </c>
      <c r="O253" s="30" t="str">
        <f>IFERROR(VLOOKUP(Impuestos44[[#This Row],[Nro]],[4]Placas!$A:$D,4,0),"")</f>
        <v>3 Vales Caja 2025080417.pdf</v>
      </c>
      <c r="P253" s="37"/>
      <c r="Q253" s="36"/>
      <c r="R253" s="38"/>
      <c r="S253" s="43"/>
      <c r="U253" s="40"/>
      <c r="V253" s="40"/>
      <c r="W253" s="40"/>
    </row>
    <row r="254" spans="3:23" x14ac:dyDescent="0.3">
      <c r="C254" s="35" t="str">
        <f>CONCATENATE(Impuestos44[[#This Row],[Placa Vehiculo]],Impuestos44[[#This Row],[Vales]])</f>
        <v>CNL-0093 Vales</v>
      </c>
      <c r="D254" s="36" t="s">
        <v>94</v>
      </c>
      <c r="E254" s="37" t="s">
        <v>569</v>
      </c>
      <c r="F254" s="36">
        <v>2025</v>
      </c>
      <c r="G254" s="38">
        <v>350.68</v>
      </c>
      <c r="H254" s="39">
        <v>45898</v>
      </c>
      <c r="I254" s="41">
        <f>IF(Impuestos44[[#This Row],[Fecha]]="","",MONTH(Impuestos44[[#This Row],[Fecha]]))</f>
        <v>8</v>
      </c>
      <c r="J254" s="40" t="s">
        <v>578</v>
      </c>
      <c r="K254" s="40" t="s">
        <v>37</v>
      </c>
      <c r="L254" t="s">
        <v>571</v>
      </c>
      <c r="M254" s="30" t="s">
        <v>54</v>
      </c>
      <c r="N254" s="30" t="s">
        <v>579</v>
      </c>
      <c r="O254" s="30" t="str">
        <f>IFERROR(VLOOKUP(Impuestos44[[#This Row],[Nro]],[4]Placas!$A:$D,4,0),"")</f>
        <v>3 Vales Caja 2025080417.pdf</v>
      </c>
      <c r="P254" s="37"/>
      <c r="Q254" s="36"/>
      <c r="R254" s="38"/>
      <c r="S254" s="43"/>
      <c r="U254" s="40"/>
      <c r="V254" s="40"/>
      <c r="W254" s="40"/>
    </row>
    <row r="255" spans="3:23" x14ac:dyDescent="0.3">
      <c r="C255" s="35" t="str">
        <f>CONCATENATE(Impuestos44[[#This Row],[Placa Vehiculo]],Impuestos44[[#This Row],[Vales]])</f>
        <v>CNK-5033 Vales</v>
      </c>
      <c r="D255" s="36" t="s">
        <v>95</v>
      </c>
      <c r="E255" s="37" t="s">
        <v>569</v>
      </c>
      <c r="F255" s="36">
        <v>2025</v>
      </c>
      <c r="G255" s="38">
        <v>350.68</v>
      </c>
      <c r="H255" s="39">
        <v>45898</v>
      </c>
      <c r="I255" s="41">
        <f>IF(Impuestos44[[#This Row],[Fecha]]="","",MONTH(Impuestos44[[#This Row],[Fecha]]))</f>
        <v>8</v>
      </c>
      <c r="J255" s="40" t="s">
        <v>578</v>
      </c>
      <c r="K255" s="40" t="s">
        <v>37</v>
      </c>
      <c r="L255" t="s">
        <v>571</v>
      </c>
      <c r="M255" s="30" t="s">
        <v>54</v>
      </c>
      <c r="N255" s="30" t="s">
        <v>579</v>
      </c>
      <c r="O255" s="30" t="str">
        <f>IFERROR(VLOOKUP(Impuestos44[[#This Row],[Nro]],[4]Placas!$A:$D,4,0),"")</f>
        <v>3 Vales Caja 2025080417.pdf</v>
      </c>
      <c r="P255" s="37"/>
      <c r="Q255" s="36"/>
      <c r="R255" s="38"/>
      <c r="S255" s="43"/>
      <c r="U255" s="40"/>
      <c r="V255" s="40"/>
      <c r="W255" s="40"/>
    </row>
    <row r="256" spans="3:23" x14ac:dyDescent="0.3">
      <c r="C256" s="35" t="str">
        <f>CONCATENATE(Impuestos44[[#This Row],[Placa Vehiculo]],Impuestos44[[#This Row],[Vales]])</f>
        <v>CNK-6753 Vales</v>
      </c>
      <c r="D256" s="36" t="s">
        <v>75</v>
      </c>
      <c r="E256" s="37" t="s">
        <v>569</v>
      </c>
      <c r="F256" s="36">
        <v>2025</v>
      </c>
      <c r="G256" s="38">
        <v>325.24</v>
      </c>
      <c r="H256" s="39">
        <v>45898</v>
      </c>
      <c r="I256" s="41">
        <f>IF(Impuestos44[[#This Row],[Fecha]]="","",MONTH(Impuestos44[[#This Row],[Fecha]]))</f>
        <v>8</v>
      </c>
      <c r="J256" s="40" t="s">
        <v>578</v>
      </c>
      <c r="K256" s="40" t="s">
        <v>37</v>
      </c>
      <c r="L256" t="s">
        <v>571</v>
      </c>
      <c r="M256" s="30" t="s">
        <v>54</v>
      </c>
      <c r="N256" s="30" t="s">
        <v>579</v>
      </c>
      <c r="O256" s="30" t="str">
        <f>IFERROR(VLOOKUP(Impuestos44[[#This Row],[Nro]],[4]Placas!$A:$D,4,0),"")</f>
        <v>3 Vales Caja 2025080415.pdf</v>
      </c>
      <c r="P256" s="37"/>
      <c r="Q256" s="36"/>
      <c r="R256" s="38"/>
      <c r="S256" s="43"/>
      <c r="U256" s="40"/>
      <c r="V256" s="40"/>
      <c r="W256" s="40"/>
    </row>
    <row r="257" spans="3:23" x14ac:dyDescent="0.3">
      <c r="C257" s="35" t="str">
        <f>CONCATENATE(Impuestos44[[#This Row],[Placa Vehiculo]],Impuestos44[[#This Row],[Vales]])</f>
        <v>CNK-2633 Vales</v>
      </c>
      <c r="D257" s="36" t="s">
        <v>96</v>
      </c>
      <c r="E257" s="37" t="s">
        <v>569</v>
      </c>
      <c r="F257" s="36">
        <v>2025</v>
      </c>
      <c r="G257" s="38">
        <v>350.68</v>
      </c>
      <c r="H257" s="39">
        <v>45898</v>
      </c>
      <c r="I257" s="41">
        <f>IF(Impuestos44[[#This Row],[Fecha]]="","",MONTH(Impuestos44[[#This Row],[Fecha]]))</f>
        <v>8</v>
      </c>
      <c r="J257" s="40" t="s">
        <v>578</v>
      </c>
      <c r="K257" s="40" t="s">
        <v>37</v>
      </c>
      <c r="L257" t="s">
        <v>571</v>
      </c>
      <c r="M257" s="30" t="s">
        <v>54</v>
      </c>
      <c r="N257" s="30" t="s">
        <v>579</v>
      </c>
      <c r="O257" s="30" t="str">
        <f>IFERROR(VLOOKUP(Impuestos44[[#This Row],[Nro]],[4]Placas!$A:$D,4,0),"")</f>
        <v>3 Vales Caja 2025080417.pdf</v>
      </c>
      <c r="P257" s="37"/>
      <c r="Q257" s="36"/>
      <c r="R257" s="38"/>
      <c r="S257" s="43"/>
      <c r="U257" s="40"/>
      <c r="V257" s="40"/>
      <c r="W257" s="40"/>
    </row>
    <row r="258" spans="3:23" x14ac:dyDescent="0.3">
      <c r="C258" s="35" t="str">
        <f>CONCATENATE(Impuestos44[[#This Row],[Placa Vehiculo]],Impuestos44[[#This Row],[Vales]])</f>
        <v>CNL-0913 Vales</v>
      </c>
      <c r="D258" s="36" t="s">
        <v>76</v>
      </c>
      <c r="E258" s="37" t="s">
        <v>569</v>
      </c>
      <c r="F258" s="36">
        <v>2025</v>
      </c>
      <c r="G258" s="38">
        <v>325.24</v>
      </c>
      <c r="H258" s="39">
        <v>45898</v>
      </c>
      <c r="I258" s="44">
        <f>IF(Impuestos44[[#This Row],[Fecha]]="","",MONTH(Impuestos44[[#This Row],[Fecha]]))</f>
        <v>8</v>
      </c>
      <c r="J258" s="40" t="s">
        <v>578</v>
      </c>
      <c r="K258" s="40" t="s">
        <v>37</v>
      </c>
      <c r="L258" t="s">
        <v>571</v>
      </c>
      <c r="M258" s="30" t="s">
        <v>54</v>
      </c>
      <c r="N258" s="30" t="s">
        <v>579</v>
      </c>
      <c r="O258" s="30" t="str">
        <f>IFERROR(VLOOKUP(Impuestos44[[#This Row],[Nro]],[4]Placas!$A:$D,4,0),"")</f>
        <v>3 Vales Caja 2025080415.pdf</v>
      </c>
      <c r="P258" s="37"/>
      <c r="Q258" s="36"/>
      <c r="R258" s="38"/>
      <c r="S258" s="43"/>
      <c r="U258" s="40"/>
      <c r="V258" s="40"/>
      <c r="W258" s="40"/>
    </row>
    <row r="259" spans="3:23" x14ac:dyDescent="0.3">
      <c r="C259" s="35" t="str">
        <f>CONCATENATE(Impuestos44[[#This Row],[Placa Vehiculo]],Impuestos44[[#This Row],[Vales]])</f>
        <v>CNK-5873 Vales</v>
      </c>
      <c r="D259" s="36" t="s">
        <v>77</v>
      </c>
      <c r="E259" s="37" t="s">
        <v>569</v>
      </c>
      <c r="F259" s="36">
        <v>2025</v>
      </c>
      <c r="G259" s="38">
        <v>325.24</v>
      </c>
      <c r="H259" s="39">
        <v>45898</v>
      </c>
      <c r="I259" s="41">
        <f>IF(Impuestos44[[#This Row],[Fecha]]="","",MONTH(Impuestos44[[#This Row],[Fecha]]))</f>
        <v>8</v>
      </c>
      <c r="J259" s="40" t="s">
        <v>578</v>
      </c>
      <c r="K259" s="40" t="s">
        <v>37</v>
      </c>
      <c r="L259" t="s">
        <v>571</v>
      </c>
      <c r="M259" s="30" t="s">
        <v>54</v>
      </c>
      <c r="N259" s="30" t="s">
        <v>579</v>
      </c>
      <c r="O259" s="30" t="str">
        <f>IFERROR(VLOOKUP(Impuestos44[[#This Row],[Nro]],[4]Placas!$A:$D,4,0),"")</f>
        <v>3 Vales Caja 2025080415.pdf</v>
      </c>
      <c r="P259" s="37"/>
      <c r="Q259" s="36"/>
      <c r="R259" s="38"/>
      <c r="S259" s="43"/>
      <c r="U259" s="40"/>
      <c r="V259" s="40"/>
      <c r="W259" s="40"/>
    </row>
    <row r="260" spans="3:23" x14ac:dyDescent="0.3">
      <c r="C260" s="35" t="str">
        <f>CONCATENATE(Impuestos44[[#This Row],[Placa Vehiculo]],Impuestos44[[#This Row],[Vales]])</f>
        <v>CNL-1213 Vales</v>
      </c>
      <c r="D260" s="36" t="s">
        <v>97</v>
      </c>
      <c r="E260" s="37" t="s">
        <v>569</v>
      </c>
      <c r="F260" s="36">
        <v>2025</v>
      </c>
      <c r="G260" s="38">
        <v>350.68</v>
      </c>
      <c r="H260" s="39">
        <v>45898</v>
      </c>
      <c r="I260" s="41">
        <f>IF(Impuestos44[[#This Row],[Fecha]]="","",MONTH(Impuestos44[[#This Row],[Fecha]]))</f>
        <v>8</v>
      </c>
      <c r="J260" s="40" t="s">
        <v>578</v>
      </c>
      <c r="K260" s="40" t="s">
        <v>37</v>
      </c>
      <c r="L260" t="s">
        <v>571</v>
      </c>
      <c r="M260" s="30" t="s">
        <v>54</v>
      </c>
      <c r="N260" s="30" t="s">
        <v>579</v>
      </c>
      <c r="O260" s="30" t="str">
        <f>IFERROR(VLOOKUP(Impuestos44[[#This Row],[Nro]],[4]Placas!$A:$D,4,0),"")</f>
        <v>3 Vales Caja 2025080417.pdf</v>
      </c>
      <c r="P260" s="37"/>
      <c r="Q260" s="36"/>
      <c r="R260" s="38"/>
      <c r="S260" s="43"/>
      <c r="U260" s="40"/>
      <c r="V260" s="40"/>
      <c r="W260" s="40"/>
    </row>
    <row r="261" spans="3:23" x14ac:dyDescent="0.3">
      <c r="C261" s="35" t="str">
        <f>CONCATENATE(Impuestos44[[#This Row],[Placa Vehiculo]],Impuestos44[[#This Row],[Vales]])</f>
        <v>CNK-4853 Vales</v>
      </c>
      <c r="D261" s="36" t="s">
        <v>98</v>
      </c>
      <c r="E261" s="37" t="s">
        <v>569</v>
      </c>
      <c r="F261" s="36">
        <v>2025</v>
      </c>
      <c r="G261" s="38">
        <v>350.68</v>
      </c>
      <c r="H261" s="39">
        <v>45898</v>
      </c>
      <c r="I261" s="44">
        <f>IF(Impuestos44[[#This Row],[Fecha]]="","",MONTH(Impuestos44[[#This Row],[Fecha]]))</f>
        <v>8</v>
      </c>
      <c r="J261" s="40" t="s">
        <v>578</v>
      </c>
      <c r="K261" s="40" t="s">
        <v>37</v>
      </c>
      <c r="L261" t="s">
        <v>571</v>
      </c>
      <c r="M261" s="30" t="s">
        <v>54</v>
      </c>
      <c r="N261" s="30" t="s">
        <v>579</v>
      </c>
      <c r="O261" s="30" t="str">
        <f>IFERROR(VLOOKUP(Impuestos44[[#This Row],[Nro]],[4]Placas!$A:$D,4,0),"")</f>
        <v>3 Vales Caja 2025080417.pdf</v>
      </c>
      <c r="P261" s="37"/>
      <c r="Q261" s="36"/>
      <c r="R261" s="38"/>
      <c r="S261" s="43"/>
      <c r="U261" s="40"/>
      <c r="V261" s="40"/>
      <c r="W261" s="40"/>
    </row>
    <row r="262" spans="3:23" x14ac:dyDescent="0.3">
      <c r="C262" s="35" t="str">
        <f>CONCATENATE(Impuestos44[[#This Row],[Placa Vehiculo]],Impuestos44[[#This Row],[Vales]])</f>
        <v>CNK-5053 Vales</v>
      </c>
      <c r="D262" s="36" t="s">
        <v>99</v>
      </c>
      <c r="E262" s="37" t="s">
        <v>569</v>
      </c>
      <c r="F262" s="36">
        <v>2025</v>
      </c>
      <c r="G262" s="38">
        <v>350.68</v>
      </c>
      <c r="H262" s="39">
        <v>45898</v>
      </c>
      <c r="I262" s="41">
        <f>IF(Impuestos44[[#This Row],[Fecha]]="","",MONTH(Impuestos44[[#This Row],[Fecha]]))</f>
        <v>8</v>
      </c>
      <c r="J262" s="40" t="s">
        <v>578</v>
      </c>
      <c r="K262" s="40" t="s">
        <v>37</v>
      </c>
      <c r="L262" t="s">
        <v>571</v>
      </c>
      <c r="M262" s="30" t="s">
        <v>54</v>
      </c>
      <c r="N262" s="30" t="s">
        <v>579</v>
      </c>
      <c r="O262" s="30" t="str">
        <f>IFERROR(VLOOKUP(Impuestos44[[#This Row],[Nro]],[4]Placas!$A:$D,4,0),"")</f>
        <v>3 Vales Caja 2025080417.pdf</v>
      </c>
      <c r="P262" s="37"/>
      <c r="Q262" s="36"/>
      <c r="R262" s="38"/>
      <c r="S262" s="43"/>
      <c r="U262" s="40"/>
      <c r="V262" s="40"/>
      <c r="W262" s="40"/>
    </row>
    <row r="263" spans="3:23" x14ac:dyDescent="0.3">
      <c r="C263" s="35" t="str">
        <f>CONCATENATE(Impuestos44[[#This Row],[Placa Vehiculo]],Impuestos44[[#This Row],[Vales]])</f>
        <v>CNK-5733 Vales</v>
      </c>
      <c r="D263" s="36" t="s">
        <v>100</v>
      </c>
      <c r="E263" s="37" t="s">
        <v>569</v>
      </c>
      <c r="F263" s="36">
        <v>2025</v>
      </c>
      <c r="G263" s="38">
        <v>350.68</v>
      </c>
      <c r="H263" s="39">
        <v>45898</v>
      </c>
      <c r="I263" s="41">
        <f>IF(Impuestos44[[#This Row],[Fecha]]="","",MONTH(Impuestos44[[#This Row],[Fecha]]))</f>
        <v>8</v>
      </c>
      <c r="J263" s="40" t="s">
        <v>578</v>
      </c>
      <c r="K263" s="40" t="s">
        <v>37</v>
      </c>
      <c r="L263" t="s">
        <v>571</v>
      </c>
      <c r="M263" s="30" t="s">
        <v>54</v>
      </c>
      <c r="N263" s="30" t="s">
        <v>579</v>
      </c>
      <c r="O263" s="30" t="str">
        <f>IFERROR(VLOOKUP(Impuestos44[[#This Row],[Nro]],[4]Placas!$A:$D,4,0),"")</f>
        <v>3 Vales Caja 2025080417.pdf</v>
      </c>
      <c r="P263" s="37"/>
      <c r="Q263" s="36"/>
      <c r="R263" s="38"/>
      <c r="S263" s="43"/>
      <c r="U263" s="40"/>
      <c r="V263" s="40"/>
      <c r="W263" s="40"/>
    </row>
    <row r="264" spans="3:23" x14ac:dyDescent="0.3">
      <c r="C264" s="35" t="str">
        <f>CONCATENATE(Impuestos44[[#This Row],[Placa Vehiculo]],Impuestos44[[#This Row],[Vales]])</f>
        <v>CNL-0103 Vales</v>
      </c>
      <c r="D264" s="36" t="s">
        <v>78</v>
      </c>
      <c r="E264" s="37" t="s">
        <v>569</v>
      </c>
      <c r="F264" s="36">
        <v>2025</v>
      </c>
      <c r="G264" s="38">
        <v>325.24</v>
      </c>
      <c r="H264" s="39">
        <v>45898</v>
      </c>
      <c r="I264" s="44">
        <f>IF(Impuestos44[[#This Row],[Fecha]]="","",MONTH(Impuestos44[[#This Row],[Fecha]]))</f>
        <v>8</v>
      </c>
      <c r="J264" s="40" t="s">
        <v>578</v>
      </c>
      <c r="K264" s="40" t="s">
        <v>37</v>
      </c>
      <c r="L264" t="s">
        <v>571</v>
      </c>
      <c r="M264" s="30" t="s">
        <v>54</v>
      </c>
      <c r="N264" s="30" t="s">
        <v>579</v>
      </c>
      <c r="O264" s="30" t="str">
        <f>IFERROR(VLOOKUP(Impuestos44[[#This Row],[Nro]],[4]Placas!$A:$D,4,0),"")</f>
        <v>3 Vales Caja 2025080415.pdf</v>
      </c>
      <c r="P264" s="37"/>
      <c r="Q264" s="36"/>
      <c r="R264" s="38"/>
      <c r="S264" s="43"/>
      <c r="U264" s="40"/>
      <c r="V264" s="40"/>
      <c r="W264" s="40"/>
    </row>
    <row r="265" spans="3:23" x14ac:dyDescent="0.3">
      <c r="C265" s="35" t="str">
        <f>CONCATENATE(Impuestos44[[#This Row],[Placa Vehiculo]],Impuestos44[[#This Row],[Vales]])</f>
        <v>CNL-0033 Vales</v>
      </c>
      <c r="D265" s="45" t="s">
        <v>79</v>
      </c>
      <c r="E265" s="37" t="s">
        <v>569</v>
      </c>
      <c r="F265" s="36">
        <v>2025</v>
      </c>
      <c r="G265" s="38">
        <v>325.24</v>
      </c>
      <c r="H265" s="39">
        <v>45898</v>
      </c>
      <c r="I265" s="44">
        <f>IF(Impuestos44[[#This Row],[Fecha]]="","",MONTH(Impuestos44[[#This Row],[Fecha]]))</f>
        <v>8</v>
      </c>
      <c r="J265" s="40" t="s">
        <v>578</v>
      </c>
      <c r="K265" s="40" t="s">
        <v>37</v>
      </c>
      <c r="L265" t="s">
        <v>571</v>
      </c>
      <c r="M265" s="30" t="s">
        <v>54</v>
      </c>
      <c r="N265" s="30" t="s">
        <v>579</v>
      </c>
      <c r="O265" s="30" t="str">
        <f>IFERROR(VLOOKUP(Impuestos44[[#This Row],[Nro]],[4]Placas!$A:$D,4,0),"")</f>
        <v>3 Vales Caja 2025080415.pdf</v>
      </c>
      <c r="P265" s="37"/>
      <c r="Q265" s="36"/>
      <c r="R265" s="38"/>
      <c r="S265" s="43"/>
      <c r="U265" s="40"/>
      <c r="V265" s="40"/>
      <c r="W265" s="40"/>
    </row>
    <row r="266" spans="3:23" x14ac:dyDescent="0.3">
      <c r="C266" s="35" t="str">
        <f>CONCATENATE(Impuestos44[[#This Row],[Placa Vehiculo]],Impuestos44[[#This Row],[Vales]])</f>
        <v>CNL-0133 Vales</v>
      </c>
      <c r="D266" s="36" t="s">
        <v>80</v>
      </c>
      <c r="E266" s="37" t="s">
        <v>569</v>
      </c>
      <c r="F266" s="36">
        <v>2025</v>
      </c>
      <c r="G266" s="38">
        <v>325.24</v>
      </c>
      <c r="H266" s="39">
        <v>45898</v>
      </c>
      <c r="I266" s="41">
        <f>IF(Impuestos44[[#This Row],[Fecha]]="","",MONTH(Impuestos44[[#This Row],[Fecha]]))</f>
        <v>8</v>
      </c>
      <c r="J266" s="40" t="s">
        <v>578</v>
      </c>
      <c r="K266" s="40" t="s">
        <v>37</v>
      </c>
      <c r="L266" t="s">
        <v>571</v>
      </c>
      <c r="M266" s="30" t="s">
        <v>54</v>
      </c>
      <c r="N266" s="30" t="s">
        <v>579</v>
      </c>
      <c r="O266" s="30" t="str">
        <f>IFERROR(VLOOKUP(Impuestos44[[#This Row],[Nro]],[4]Placas!$A:$D,4,0),"")</f>
        <v>3 Vales Caja 2025080415.pdf</v>
      </c>
      <c r="P266" s="37"/>
      <c r="Q266" s="36"/>
      <c r="R266" s="38"/>
      <c r="S266" s="43"/>
      <c r="U266" s="40"/>
      <c r="V266" s="40"/>
      <c r="W266" s="40"/>
    </row>
    <row r="267" spans="3:23" x14ac:dyDescent="0.3">
      <c r="C267" s="35" t="str">
        <f>CONCATENATE(Impuestos44[[#This Row],[Placa Vehiculo]],Impuestos44[[#This Row],[Vales]])</f>
        <v>CNK-5303 Vales</v>
      </c>
      <c r="D267" s="36" t="s">
        <v>81</v>
      </c>
      <c r="E267" s="37" t="s">
        <v>569</v>
      </c>
      <c r="F267" s="36">
        <v>2025</v>
      </c>
      <c r="G267" s="38">
        <v>325.24</v>
      </c>
      <c r="H267" s="39">
        <v>45898</v>
      </c>
      <c r="I267" s="41">
        <f>IF(Impuestos44[[#This Row],[Fecha]]="","",MONTH(Impuestos44[[#This Row],[Fecha]]))</f>
        <v>8</v>
      </c>
      <c r="J267" s="40" t="s">
        <v>578</v>
      </c>
      <c r="K267" s="40" t="s">
        <v>37</v>
      </c>
      <c r="L267" t="s">
        <v>571</v>
      </c>
      <c r="M267" s="30" t="s">
        <v>54</v>
      </c>
      <c r="N267" s="30" t="s">
        <v>579</v>
      </c>
      <c r="O267" s="30" t="str">
        <f>IFERROR(VLOOKUP(Impuestos44[[#This Row],[Nro]],[4]Placas!$A:$D,4,0),"")</f>
        <v>3 Vales Caja 2025080415.pdf</v>
      </c>
      <c r="P267" s="37"/>
      <c r="Q267" s="36"/>
      <c r="R267" s="38"/>
      <c r="S267" s="43"/>
      <c r="U267" s="40"/>
      <c r="V267" s="40"/>
      <c r="W267" s="40"/>
    </row>
    <row r="268" spans="3:23" x14ac:dyDescent="0.3">
      <c r="C268" s="35" t="str">
        <f>CONCATENATE(Impuestos44[[#This Row],[Placa Vehiculo]],Impuestos44[[#This Row],[Vales]])</f>
        <v>CNL-1353 Vales</v>
      </c>
      <c r="D268" s="36" t="s">
        <v>82</v>
      </c>
      <c r="E268" s="37" t="s">
        <v>569</v>
      </c>
      <c r="F268" s="36">
        <v>2025</v>
      </c>
      <c r="G268" s="38">
        <v>325.24</v>
      </c>
      <c r="H268" s="39">
        <v>45898</v>
      </c>
      <c r="I268" s="41">
        <f>IF(Impuestos44[[#This Row],[Fecha]]="","",MONTH(Impuestos44[[#This Row],[Fecha]]))</f>
        <v>8</v>
      </c>
      <c r="J268" s="40" t="s">
        <v>578</v>
      </c>
      <c r="K268" s="40" t="s">
        <v>37</v>
      </c>
      <c r="L268" t="s">
        <v>571</v>
      </c>
      <c r="M268" s="30" t="s">
        <v>54</v>
      </c>
      <c r="N268" s="30" t="s">
        <v>579</v>
      </c>
      <c r="O268" s="30" t="str">
        <f>IFERROR(VLOOKUP(Impuestos44[[#This Row],[Nro]],[4]Placas!$A:$D,4,0),"")</f>
        <v>3 Vales Caja 2025080415.pdf</v>
      </c>
      <c r="P268" s="37"/>
      <c r="Q268" s="36"/>
      <c r="R268" s="38"/>
      <c r="S268" s="43"/>
      <c r="U268" s="40"/>
      <c r="V268" s="40"/>
      <c r="W268" s="40"/>
    </row>
    <row r="269" spans="3:23" x14ac:dyDescent="0.3">
      <c r="C269" s="35" t="str">
        <f>CONCATENATE(Impuestos44[[#This Row],[Placa Vehiculo]],Impuestos44[[#This Row],[Vales]])</f>
        <v>CNK-6463 Vales</v>
      </c>
      <c r="D269" s="36" t="s">
        <v>83</v>
      </c>
      <c r="E269" s="37" t="s">
        <v>569</v>
      </c>
      <c r="F269" s="36">
        <v>2025</v>
      </c>
      <c r="G269" s="38">
        <v>325.24</v>
      </c>
      <c r="H269" s="39">
        <v>45898</v>
      </c>
      <c r="I269" s="41">
        <f>IF(Impuestos44[[#This Row],[Fecha]]="","",MONTH(Impuestos44[[#This Row],[Fecha]]))</f>
        <v>8</v>
      </c>
      <c r="J269" s="40" t="s">
        <v>578</v>
      </c>
      <c r="K269" s="40" t="s">
        <v>37</v>
      </c>
      <c r="L269" t="s">
        <v>571</v>
      </c>
      <c r="M269" s="30" t="s">
        <v>54</v>
      </c>
      <c r="N269" s="30" t="s">
        <v>579</v>
      </c>
      <c r="O269" s="30" t="str">
        <f>IFERROR(VLOOKUP(Impuestos44[[#This Row],[Nro]],[4]Placas!$A:$D,4,0),"")</f>
        <v>3 Vales Caja 2025080415.pdf</v>
      </c>
      <c r="P269" s="37"/>
      <c r="Q269" s="36"/>
      <c r="R269" s="38"/>
      <c r="S269" s="43"/>
      <c r="U269" s="40"/>
      <c r="V269" s="40"/>
      <c r="W269" s="40"/>
    </row>
    <row r="270" spans="3:23" x14ac:dyDescent="0.3">
      <c r="C270" s="35" t="str">
        <f>CONCATENATE(Impuestos44[[#This Row],[Placa Vehiculo]],Impuestos44[[#This Row],[Vales]])</f>
        <v>CNL-0723 Vales</v>
      </c>
      <c r="D270" s="36" t="s">
        <v>84</v>
      </c>
      <c r="E270" s="37" t="s">
        <v>569</v>
      </c>
      <c r="F270" s="36">
        <v>2025</v>
      </c>
      <c r="G270" s="38">
        <v>325.24</v>
      </c>
      <c r="H270" s="39">
        <v>45898</v>
      </c>
      <c r="I270" s="41">
        <f>IF(Impuestos44[[#This Row],[Fecha]]="","",MONTH(Impuestos44[[#This Row],[Fecha]]))</f>
        <v>8</v>
      </c>
      <c r="J270" s="40" t="s">
        <v>578</v>
      </c>
      <c r="K270" s="40" t="s">
        <v>37</v>
      </c>
      <c r="L270" t="s">
        <v>571</v>
      </c>
      <c r="M270" s="30" t="s">
        <v>54</v>
      </c>
      <c r="N270" s="30" t="s">
        <v>579</v>
      </c>
      <c r="O270" s="30" t="str">
        <f>IFERROR(VLOOKUP(Impuestos44[[#This Row],[Nro]],[4]Placas!$A:$D,4,0),"")</f>
        <v>3 Vales Caja 2025080415.pdf</v>
      </c>
      <c r="P270" s="37"/>
      <c r="Q270" s="36"/>
      <c r="R270" s="38"/>
      <c r="S270" s="43"/>
      <c r="U270" s="40"/>
      <c r="V270" s="40"/>
      <c r="W270" s="40"/>
    </row>
    <row r="271" spans="3:23" x14ac:dyDescent="0.3">
      <c r="C271" s="35" t="str">
        <f>CONCATENATE(Impuestos44[[#This Row],[Placa Vehiculo]],Impuestos44[[#This Row],[Vales]])</f>
        <v>CAU-7463 Vales</v>
      </c>
      <c r="D271" s="36" t="s">
        <v>59</v>
      </c>
      <c r="E271" s="37" t="s">
        <v>569</v>
      </c>
      <c r="F271" s="36">
        <v>2025</v>
      </c>
      <c r="G271" s="38">
        <v>318.60000000000002</v>
      </c>
      <c r="H271" s="39">
        <v>45898</v>
      </c>
      <c r="I271" s="41">
        <f>IF(Impuestos44[[#This Row],[Fecha]]="","",MONTH(Impuestos44[[#This Row],[Fecha]]))</f>
        <v>8</v>
      </c>
      <c r="J271" s="40" t="s">
        <v>578</v>
      </c>
      <c r="K271" s="40" t="s">
        <v>37</v>
      </c>
      <c r="L271" t="s">
        <v>571</v>
      </c>
      <c r="M271" s="30" t="s">
        <v>58</v>
      </c>
      <c r="N271" s="30" t="s">
        <v>579</v>
      </c>
      <c r="O271" s="30" t="str">
        <f>IFERROR(VLOOKUP(Impuestos44[[#This Row],[Nro]],[4]Placas!$A:$D,4,0),"")</f>
        <v>3 Vales Caja 2025080420.pdf</v>
      </c>
      <c r="P271" s="37"/>
      <c r="Q271" s="36"/>
      <c r="R271" s="38"/>
      <c r="S271" s="43"/>
      <c r="U271" s="40"/>
      <c r="V271" s="40"/>
      <c r="W271" s="40"/>
    </row>
    <row r="272" spans="3:23" x14ac:dyDescent="0.3">
      <c r="C272" s="35" t="str">
        <f>CONCATENATE(Impuestos44[[#This Row],[Placa Vehiculo]],Impuestos44[[#This Row],[Vales]])</f>
        <v>BYR-9433 Vales</v>
      </c>
      <c r="D272" s="36" t="s">
        <v>160</v>
      </c>
      <c r="E272" s="37" t="s">
        <v>569</v>
      </c>
      <c r="F272" s="36">
        <v>2025</v>
      </c>
      <c r="G272" s="38">
        <v>356.83</v>
      </c>
      <c r="H272" s="39">
        <v>45898</v>
      </c>
      <c r="I272" s="44">
        <f>IF(Impuestos44[[#This Row],[Fecha]]="","",MONTH(Impuestos44[[#This Row],[Fecha]]))</f>
        <v>8</v>
      </c>
      <c r="J272" s="40" t="s">
        <v>578</v>
      </c>
      <c r="K272" s="40" t="s">
        <v>37</v>
      </c>
      <c r="L272" t="s">
        <v>571</v>
      </c>
      <c r="M272" s="30" t="s">
        <v>48</v>
      </c>
      <c r="N272" s="30" t="s">
        <v>579</v>
      </c>
      <c r="O272" s="30" t="str">
        <f>IFERROR(VLOOKUP(Impuestos44[[#This Row],[Nro]],[4]Placas!$A:$D,4,0),"")</f>
        <v>3 Vales Caja 2025080398.pdf</v>
      </c>
      <c r="P272" s="37"/>
      <c r="Q272" s="36"/>
      <c r="R272" s="38"/>
      <c r="S272" s="43"/>
      <c r="U272" s="40"/>
      <c r="V272" s="40"/>
      <c r="W272" s="40"/>
    </row>
    <row r="273" spans="3:23" x14ac:dyDescent="0.3">
      <c r="C273" s="35" t="str">
        <f>CONCATENATE(Impuestos44[[#This Row],[Placa Vehiculo]],Impuestos44[[#This Row],[Vales]])</f>
        <v>BYR-9453 Vales</v>
      </c>
      <c r="D273" s="36" t="s">
        <v>161</v>
      </c>
      <c r="E273" s="37" t="s">
        <v>569</v>
      </c>
      <c r="F273" s="36">
        <v>2025</v>
      </c>
      <c r="G273" s="38">
        <v>356.83</v>
      </c>
      <c r="H273" s="39">
        <v>45898</v>
      </c>
      <c r="I273" s="41">
        <f>IF(Impuestos44[[#This Row],[Fecha]]="","",MONTH(Impuestos44[[#This Row],[Fecha]]))</f>
        <v>8</v>
      </c>
      <c r="J273" s="40" t="s">
        <v>578</v>
      </c>
      <c r="K273" s="40" t="s">
        <v>37</v>
      </c>
      <c r="L273" t="s">
        <v>571</v>
      </c>
      <c r="M273" s="30" t="s">
        <v>48</v>
      </c>
      <c r="N273" s="30" t="s">
        <v>579</v>
      </c>
      <c r="O273" s="30" t="str">
        <f>IFERROR(VLOOKUP(Impuestos44[[#This Row],[Nro]],[4]Placas!$A:$D,4,0),"")</f>
        <v>3 Vales Caja 2025080398.pdf</v>
      </c>
      <c r="P273" s="37"/>
      <c r="Q273" s="36"/>
      <c r="R273" s="38"/>
      <c r="S273" s="43"/>
      <c r="U273" s="40"/>
      <c r="V273" s="40"/>
      <c r="W273" s="40"/>
    </row>
    <row r="274" spans="3:23" x14ac:dyDescent="0.3">
      <c r="C274" s="35" t="str">
        <f>CONCATENATE(Impuestos44[[#This Row],[Placa Vehiculo]],Impuestos44[[#This Row],[Vales]])</f>
        <v>BYR-9463 Vales</v>
      </c>
      <c r="D274" s="36" t="s">
        <v>162</v>
      </c>
      <c r="E274" s="37" t="s">
        <v>569</v>
      </c>
      <c r="F274" s="36">
        <v>2025</v>
      </c>
      <c r="G274" s="38">
        <v>356.83</v>
      </c>
      <c r="H274" s="39">
        <v>45898</v>
      </c>
      <c r="I274" s="44">
        <f>IF(Impuestos44[[#This Row],[Fecha]]="","",MONTH(Impuestos44[[#This Row],[Fecha]]))</f>
        <v>8</v>
      </c>
      <c r="J274" s="40" t="s">
        <v>578</v>
      </c>
      <c r="K274" s="40" t="s">
        <v>37</v>
      </c>
      <c r="L274" t="s">
        <v>571</v>
      </c>
      <c r="M274" s="30" t="s">
        <v>48</v>
      </c>
      <c r="N274" s="30" t="s">
        <v>579</v>
      </c>
      <c r="O274" s="30" t="str">
        <f>IFERROR(VLOOKUP(Impuestos44[[#This Row],[Nro]],[4]Placas!$A:$D,4,0),"")</f>
        <v>3 Vales Caja 2025080398.pdf</v>
      </c>
      <c r="P274" s="37"/>
      <c r="Q274" s="36"/>
      <c r="R274" s="38"/>
      <c r="S274" s="43"/>
      <c r="U274" s="40"/>
      <c r="V274" s="40"/>
      <c r="W274" s="40"/>
    </row>
    <row r="275" spans="3:23" x14ac:dyDescent="0.3">
      <c r="C275" s="35" t="str">
        <f>CONCATENATE(Impuestos44[[#This Row],[Placa Vehiculo]],Impuestos44[[#This Row],[Vales]])</f>
        <v>BYS-7673 Vales</v>
      </c>
      <c r="D275" s="36" t="s">
        <v>163</v>
      </c>
      <c r="E275" s="37" t="s">
        <v>569</v>
      </c>
      <c r="F275" s="36">
        <v>2025</v>
      </c>
      <c r="G275" s="38">
        <v>356.83</v>
      </c>
      <c r="H275" s="39">
        <v>45898</v>
      </c>
      <c r="I275" s="41">
        <f>IF(Impuestos44[[#This Row],[Fecha]]="","",MONTH(Impuestos44[[#This Row],[Fecha]]))</f>
        <v>8</v>
      </c>
      <c r="J275" s="40" t="s">
        <v>578</v>
      </c>
      <c r="K275" s="40" t="s">
        <v>37</v>
      </c>
      <c r="L275" t="s">
        <v>571</v>
      </c>
      <c r="M275" s="30" t="s">
        <v>48</v>
      </c>
      <c r="N275" s="30" t="s">
        <v>579</v>
      </c>
      <c r="O275" s="30" t="str">
        <f>IFERROR(VLOOKUP(Impuestos44[[#This Row],[Nro]],[4]Placas!$A:$D,4,0),"")</f>
        <v>3 Vales Caja 2025080398.pdf</v>
      </c>
      <c r="P275" s="37"/>
      <c r="Q275" s="36"/>
      <c r="R275" s="38"/>
      <c r="S275" s="43"/>
      <c r="U275" s="40"/>
      <c r="V275" s="40"/>
      <c r="W275" s="40"/>
    </row>
    <row r="276" spans="3:23" x14ac:dyDescent="0.3">
      <c r="C276" s="35" t="str">
        <f>CONCATENATE(Impuestos44[[#This Row],[Placa Vehiculo]],Impuestos44[[#This Row],[Vales]])</f>
        <v>BYS-7903 Vales</v>
      </c>
      <c r="D276" s="36" t="s">
        <v>164</v>
      </c>
      <c r="E276" s="37" t="s">
        <v>569</v>
      </c>
      <c r="F276" s="36">
        <v>2025</v>
      </c>
      <c r="G276" s="38">
        <v>356.83</v>
      </c>
      <c r="H276" s="39">
        <v>45898</v>
      </c>
      <c r="I276" s="41">
        <f>IF(Impuestos44[[#This Row],[Fecha]]="","",MONTH(Impuestos44[[#This Row],[Fecha]]))</f>
        <v>8</v>
      </c>
      <c r="J276" s="40" t="s">
        <v>578</v>
      </c>
      <c r="K276" s="40" t="s">
        <v>37</v>
      </c>
      <c r="L276" t="s">
        <v>571</v>
      </c>
      <c r="M276" s="30" t="s">
        <v>48</v>
      </c>
      <c r="N276" s="30" t="s">
        <v>579</v>
      </c>
      <c r="O276" s="30" t="str">
        <f>IFERROR(VLOOKUP(Impuestos44[[#This Row],[Nro]],[4]Placas!$A:$D,4,0),"")</f>
        <v>3 Vales Caja 2025080398.pdf</v>
      </c>
      <c r="P276" s="37"/>
      <c r="Q276" s="36"/>
      <c r="R276" s="38"/>
      <c r="S276" s="43"/>
      <c r="U276" s="40"/>
      <c r="V276" s="40"/>
      <c r="W276" s="40"/>
    </row>
    <row r="277" spans="3:23" x14ac:dyDescent="0.3">
      <c r="C277" s="35" t="str">
        <f>CONCATENATE(Impuestos44[[#This Row],[Placa Vehiculo]],Impuestos44[[#This Row],[Vales]])</f>
        <v>BYS-8393 Vales</v>
      </c>
      <c r="D277" s="36" t="s">
        <v>165</v>
      </c>
      <c r="E277" s="37" t="s">
        <v>569</v>
      </c>
      <c r="F277" s="36">
        <v>2025</v>
      </c>
      <c r="G277" s="38">
        <v>356.83</v>
      </c>
      <c r="H277" s="39">
        <v>45898</v>
      </c>
      <c r="I277" s="41">
        <f>IF(Impuestos44[[#This Row],[Fecha]]="","",MONTH(Impuestos44[[#This Row],[Fecha]]))</f>
        <v>8</v>
      </c>
      <c r="J277" s="40" t="s">
        <v>578</v>
      </c>
      <c r="K277" s="40" t="s">
        <v>37</v>
      </c>
      <c r="L277" t="s">
        <v>571</v>
      </c>
      <c r="M277" s="30" t="s">
        <v>48</v>
      </c>
      <c r="N277" s="30" t="s">
        <v>579</v>
      </c>
      <c r="O277" s="30" t="str">
        <f>IFERROR(VLOOKUP(Impuestos44[[#This Row],[Nro]],[4]Placas!$A:$D,4,0),"")</f>
        <v>3 Vales Caja 2025080398.pdf</v>
      </c>
      <c r="P277" s="37"/>
      <c r="Q277" s="36"/>
      <c r="R277" s="38"/>
      <c r="S277" s="43"/>
      <c r="U277" s="40"/>
      <c r="V277" s="40"/>
      <c r="W277" s="40"/>
    </row>
    <row r="278" spans="3:23" x14ac:dyDescent="0.3">
      <c r="C278" s="35" t="str">
        <f>CONCATENATE(Impuestos44[[#This Row],[Placa Vehiculo]],Impuestos44[[#This Row],[Vales]])</f>
        <v>BYS-8483 Vales</v>
      </c>
      <c r="D278" s="36" t="s">
        <v>166</v>
      </c>
      <c r="E278" s="37" t="s">
        <v>569</v>
      </c>
      <c r="F278" s="36">
        <v>2025</v>
      </c>
      <c r="G278" s="38">
        <v>356.83</v>
      </c>
      <c r="H278" s="39">
        <v>45898</v>
      </c>
      <c r="I278" s="41">
        <f>IF(Impuestos44[[#This Row],[Fecha]]="","",MONTH(Impuestos44[[#This Row],[Fecha]]))</f>
        <v>8</v>
      </c>
      <c r="J278" s="40" t="s">
        <v>578</v>
      </c>
      <c r="K278" s="40" t="s">
        <v>37</v>
      </c>
      <c r="L278" t="s">
        <v>571</v>
      </c>
      <c r="M278" s="30" t="s">
        <v>48</v>
      </c>
      <c r="N278" s="30" t="s">
        <v>579</v>
      </c>
      <c r="O278" s="30" t="str">
        <f>IFERROR(VLOOKUP(Impuestos44[[#This Row],[Nro]],[4]Placas!$A:$D,4,0),"")</f>
        <v>3 Vales Caja 2025080398.pdf</v>
      </c>
      <c r="P278" s="37"/>
      <c r="Q278" s="36"/>
      <c r="R278" s="38"/>
      <c r="S278" s="43"/>
      <c r="U278" s="40"/>
      <c r="V278" s="40"/>
      <c r="W278" s="40"/>
    </row>
    <row r="279" spans="3:23" x14ac:dyDescent="0.3">
      <c r="C279" s="35" t="str">
        <f>CONCATENATE(Impuestos44[[#This Row],[Placa Vehiculo]],Impuestos44[[#This Row],[Vales]])</f>
        <v>BYS-8543 Vales</v>
      </c>
      <c r="D279" s="36" t="s">
        <v>167</v>
      </c>
      <c r="E279" s="37" t="s">
        <v>569</v>
      </c>
      <c r="F279" s="36">
        <v>2025</v>
      </c>
      <c r="G279" s="38">
        <v>356.83</v>
      </c>
      <c r="H279" s="39">
        <v>45898</v>
      </c>
      <c r="I279" s="41">
        <f>IF(Impuestos44[[#This Row],[Fecha]]="","",MONTH(Impuestos44[[#This Row],[Fecha]]))</f>
        <v>8</v>
      </c>
      <c r="J279" s="40" t="s">
        <v>578</v>
      </c>
      <c r="K279" s="40" t="s">
        <v>37</v>
      </c>
      <c r="L279" t="s">
        <v>571</v>
      </c>
      <c r="M279" s="30" t="s">
        <v>48</v>
      </c>
      <c r="N279" s="30" t="s">
        <v>579</v>
      </c>
      <c r="O279" s="30" t="str">
        <f>IFERROR(VLOOKUP(Impuestos44[[#This Row],[Nro]],[4]Placas!$A:$D,4,0),"")</f>
        <v>3 Vales Caja 2025080398.pdf</v>
      </c>
      <c r="P279" s="37"/>
      <c r="Q279" s="36"/>
      <c r="R279" s="38"/>
      <c r="S279" s="43"/>
      <c r="U279" s="40"/>
      <c r="V279" s="40"/>
      <c r="W279" s="40"/>
    </row>
    <row r="280" spans="3:23" x14ac:dyDescent="0.3">
      <c r="C280" s="35" t="str">
        <f>CONCATENATE(Impuestos44[[#This Row],[Placa Vehiculo]],Impuestos44[[#This Row],[Vales]])</f>
        <v>BYS-8813 Vales</v>
      </c>
      <c r="D280" s="36" t="s">
        <v>168</v>
      </c>
      <c r="E280" s="37" t="s">
        <v>569</v>
      </c>
      <c r="F280" s="36">
        <v>2025</v>
      </c>
      <c r="G280" s="38">
        <v>356.83</v>
      </c>
      <c r="H280" s="39">
        <v>45898</v>
      </c>
      <c r="I280" s="44">
        <f>IF(Impuestos44[[#This Row],[Fecha]]="","",MONTH(Impuestos44[[#This Row],[Fecha]]))</f>
        <v>8</v>
      </c>
      <c r="J280" s="40" t="s">
        <v>578</v>
      </c>
      <c r="K280" s="40" t="s">
        <v>37</v>
      </c>
      <c r="L280" t="s">
        <v>571</v>
      </c>
      <c r="M280" s="30" t="s">
        <v>48</v>
      </c>
      <c r="N280" s="30" t="s">
        <v>579</v>
      </c>
      <c r="O280" s="30" t="str">
        <f>IFERROR(VLOOKUP(Impuestos44[[#This Row],[Nro]],[4]Placas!$A:$D,4,0),"")</f>
        <v>3 Vales Caja 2025080398.pdf</v>
      </c>
      <c r="P280" s="37"/>
      <c r="Q280" s="36"/>
      <c r="R280" s="38"/>
      <c r="S280" s="43"/>
      <c r="U280" s="40"/>
      <c r="V280" s="40"/>
      <c r="W280" s="40"/>
    </row>
    <row r="281" spans="3:23" x14ac:dyDescent="0.3">
      <c r="C281" s="35" t="str">
        <f>CONCATENATE(Impuestos44[[#This Row],[Placa Vehiculo]],Impuestos44[[#This Row],[Vales]])</f>
        <v>BYS-8863 Vales</v>
      </c>
      <c r="D281" s="36" t="s">
        <v>169</v>
      </c>
      <c r="E281" s="37" t="s">
        <v>569</v>
      </c>
      <c r="F281" s="36">
        <v>2025</v>
      </c>
      <c r="G281" s="38">
        <v>356.83</v>
      </c>
      <c r="H281" s="39">
        <v>45898</v>
      </c>
      <c r="I281" s="41">
        <f>IF(Impuestos44[[#This Row],[Fecha]]="","",MONTH(Impuestos44[[#This Row],[Fecha]]))</f>
        <v>8</v>
      </c>
      <c r="J281" s="40" t="s">
        <v>578</v>
      </c>
      <c r="K281" s="40" t="s">
        <v>37</v>
      </c>
      <c r="L281" t="s">
        <v>571</v>
      </c>
      <c r="M281" s="30" t="s">
        <v>48</v>
      </c>
      <c r="N281" s="30" t="s">
        <v>579</v>
      </c>
      <c r="O281" s="30" t="str">
        <f>IFERROR(VLOOKUP(Impuestos44[[#This Row],[Nro]],[4]Placas!$A:$D,4,0),"")</f>
        <v>3 Vales Caja 2025080398.pdf</v>
      </c>
      <c r="P281" s="37"/>
      <c r="Q281" s="36"/>
      <c r="R281" s="38"/>
      <c r="S281" s="43"/>
      <c r="U281" s="40"/>
      <c r="V281" s="40"/>
      <c r="W281" s="40"/>
    </row>
    <row r="282" spans="3:23" x14ac:dyDescent="0.3">
      <c r="C282" s="35" t="str">
        <f>CONCATENATE(Impuestos44[[#This Row],[Placa Vehiculo]],Impuestos44[[#This Row],[Vales]])</f>
        <v>BYS-8883 Vales</v>
      </c>
      <c r="D282" s="36" t="s">
        <v>170</v>
      </c>
      <c r="E282" s="37" t="s">
        <v>569</v>
      </c>
      <c r="F282" s="36">
        <v>2025</v>
      </c>
      <c r="G282" s="38">
        <v>356.83</v>
      </c>
      <c r="H282" s="39">
        <v>45898</v>
      </c>
      <c r="I282" s="41">
        <f>IF(Impuestos44[[#This Row],[Fecha]]="","",MONTH(Impuestos44[[#This Row],[Fecha]]))</f>
        <v>8</v>
      </c>
      <c r="J282" s="40" t="s">
        <v>578</v>
      </c>
      <c r="K282" s="40" t="s">
        <v>37</v>
      </c>
      <c r="L282" t="s">
        <v>571</v>
      </c>
      <c r="M282" s="30" t="s">
        <v>48</v>
      </c>
      <c r="N282" s="30" t="s">
        <v>579</v>
      </c>
      <c r="O282" s="30" t="str">
        <f>IFERROR(VLOOKUP(Impuestos44[[#This Row],[Nro]],[4]Placas!$A:$D,4,0),"")</f>
        <v>3 Vales Caja 2025080398.pdf</v>
      </c>
      <c r="P282" s="37"/>
      <c r="Q282" s="36"/>
      <c r="R282" s="38"/>
      <c r="S282" s="43"/>
      <c r="U282" s="40"/>
      <c r="V282" s="40"/>
      <c r="W282" s="40"/>
    </row>
    <row r="283" spans="3:23" x14ac:dyDescent="0.3">
      <c r="C283" s="35" t="str">
        <f>CONCATENATE(Impuestos44[[#This Row],[Placa Vehiculo]],Impuestos44[[#This Row],[Vales]])</f>
        <v>BZJ-8503 Vales</v>
      </c>
      <c r="D283" s="36" t="s">
        <v>118</v>
      </c>
      <c r="E283" s="37" t="s">
        <v>569</v>
      </c>
      <c r="F283" s="36">
        <v>2025</v>
      </c>
      <c r="G283" s="38">
        <v>706.43</v>
      </c>
      <c r="H283" s="39">
        <v>45898</v>
      </c>
      <c r="I283" s="41">
        <f>IF(Impuestos44[[#This Row],[Fecha]]="","",MONTH(Impuestos44[[#This Row],[Fecha]]))</f>
        <v>8</v>
      </c>
      <c r="J283" s="40" t="s">
        <v>578</v>
      </c>
      <c r="K283" s="40" t="s">
        <v>37</v>
      </c>
      <c r="L283" t="s">
        <v>571</v>
      </c>
      <c r="M283" s="30" t="s">
        <v>40</v>
      </c>
      <c r="N283" s="30" t="s">
        <v>579</v>
      </c>
      <c r="O283" s="30" t="str">
        <f>IFERROR(VLOOKUP(Impuestos44[[#This Row],[Nro]],[4]Placas!$A:$D,4,0),"")</f>
        <v>3 Vales Caja 2025080335.pdf</v>
      </c>
      <c r="P283" s="37"/>
      <c r="Q283" s="36"/>
      <c r="R283" s="38"/>
      <c r="S283" s="43"/>
      <c r="U283" s="40"/>
      <c r="V283" s="40"/>
      <c r="W283" s="40"/>
    </row>
    <row r="284" spans="3:23" x14ac:dyDescent="0.3">
      <c r="C284" s="35" t="str">
        <f>CONCATENATE(Impuestos44[[#This Row],[Placa Vehiculo]],Impuestos44[[#This Row],[Vales]])</f>
        <v>BZJ-8533 Vales</v>
      </c>
      <c r="D284" s="36" t="s">
        <v>120</v>
      </c>
      <c r="E284" s="37" t="s">
        <v>569</v>
      </c>
      <c r="F284" s="36">
        <v>2025</v>
      </c>
      <c r="G284" s="38">
        <v>706.43</v>
      </c>
      <c r="H284" s="39">
        <v>45898</v>
      </c>
      <c r="I284" s="41">
        <f>IF(Impuestos44[[#This Row],[Fecha]]="","",MONTH(Impuestos44[[#This Row],[Fecha]]))</f>
        <v>8</v>
      </c>
      <c r="J284" s="40" t="s">
        <v>578</v>
      </c>
      <c r="K284" s="40" t="s">
        <v>37</v>
      </c>
      <c r="L284" t="s">
        <v>571</v>
      </c>
      <c r="M284" s="30" t="s">
        <v>40</v>
      </c>
      <c r="N284" s="30" t="s">
        <v>579</v>
      </c>
      <c r="O284" s="30" t="str">
        <f>IFERROR(VLOOKUP(Impuestos44[[#This Row],[Nro]],[4]Placas!$A:$D,4,0),"")</f>
        <v>3 Vales Caja 2025080335.pdf</v>
      </c>
      <c r="P284" s="37"/>
      <c r="Q284" s="36"/>
      <c r="R284" s="38"/>
      <c r="S284" s="43"/>
      <c r="U284" s="40"/>
      <c r="V284" s="40"/>
      <c r="W284" s="40"/>
    </row>
    <row r="285" spans="3:23" x14ac:dyDescent="0.3">
      <c r="C285" s="35" t="str">
        <f>CONCATENATE(Impuestos44[[#This Row],[Placa Vehiculo]],Impuestos44[[#This Row],[Vales]])</f>
        <v>BZJ-8853 Vales</v>
      </c>
      <c r="D285" s="36" t="s">
        <v>121</v>
      </c>
      <c r="E285" s="37" t="s">
        <v>569</v>
      </c>
      <c r="F285" s="36">
        <v>2025</v>
      </c>
      <c r="G285" s="38">
        <v>706.43</v>
      </c>
      <c r="H285" s="39">
        <v>45898</v>
      </c>
      <c r="I285" s="41">
        <f>IF(Impuestos44[[#This Row],[Fecha]]="","",MONTH(Impuestos44[[#This Row],[Fecha]]))</f>
        <v>8</v>
      </c>
      <c r="J285" s="40" t="s">
        <v>578</v>
      </c>
      <c r="K285" s="40" t="s">
        <v>37</v>
      </c>
      <c r="L285" t="s">
        <v>571</v>
      </c>
      <c r="M285" s="30" t="s">
        <v>40</v>
      </c>
      <c r="N285" s="30" t="s">
        <v>579</v>
      </c>
      <c r="O285" s="30" t="str">
        <f>IFERROR(VLOOKUP(Impuestos44[[#This Row],[Nro]],[4]Placas!$A:$D,4,0),"")</f>
        <v>3 Vales Caja 2025080335.pdf</v>
      </c>
      <c r="P285" s="37"/>
      <c r="Q285" s="36"/>
      <c r="R285" s="38"/>
      <c r="S285" s="43"/>
      <c r="U285" s="40"/>
      <c r="V285" s="40"/>
      <c r="W285" s="40"/>
    </row>
    <row r="286" spans="3:23" x14ac:dyDescent="0.3">
      <c r="C286" s="35" t="str">
        <f>CONCATENATE(Impuestos44[[#This Row],[Placa Vehiculo]],Impuestos44[[#This Row],[Vales]])</f>
        <v>BZK-7093 Vales</v>
      </c>
      <c r="D286" s="36" t="s">
        <v>122</v>
      </c>
      <c r="E286" s="37" t="s">
        <v>569</v>
      </c>
      <c r="F286" s="36">
        <v>2025</v>
      </c>
      <c r="G286" s="38">
        <v>706.43</v>
      </c>
      <c r="H286" s="39">
        <v>45898</v>
      </c>
      <c r="I286" s="41">
        <f>IF(Impuestos44[[#This Row],[Fecha]]="","",MONTH(Impuestos44[[#This Row],[Fecha]]))</f>
        <v>8</v>
      </c>
      <c r="J286" s="40" t="s">
        <v>578</v>
      </c>
      <c r="K286" s="40" t="s">
        <v>37</v>
      </c>
      <c r="L286" t="s">
        <v>571</v>
      </c>
      <c r="M286" s="30" t="s">
        <v>40</v>
      </c>
      <c r="N286" s="30" t="s">
        <v>579</v>
      </c>
      <c r="O286" s="30" t="str">
        <f>IFERROR(VLOOKUP(Impuestos44[[#This Row],[Nro]],[4]Placas!$A:$D,4,0),"")</f>
        <v>3 Vales Caja 2025080335.pdf</v>
      </c>
      <c r="P286" s="37"/>
      <c r="Q286" s="36"/>
      <c r="R286" s="38"/>
      <c r="S286" s="43"/>
      <c r="U286" s="40"/>
      <c r="V286" s="40"/>
      <c r="W286" s="40"/>
    </row>
    <row r="287" spans="3:23" x14ac:dyDescent="0.3">
      <c r="C287" s="35" t="str">
        <f>CONCATENATE(Impuestos44[[#This Row],[Placa Vehiculo]],Impuestos44[[#This Row],[Vales]])</f>
        <v>BZK-7123 Vales</v>
      </c>
      <c r="D287" s="36" t="s">
        <v>123</v>
      </c>
      <c r="E287" s="37" t="s">
        <v>569</v>
      </c>
      <c r="F287" s="36">
        <v>2025</v>
      </c>
      <c r="G287" s="38">
        <v>706.43</v>
      </c>
      <c r="H287" s="39">
        <v>45898</v>
      </c>
      <c r="I287">
        <f>IF(Impuestos44[[#This Row],[Fecha]]="","",MONTH(Impuestos44[[#This Row],[Fecha]]))</f>
        <v>8</v>
      </c>
      <c r="J287" s="40" t="s">
        <v>578</v>
      </c>
      <c r="K287" s="40" t="s">
        <v>37</v>
      </c>
      <c r="L287" t="s">
        <v>571</v>
      </c>
      <c r="M287" s="30" t="s">
        <v>40</v>
      </c>
      <c r="N287" s="30" t="s">
        <v>579</v>
      </c>
      <c r="O287" s="30" t="str">
        <f>IFERROR(VLOOKUP(Impuestos44[[#This Row],[Nro]],[4]Placas!$A:$D,4,0),"")</f>
        <v>3 Vales Caja 2025080335.pdf</v>
      </c>
      <c r="P287" s="37"/>
      <c r="Q287" s="36"/>
      <c r="R287" s="38"/>
      <c r="S287" s="43"/>
      <c r="U287" s="40"/>
      <c r="V287" s="40"/>
      <c r="W287" s="40"/>
    </row>
    <row r="288" spans="3:23" x14ac:dyDescent="0.3">
      <c r="C288" s="35" t="str">
        <f>CONCATENATE(Impuestos44[[#This Row],[Placa Vehiculo]],Impuestos44[[#This Row],[Vales]])</f>
        <v>BZK-7133 Vales</v>
      </c>
      <c r="D288" s="36" t="s">
        <v>124</v>
      </c>
      <c r="E288" s="37" t="s">
        <v>569</v>
      </c>
      <c r="F288" s="36">
        <v>2025</v>
      </c>
      <c r="G288" s="38">
        <v>706.43</v>
      </c>
      <c r="H288" s="39">
        <v>45898</v>
      </c>
      <c r="I288">
        <f>IF(Impuestos44[[#This Row],[Fecha]]="","",MONTH(Impuestos44[[#This Row],[Fecha]]))</f>
        <v>8</v>
      </c>
      <c r="J288" s="40" t="s">
        <v>578</v>
      </c>
      <c r="K288" s="40" t="s">
        <v>37</v>
      </c>
      <c r="L288" t="s">
        <v>571</v>
      </c>
      <c r="M288" s="30" t="s">
        <v>40</v>
      </c>
      <c r="N288" s="30" t="s">
        <v>579</v>
      </c>
      <c r="O288" s="30" t="str">
        <f>IFERROR(VLOOKUP(Impuestos44[[#This Row],[Nro]],[4]Placas!$A:$D,4,0),"")</f>
        <v>3 Vales Caja 2025080335.pdf</v>
      </c>
      <c r="P288" s="37"/>
      <c r="Q288" s="36"/>
      <c r="R288" s="38"/>
      <c r="S288" s="43"/>
      <c r="U288" s="40"/>
      <c r="V288" s="40"/>
      <c r="W288" s="40"/>
    </row>
    <row r="289" spans="3:23" x14ac:dyDescent="0.3">
      <c r="C289" s="35" t="str">
        <f>CONCATENATE(Impuestos44[[#This Row],[Placa Vehiculo]],Impuestos44[[#This Row],[Vales]])</f>
        <v>BZO-8883 Vales</v>
      </c>
      <c r="D289" s="36" t="s">
        <v>125</v>
      </c>
      <c r="E289" s="37" t="s">
        <v>569</v>
      </c>
      <c r="F289" s="36">
        <v>2025</v>
      </c>
      <c r="G289" s="38">
        <v>706.43</v>
      </c>
      <c r="H289" s="39">
        <v>45898</v>
      </c>
      <c r="I289">
        <f>IF(Impuestos44[[#This Row],[Fecha]]="","",MONTH(Impuestos44[[#This Row],[Fecha]]))</f>
        <v>8</v>
      </c>
      <c r="J289" s="40" t="s">
        <v>578</v>
      </c>
      <c r="K289" s="40" t="s">
        <v>37</v>
      </c>
      <c r="L289" t="s">
        <v>571</v>
      </c>
      <c r="M289" s="30" t="s">
        <v>40</v>
      </c>
      <c r="N289" s="30" t="s">
        <v>579</v>
      </c>
      <c r="O289" s="30" t="str">
        <f>IFERROR(VLOOKUP(Impuestos44[[#This Row],[Nro]],[4]Placas!$A:$D,4,0),"")</f>
        <v>3 Vales Caja 2025080335.pdf</v>
      </c>
      <c r="P289" s="37"/>
      <c r="Q289" s="36"/>
      <c r="R289" s="38"/>
      <c r="S289" s="43"/>
      <c r="U289" s="40"/>
      <c r="V289" s="40"/>
      <c r="W289" s="40"/>
    </row>
    <row r="290" spans="3:23" x14ac:dyDescent="0.3">
      <c r="C290" s="35" t="str">
        <f>CONCATENATE(Impuestos44[[#This Row],[Placa Vehiculo]],Impuestos44[[#This Row],[Vales]])</f>
        <v>BZK-7983 Vales</v>
      </c>
      <c r="D290" s="36" t="s">
        <v>126</v>
      </c>
      <c r="E290" s="37" t="s">
        <v>569</v>
      </c>
      <c r="F290" s="36">
        <v>2025</v>
      </c>
      <c r="G290" s="38">
        <v>706.43</v>
      </c>
      <c r="H290" s="39">
        <v>45898</v>
      </c>
      <c r="I290">
        <f>IF(Impuestos44[[#This Row],[Fecha]]="","",MONTH(Impuestos44[[#This Row],[Fecha]]))</f>
        <v>8</v>
      </c>
      <c r="J290" s="40" t="s">
        <v>578</v>
      </c>
      <c r="K290" s="40" t="s">
        <v>37</v>
      </c>
      <c r="L290" t="s">
        <v>571</v>
      </c>
      <c r="M290" s="30" t="s">
        <v>40</v>
      </c>
      <c r="N290" s="30" t="s">
        <v>579</v>
      </c>
      <c r="O290" s="30" t="str">
        <f>IFERROR(VLOOKUP(Impuestos44[[#This Row],[Nro]],[4]Placas!$A:$D,4,0),"")</f>
        <v>3 Vales Caja 2025080335.pdf</v>
      </c>
      <c r="P290" s="37"/>
      <c r="Q290" s="36"/>
      <c r="R290" s="38"/>
      <c r="S290" s="43"/>
      <c r="U290" s="40"/>
      <c r="V290" s="40"/>
      <c r="W290" s="40"/>
    </row>
    <row r="291" spans="3:23" x14ac:dyDescent="0.3">
      <c r="C291" s="35" t="str">
        <f>CONCATENATE(Impuestos44[[#This Row],[Placa Vehiculo]],Impuestos44[[#This Row],[Vales]])</f>
        <v>BZO-7993 Vales</v>
      </c>
      <c r="D291" s="36" t="s">
        <v>127</v>
      </c>
      <c r="E291" s="37" t="s">
        <v>569</v>
      </c>
      <c r="F291" s="36">
        <v>2025</v>
      </c>
      <c r="G291" s="38">
        <v>706.43</v>
      </c>
      <c r="H291" s="39">
        <v>45898</v>
      </c>
      <c r="I291">
        <f>IF(Impuestos44[[#This Row],[Fecha]]="","",MONTH(Impuestos44[[#This Row],[Fecha]]))</f>
        <v>8</v>
      </c>
      <c r="J291" s="40" t="s">
        <v>578</v>
      </c>
      <c r="K291" s="40" t="s">
        <v>37</v>
      </c>
      <c r="L291" t="s">
        <v>571</v>
      </c>
      <c r="M291" s="30" t="s">
        <v>40</v>
      </c>
      <c r="N291" s="30" t="s">
        <v>579</v>
      </c>
      <c r="O291" s="30" t="str">
        <f>IFERROR(VLOOKUP(Impuestos44[[#This Row],[Nro]],[4]Placas!$A:$D,4,0),"")</f>
        <v>3 Vales Caja 2025080335.pdf</v>
      </c>
      <c r="P291" s="37"/>
      <c r="Q291" s="36"/>
      <c r="R291" s="38"/>
      <c r="S291" s="43"/>
      <c r="U291" s="40"/>
      <c r="V291" s="40"/>
      <c r="W291" s="40"/>
    </row>
    <row r="292" spans="3:23" x14ac:dyDescent="0.3">
      <c r="C292" s="35" t="str">
        <f>CONCATENATE(Impuestos44[[#This Row],[Placa Vehiculo]],Impuestos44[[#This Row],[Vales]])</f>
        <v>BZO-7553 Vales</v>
      </c>
      <c r="D292" s="36" t="s">
        <v>128</v>
      </c>
      <c r="E292" s="37" t="s">
        <v>569</v>
      </c>
      <c r="F292" s="36">
        <v>2025</v>
      </c>
      <c r="G292" s="38">
        <v>706.43</v>
      </c>
      <c r="H292" s="39">
        <v>45898</v>
      </c>
      <c r="I292">
        <f>IF(Impuestos44[[#This Row],[Fecha]]="","",MONTH(Impuestos44[[#This Row],[Fecha]]))</f>
        <v>8</v>
      </c>
      <c r="J292" s="40" t="s">
        <v>578</v>
      </c>
      <c r="K292" s="40" t="s">
        <v>37</v>
      </c>
      <c r="L292" t="s">
        <v>571</v>
      </c>
      <c r="M292" s="30" t="s">
        <v>40</v>
      </c>
      <c r="N292" s="30" t="s">
        <v>579</v>
      </c>
      <c r="O292" s="30" t="str">
        <f>IFERROR(VLOOKUP(Impuestos44[[#This Row],[Nro]],[4]Placas!$A:$D,4,0),"")</f>
        <v>3 Vales Caja 2025080335.pdf</v>
      </c>
      <c r="P292" s="37"/>
      <c r="Q292" s="36"/>
      <c r="R292" s="38"/>
      <c r="S292" s="43"/>
      <c r="U292" s="40"/>
      <c r="V292" s="40"/>
      <c r="W292" s="40"/>
    </row>
    <row r="293" spans="3:23" x14ac:dyDescent="0.3">
      <c r="C293" s="35" t="str">
        <f>CONCATENATE(Impuestos44[[#This Row],[Placa Vehiculo]],Impuestos44[[#This Row],[Vales]])</f>
        <v>BZO-9373 Vales</v>
      </c>
      <c r="D293" s="36" t="s">
        <v>129</v>
      </c>
      <c r="E293" s="37" t="s">
        <v>569</v>
      </c>
      <c r="F293" s="36">
        <v>2025</v>
      </c>
      <c r="G293" s="38">
        <v>706.43</v>
      </c>
      <c r="H293" s="39">
        <v>45898</v>
      </c>
      <c r="I293">
        <f>IF(Impuestos44[[#This Row],[Fecha]]="","",MONTH(Impuestos44[[#This Row],[Fecha]]))</f>
        <v>8</v>
      </c>
      <c r="J293" s="40" t="s">
        <v>578</v>
      </c>
      <c r="K293" s="40" t="s">
        <v>37</v>
      </c>
      <c r="L293" t="s">
        <v>571</v>
      </c>
      <c r="M293" s="30" t="s">
        <v>40</v>
      </c>
      <c r="N293" s="30" t="s">
        <v>579</v>
      </c>
      <c r="O293" s="30" t="str">
        <f>IFERROR(VLOOKUP(Impuestos44[[#This Row],[Nro]],[4]Placas!$A:$D,4,0),"")</f>
        <v>3 Vales Caja 2025080335.pdf</v>
      </c>
      <c r="P293" s="37"/>
      <c r="Q293" s="36"/>
      <c r="R293" s="38"/>
      <c r="S293" s="43"/>
      <c r="U293" s="40"/>
      <c r="V293" s="40"/>
      <c r="W293" s="40"/>
    </row>
    <row r="294" spans="3:23" x14ac:dyDescent="0.3">
      <c r="C294" s="35" t="str">
        <f>CONCATENATE(Impuestos44[[#This Row],[Placa Vehiculo]],Impuestos44[[#This Row],[Vales]])</f>
        <v>BZT-7253 Vales</v>
      </c>
      <c r="D294" s="36" t="s">
        <v>130</v>
      </c>
      <c r="E294" s="37" t="s">
        <v>569</v>
      </c>
      <c r="F294" s="36">
        <v>2025</v>
      </c>
      <c r="G294" s="38">
        <v>706.43</v>
      </c>
      <c r="H294" s="39">
        <v>45898</v>
      </c>
      <c r="I294">
        <f>IF(Impuestos44[[#This Row],[Fecha]]="","",MONTH(Impuestos44[[#This Row],[Fecha]]))</f>
        <v>8</v>
      </c>
      <c r="J294" s="40" t="s">
        <v>578</v>
      </c>
      <c r="K294" s="40" t="s">
        <v>37</v>
      </c>
      <c r="L294" t="s">
        <v>571</v>
      </c>
      <c r="M294" s="30" t="s">
        <v>40</v>
      </c>
      <c r="N294" s="30" t="s">
        <v>579</v>
      </c>
      <c r="O294" s="30" t="str">
        <f>IFERROR(VLOOKUP(Impuestos44[[#This Row],[Nro]],[4]Placas!$A:$D,4,0),"")</f>
        <v>3 Vales Caja 2025080335.pdf</v>
      </c>
      <c r="P294" s="37"/>
      <c r="Q294" s="36"/>
      <c r="R294" s="38"/>
      <c r="S294" s="43"/>
      <c r="U294" s="40"/>
      <c r="V294" s="40"/>
      <c r="W294" s="40"/>
    </row>
    <row r="295" spans="3:23" x14ac:dyDescent="0.3">
      <c r="C295" s="35" t="str">
        <f>CONCATENATE(Impuestos44[[#This Row],[Placa Vehiculo]],Impuestos44[[#This Row],[Vales]])</f>
        <v>CNK-5333 Vales</v>
      </c>
      <c r="D295" s="36" t="s">
        <v>101</v>
      </c>
      <c r="E295" s="37" t="s">
        <v>569</v>
      </c>
      <c r="F295" s="36">
        <v>2025</v>
      </c>
      <c r="G295" s="38">
        <v>350.68</v>
      </c>
      <c r="H295" s="39">
        <v>45898</v>
      </c>
      <c r="I295">
        <f>IF(Impuestos44[[#This Row],[Fecha]]="","",MONTH(Impuestos44[[#This Row],[Fecha]]))</f>
        <v>8</v>
      </c>
      <c r="J295" s="40" t="s">
        <v>578</v>
      </c>
      <c r="K295" s="40" t="s">
        <v>37</v>
      </c>
      <c r="L295" t="s">
        <v>571</v>
      </c>
      <c r="M295" s="30" t="s">
        <v>54</v>
      </c>
      <c r="N295" s="30" t="s">
        <v>579</v>
      </c>
      <c r="O295" s="30" t="str">
        <f>IFERROR(VLOOKUP(Impuestos44[[#This Row],[Nro]],[4]Placas!$A:$D,4,0),"")</f>
        <v>3 Vales Caja 2025080417.pdf</v>
      </c>
      <c r="P295" s="37"/>
      <c r="Q295" s="36"/>
      <c r="R295" s="38"/>
      <c r="S295" s="43"/>
      <c r="U295" s="40"/>
      <c r="V295" s="40"/>
      <c r="W295" s="40"/>
    </row>
    <row r="296" spans="3:23" x14ac:dyDescent="0.3">
      <c r="C296" s="35" t="str">
        <f>CONCATENATE(Impuestos44[[#This Row],[Placa Vehiculo]],Impuestos44[[#This Row],[Vales]])</f>
        <v>CAT-9473 Vales</v>
      </c>
      <c r="D296" s="36" t="s">
        <v>62</v>
      </c>
      <c r="E296" s="37" t="s">
        <v>569</v>
      </c>
      <c r="F296" s="36">
        <v>2025</v>
      </c>
      <c r="G296" s="38">
        <v>318.60000000000002</v>
      </c>
      <c r="H296" s="39">
        <v>45898</v>
      </c>
      <c r="I296">
        <f>IF(Impuestos44[[#This Row],[Fecha]]="","",MONTH(Impuestos44[[#This Row],[Fecha]]))</f>
        <v>8</v>
      </c>
      <c r="J296" s="40" t="s">
        <v>578</v>
      </c>
      <c r="K296" s="40" t="s">
        <v>37</v>
      </c>
      <c r="L296" t="s">
        <v>571</v>
      </c>
      <c r="M296" s="30" t="s">
        <v>58</v>
      </c>
      <c r="N296" s="30" t="s">
        <v>579</v>
      </c>
      <c r="O296" s="30" t="str">
        <f>IFERROR(VLOOKUP(Impuestos44[[#This Row],[Nro]],[4]Placas!$A:$D,4,0),"")</f>
        <v>3 Vales Caja 2025080420.pdf</v>
      </c>
      <c r="P296" s="37"/>
      <c r="Q296" s="36"/>
      <c r="R296" s="38"/>
      <c r="S296" s="43"/>
      <c r="U296" s="40"/>
      <c r="V296" s="40"/>
      <c r="W296" s="40"/>
    </row>
    <row r="297" spans="3:23" x14ac:dyDescent="0.3">
      <c r="C297" s="35" t="str">
        <f>CONCATENATE(Impuestos44[[#This Row],[Placa Vehiculo]],Impuestos44[[#This Row],[Vales]])</f>
        <v>CAU-7453 Vales</v>
      </c>
      <c r="D297" s="36" t="s">
        <v>63</v>
      </c>
      <c r="E297" s="37" t="s">
        <v>569</v>
      </c>
      <c r="F297" s="36">
        <v>2025</v>
      </c>
      <c r="G297" s="38">
        <v>318.60000000000002</v>
      </c>
      <c r="H297" s="39">
        <v>45898</v>
      </c>
      <c r="I297">
        <f>IF(Impuestos44[[#This Row],[Fecha]]="","",MONTH(Impuestos44[[#This Row],[Fecha]]))</f>
        <v>8</v>
      </c>
      <c r="J297" s="40" t="s">
        <v>578</v>
      </c>
      <c r="K297" s="40" t="s">
        <v>37</v>
      </c>
      <c r="L297" t="s">
        <v>571</v>
      </c>
      <c r="M297" s="30" t="s">
        <v>58</v>
      </c>
      <c r="N297" s="30" t="s">
        <v>579</v>
      </c>
      <c r="O297" s="30" t="str">
        <f>IFERROR(VLOOKUP(Impuestos44[[#This Row],[Nro]],[4]Placas!$A:$D,4,0),"")</f>
        <v>3 Vales Caja 2025080420.pdf</v>
      </c>
      <c r="P297" s="37"/>
      <c r="Q297" s="36"/>
      <c r="R297" s="38"/>
      <c r="S297" s="43"/>
      <c r="U297" s="40"/>
      <c r="V297" s="40"/>
      <c r="W297" s="40"/>
    </row>
    <row r="298" spans="3:23" x14ac:dyDescent="0.3">
      <c r="C298" s="35" t="str">
        <f>CONCATENATE(Impuestos44[[#This Row],[Placa Vehiculo]],Impuestos44[[#This Row],[Vales]])</f>
        <v>CAT-9363 Vales</v>
      </c>
      <c r="D298" s="36" t="s">
        <v>64</v>
      </c>
      <c r="E298" s="37" t="s">
        <v>569</v>
      </c>
      <c r="F298" s="36">
        <v>2025</v>
      </c>
      <c r="G298" s="38">
        <v>318.60000000000002</v>
      </c>
      <c r="H298" s="39">
        <v>45898</v>
      </c>
      <c r="I298">
        <f>IF(Impuestos44[[#This Row],[Fecha]]="","",MONTH(Impuestos44[[#This Row],[Fecha]]))</f>
        <v>8</v>
      </c>
      <c r="J298" s="40" t="s">
        <v>578</v>
      </c>
      <c r="K298" s="40" t="s">
        <v>37</v>
      </c>
      <c r="L298" t="s">
        <v>571</v>
      </c>
      <c r="M298" s="30" t="s">
        <v>58</v>
      </c>
      <c r="N298" s="30" t="s">
        <v>579</v>
      </c>
      <c r="O298" s="30" t="str">
        <f>IFERROR(VLOOKUP(Impuestos44[[#This Row],[Nro]],[4]Placas!$A:$D,4,0),"")</f>
        <v>3 Vales Caja 2025080420.pdf</v>
      </c>
      <c r="P298" s="37"/>
      <c r="Q298" s="36"/>
      <c r="R298" s="38"/>
      <c r="S298" s="43"/>
      <c r="U298" s="40"/>
      <c r="V298" s="40"/>
      <c r="W298" s="40"/>
    </row>
    <row r="299" spans="3:23" x14ac:dyDescent="0.3">
      <c r="C299" s="35" t="str">
        <f>CONCATENATE(Impuestos44[[#This Row],[Placa Vehiculo]],Impuestos44[[#This Row],[Vales]])</f>
        <v>CNK-6153 Vales</v>
      </c>
      <c r="D299" s="36" t="s">
        <v>85</v>
      </c>
      <c r="E299" s="37" t="s">
        <v>569</v>
      </c>
      <c r="F299" s="36">
        <v>2025</v>
      </c>
      <c r="G299" s="38">
        <v>325.24</v>
      </c>
      <c r="H299" s="39">
        <v>45898</v>
      </c>
      <c r="I299">
        <f>IF(Impuestos44[[#This Row],[Fecha]]="","",MONTH(Impuestos44[[#This Row],[Fecha]]))</f>
        <v>8</v>
      </c>
      <c r="J299" s="40" t="s">
        <v>578</v>
      </c>
      <c r="K299" s="40" t="s">
        <v>37</v>
      </c>
      <c r="L299" t="s">
        <v>571</v>
      </c>
      <c r="M299" s="30" t="s">
        <v>54</v>
      </c>
      <c r="N299" s="30" t="s">
        <v>579</v>
      </c>
      <c r="O299" s="30" t="str">
        <f>IFERROR(VLOOKUP(Impuestos44[[#This Row],[Nro]],[4]Placas!$A:$D,4,0),"")</f>
        <v>3 Vales Caja 2025080415.pdf</v>
      </c>
      <c r="P299" s="37"/>
      <c r="Q299" s="36"/>
      <c r="R299" s="38"/>
      <c r="S299" s="43"/>
      <c r="U299" s="40"/>
      <c r="V299" s="40"/>
      <c r="W299" s="40"/>
    </row>
    <row r="300" spans="3:23" x14ac:dyDescent="0.3">
      <c r="C300" s="35" t="str">
        <f>CONCATENATE(Impuestos44[[#This Row],[Placa Vehiculo]],Impuestos44[[#This Row],[Vales]])</f>
        <v>CNL-6893 Vales</v>
      </c>
      <c r="D300" s="36" t="s">
        <v>102</v>
      </c>
      <c r="E300" s="37" t="s">
        <v>569</v>
      </c>
      <c r="F300" s="36">
        <v>2025</v>
      </c>
      <c r="G300" s="38">
        <v>350.68</v>
      </c>
      <c r="H300" s="39">
        <v>45898</v>
      </c>
      <c r="I300">
        <f>IF(Impuestos44[[#This Row],[Fecha]]="","",MONTH(Impuestos44[[#This Row],[Fecha]]))</f>
        <v>8</v>
      </c>
      <c r="J300" s="40" t="s">
        <v>578</v>
      </c>
      <c r="K300" s="40" t="s">
        <v>37</v>
      </c>
      <c r="L300" t="s">
        <v>571</v>
      </c>
      <c r="M300" s="30" t="s">
        <v>54</v>
      </c>
      <c r="N300" s="30" t="s">
        <v>579</v>
      </c>
      <c r="O300" s="30" t="str">
        <f>IFERROR(VLOOKUP(Impuestos44[[#This Row],[Nro]],[4]Placas!$A:$D,4,0),"")</f>
        <v>3 Vales Caja 2025080417.pdf</v>
      </c>
      <c r="P300" s="37"/>
      <c r="Q300" s="36"/>
      <c r="R300" s="38"/>
      <c r="S300" s="43"/>
      <c r="U300" s="40"/>
      <c r="V300" s="40"/>
      <c r="W300" s="40"/>
    </row>
    <row r="301" spans="3:23" x14ac:dyDescent="0.3">
      <c r="C301" s="35" t="str">
        <f>CONCATENATE(Impuestos44[[#This Row],[Placa Vehiculo]],Impuestos44[[#This Row],[Vales]])</f>
        <v>CNK-5043 Vales</v>
      </c>
      <c r="D301" s="36" t="s">
        <v>86</v>
      </c>
      <c r="E301" s="37" t="s">
        <v>569</v>
      </c>
      <c r="F301" s="36">
        <v>2025</v>
      </c>
      <c r="G301" s="38">
        <v>325.24</v>
      </c>
      <c r="H301" s="39">
        <v>45898</v>
      </c>
      <c r="I301">
        <f>IF(Impuestos44[[#This Row],[Fecha]]="","",MONTH(Impuestos44[[#This Row],[Fecha]]))</f>
        <v>8</v>
      </c>
      <c r="J301" s="40" t="s">
        <v>578</v>
      </c>
      <c r="K301" s="40" t="s">
        <v>37</v>
      </c>
      <c r="L301" t="s">
        <v>571</v>
      </c>
      <c r="M301" s="30" t="s">
        <v>54</v>
      </c>
      <c r="N301" s="30" t="s">
        <v>579</v>
      </c>
      <c r="O301" s="30" t="str">
        <f>IFERROR(VLOOKUP(Impuestos44[[#This Row],[Nro]],[4]Placas!$A:$D,4,0),"")</f>
        <v>3 Vales Caja 2025080415.pdf</v>
      </c>
      <c r="P301" s="37"/>
      <c r="Q301" s="36"/>
      <c r="R301" s="38"/>
      <c r="S301" s="43"/>
      <c r="U301" s="40"/>
      <c r="V301" s="40"/>
      <c r="W301" s="40"/>
    </row>
    <row r="302" spans="3:23" x14ac:dyDescent="0.3">
      <c r="C302" s="35" t="str">
        <f>CONCATENATE(Impuestos44[[#This Row],[Placa Vehiculo]],Impuestos44[[#This Row],[Vales]])</f>
        <v>CNK-6443 Vales</v>
      </c>
      <c r="D302" s="36" t="s">
        <v>87</v>
      </c>
      <c r="E302" s="37" t="s">
        <v>569</v>
      </c>
      <c r="F302" s="36">
        <v>2025</v>
      </c>
      <c r="G302" s="38">
        <v>325.24</v>
      </c>
      <c r="H302" s="39">
        <v>45898</v>
      </c>
      <c r="I302">
        <f>IF(Impuestos44[[#This Row],[Fecha]]="","",MONTH(Impuestos44[[#This Row],[Fecha]]))</f>
        <v>8</v>
      </c>
      <c r="J302" s="40" t="s">
        <v>578</v>
      </c>
      <c r="K302" s="40" t="s">
        <v>37</v>
      </c>
      <c r="L302" t="s">
        <v>571</v>
      </c>
      <c r="M302" s="30" t="s">
        <v>54</v>
      </c>
      <c r="N302" s="30" t="s">
        <v>579</v>
      </c>
      <c r="O302" s="30" t="str">
        <f>IFERROR(VLOOKUP(Impuestos44[[#This Row],[Nro]],[4]Placas!$A:$D,4,0),"")</f>
        <v>3 Vales Caja 2025080415.pdf</v>
      </c>
      <c r="P302" s="37"/>
      <c r="Q302" s="36"/>
      <c r="R302" s="38"/>
      <c r="S302" s="43"/>
      <c r="U302" s="40"/>
      <c r="V302" s="40"/>
      <c r="W302" s="40"/>
    </row>
    <row r="303" spans="3:23" x14ac:dyDescent="0.3">
      <c r="C303" s="35" t="str">
        <f>CONCATENATE(Impuestos44[[#This Row],[Placa Vehiculo]],Impuestos44[[#This Row],[Vales]])</f>
        <v>CNK-6903 Vales</v>
      </c>
      <c r="D303" s="36" t="s">
        <v>103</v>
      </c>
      <c r="E303" s="37" t="s">
        <v>569</v>
      </c>
      <c r="F303" s="36">
        <v>2025</v>
      </c>
      <c r="G303" s="38">
        <v>350.68</v>
      </c>
      <c r="H303" s="39">
        <v>45898</v>
      </c>
      <c r="I303">
        <f>IF(Impuestos44[[#This Row],[Fecha]]="","",MONTH(Impuestos44[[#This Row],[Fecha]]))</f>
        <v>8</v>
      </c>
      <c r="J303" s="40" t="s">
        <v>578</v>
      </c>
      <c r="K303" s="40" t="s">
        <v>37</v>
      </c>
      <c r="L303" t="s">
        <v>571</v>
      </c>
      <c r="M303" s="30" t="s">
        <v>54</v>
      </c>
      <c r="N303" s="30" t="s">
        <v>579</v>
      </c>
      <c r="O303" s="30" t="str">
        <f>IFERROR(VLOOKUP(Impuestos44[[#This Row],[Nro]],[4]Placas!$A:$D,4,0),"")</f>
        <v>3 Vales Caja 2025080417.pdf</v>
      </c>
      <c r="P303" s="37"/>
      <c r="Q303" s="36"/>
      <c r="R303" s="38"/>
      <c r="S303" s="43"/>
      <c r="U303" s="40"/>
      <c r="V303" s="40"/>
      <c r="W303" s="40"/>
    </row>
    <row r="304" spans="3:23" x14ac:dyDescent="0.3">
      <c r="C304" s="35" t="str">
        <f>CONCATENATE(Impuestos44[[#This Row],[Placa Vehiculo]],Impuestos44[[#This Row],[Vales]])</f>
        <v>CNL-1653 Vales</v>
      </c>
      <c r="D304" s="36" t="s">
        <v>88</v>
      </c>
      <c r="E304" s="37" t="s">
        <v>569</v>
      </c>
      <c r="F304" s="36">
        <v>2025</v>
      </c>
      <c r="G304" s="38">
        <v>325.24</v>
      </c>
      <c r="H304" s="39">
        <v>45898</v>
      </c>
      <c r="I304">
        <f>IF(Impuestos44[[#This Row],[Fecha]]="","",MONTH(Impuestos44[[#This Row],[Fecha]]))</f>
        <v>8</v>
      </c>
      <c r="J304" s="40" t="s">
        <v>578</v>
      </c>
      <c r="K304" s="40" t="s">
        <v>37</v>
      </c>
      <c r="L304" t="s">
        <v>571</v>
      </c>
      <c r="M304" s="30" t="s">
        <v>54</v>
      </c>
      <c r="N304" s="30" t="s">
        <v>579</v>
      </c>
      <c r="O304" s="30" t="str">
        <f>IFERROR(VLOOKUP(Impuestos44[[#This Row],[Nro]],[4]Placas!$A:$D,4,0),"")</f>
        <v>3 Vales Caja 2025080415.pdf</v>
      </c>
      <c r="P304" s="37"/>
      <c r="Q304" s="36"/>
      <c r="R304" s="38"/>
      <c r="S304" s="43"/>
      <c r="U304" s="40"/>
      <c r="V304" s="40"/>
      <c r="W304" s="40"/>
    </row>
    <row r="305" spans="3:23" x14ac:dyDescent="0.3">
      <c r="C305" s="35" t="str">
        <f>CONCATENATE(Impuestos44[[#This Row],[Placa Vehiculo]],Impuestos44[[#This Row],[Vales]])</f>
        <v>CNL-0333 Vales</v>
      </c>
      <c r="D305" s="36" t="s">
        <v>89</v>
      </c>
      <c r="E305" s="37" t="s">
        <v>569</v>
      </c>
      <c r="F305" s="36">
        <v>2025</v>
      </c>
      <c r="G305" s="38">
        <v>325.24</v>
      </c>
      <c r="H305" s="39">
        <v>45898</v>
      </c>
      <c r="I305">
        <f>IF(Impuestos44[[#This Row],[Fecha]]="","",MONTH(Impuestos44[[#This Row],[Fecha]]))</f>
        <v>8</v>
      </c>
      <c r="J305" s="40" t="s">
        <v>578</v>
      </c>
      <c r="K305" s="40" t="s">
        <v>37</v>
      </c>
      <c r="L305" t="s">
        <v>571</v>
      </c>
      <c r="M305" s="30" t="s">
        <v>54</v>
      </c>
      <c r="N305" s="30" t="s">
        <v>579</v>
      </c>
      <c r="O305" s="30" t="str">
        <f>IFERROR(VLOOKUP(Impuestos44[[#This Row],[Nro]],[4]Placas!$A:$D,4,0),"")</f>
        <v>3 Vales Caja 2025080415.pdf</v>
      </c>
      <c r="P305" s="37"/>
      <c r="Q305" s="36"/>
      <c r="R305" s="38"/>
      <c r="S305" s="43"/>
      <c r="U305" s="40"/>
      <c r="V305" s="40"/>
      <c r="W305" s="40"/>
    </row>
    <row r="306" spans="3:23" x14ac:dyDescent="0.3">
      <c r="C306" s="35" t="str">
        <f>CONCATENATE(Impuestos44[[#This Row],[Placa Vehiculo]],Impuestos44[[#This Row],[Vales]])</f>
        <v>CNL-0753 Vales</v>
      </c>
      <c r="D306" s="36" t="s">
        <v>90</v>
      </c>
      <c r="E306" s="37" t="s">
        <v>569</v>
      </c>
      <c r="F306" s="36">
        <v>2025</v>
      </c>
      <c r="G306" s="38">
        <v>325.24</v>
      </c>
      <c r="H306" s="39">
        <v>45898</v>
      </c>
      <c r="I306">
        <f>IF(Impuestos44[[#This Row],[Fecha]]="","",MONTH(Impuestos44[[#This Row],[Fecha]]))</f>
        <v>8</v>
      </c>
      <c r="J306" s="40" t="s">
        <v>578</v>
      </c>
      <c r="K306" s="40" t="s">
        <v>37</v>
      </c>
      <c r="L306" t="s">
        <v>571</v>
      </c>
      <c r="M306" s="30" t="s">
        <v>54</v>
      </c>
      <c r="N306" s="30" t="s">
        <v>579</v>
      </c>
      <c r="O306" s="30" t="str">
        <f>IFERROR(VLOOKUP(Impuestos44[[#This Row],[Nro]],[4]Placas!$A:$D,4,0),"")</f>
        <v>3 Vales Caja 2025080415.pdf</v>
      </c>
      <c r="P306" s="37"/>
      <c r="Q306" s="36"/>
      <c r="R306" s="38"/>
      <c r="S306" s="43"/>
      <c r="U306" s="40"/>
      <c r="V306" s="40"/>
      <c r="W306" s="40"/>
    </row>
    <row r="307" spans="3:23" x14ac:dyDescent="0.3">
      <c r="C307" s="35" t="str">
        <f>CONCATENATE(Impuestos44[[#This Row],[Placa Vehiculo]],Impuestos44[[#This Row],[Vales]])</f>
        <v>CNL-4943 Vales</v>
      </c>
      <c r="D307" s="36" t="s">
        <v>104</v>
      </c>
      <c r="E307" s="37" t="s">
        <v>569</v>
      </c>
      <c r="F307" s="36">
        <v>2025</v>
      </c>
      <c r="G307" s="38">
        <v>350.68</v>
      </c>
      <c r="H307" s="39">
        <v>45898</v>
      </c>
      <c r="I307">
        <f>IF(Impuestos44[[#This Row],[Fecha]]="","",MONTH(Impuestos44[[#This Row],[Fecha]]))</f>
        <v>8</v>
      </c>
      <c r="J307" s="40" t="s">
        <v>578</v>
      </c>
      <c r="K307" s="40" t="s">
        <v>37</v>
      </c>
      <c r="L307" t="s">
        <v>571</v>
      </c>
      <c r="M307" s="30" t="s">
        <v>54</v>
      </c>
      <c r="N307" s="30" t="s">
        <v>579</v>
      </c>
      <c r="O307" s="30" t="str">
        <f>IFERROR(VLOOKUP(Impuestos44[[#This Row],[Nro]],[4]Placas!$A:$D,4,0),"")</f>
        <v>3 Vales Caja 2025080417.pdf</v>
      </c>
      <c r="P307" s="37"/>
      <c r="Q307" s="36"/>
      <c r="R307" s="38"/>
      <c r="S307" s="43"/>
      <c r="U307" s="40"/>
      <c r="V307" s="40"/>
      <c r="W307" s="40"/>
    </row>
    <row r="308" spans="3:23" x14ac:dyDescent="0.3">
      <c r="C308" s="35" t="str">
        <f>CONCATENATE(Impuestos44[[#This Row],[Placa Vehiculo]],Impuestos44[[#This Row],[Vales]])</f>
        <v>CNL-0123 Vales</v>
      </c>
      <c r="D308" s="36" t="s">
        <v>105</v>
      </c>
      <c r="E308" s="37" t="s">
        <v>569</v>
      </c>
      <c r="F308" s="36">
        <v>2025</v>
      </c>
      <c r="G308" s="38">
        <v>350.68</v>
      </c>
      <c r="H308" s="39">
        <v>45898</v>
      </c>
      <c r="I308">
        <f>IF(Impuestos44[[#This Row],[Fecha]]="","",MONTH(Impuestos44[[#This Row],[Fecha]]))</f>
        <v>8</v>
      </c>
      <c r="J308" s="40" t="s">
        <v>578</v>
      </c>
      <c r="K308" s="40" t="s">
        <v>37</v>
      </c>
      <c r="L308" t="s">
        <v>571</v>
      </c>
      <c r="M308" s="30" t="s">
        <v>54</v>
      </c>
      <c r="N308" s="30" t="s">
        <v>579</v>
      </c>
      <c r="O308" s="30" t="str">
        <f>IFERROR(VLOOKUP(Impuestos44[[#This Row],[Nro]],[4]Placas!$A:$D,4,0),"")</f>
        <v>3 Vales Caja 2025080417.pdf</v>
      </c>
      <c r="P308" s="37"/>
      <c r="Q308" s="36"/>
      <c r="R308" s="38"/>
      <c r="S308" s="43"/>
      <c r="U308" s="40"/>
      <c r="V308" s="40"/>
      <c r="W308" s="40"/>
    </row>
    <row r="309" spans="3:23" x14ac:dyDescent="0.3">
      <c r="C309" s="35" t="str">
        <f>CONCATENATE(Impuestos44[[#This Row],[Placa Vehiculo]],Impuestos44[[#This Row],[Vales]])</f>
        <v>CNK-6413 Vales</v>
      </c>
      <c r="D309" s="36" t="s">
        <v>106</v>
      </c>
      <c r="E309" s="37" t="s">
        <v>569</v>
      </c>
      <c r="F309" s="36">
        <v>2025</v>
      </c>
      <c r="G309" s="38">
        <v>350.68</v>
      </c>
      <c r="H309" s="39">
        <v>45898</v>
      </c>
      <c r="I309">
        <f>IF(Impuestos44[[#This Row],[Fecha]]="","",MONTH(Impuestos44[[#This Row],[Fecha]]))</f>
        <v>8</v>
      </c>
      <c r="J309" s="40" t="s">
        <v>578</v>
      </c>
      <c r="K309" s="40" t="s">
        <v>37</v>
      </c>
      <c r="L309" t="s">
        <v>571</v>
      </c>
      <c r="M309" s="30" t="s">
        <v>54</v>
      </c>
      <c r="N309" s="30" t="s">
        <v>579</v>
      </c>
      <c r="O309" s="30" t="str">
        <f>IFERROR(VLOOKUP(Impuestos44[[#This Row],[Nro]],[4]Placas!$A:$D,4,0),"")</f>
        <v>3 Vales Caja 2025080417.pdf</v>
      </c>
      <c r="P309" s="37"/>
      <c r="Q309" s="36"/>
      <c r="R309" s="38"/>
      <c r="S309" s="43"/>
      <c r="U309" s="40"/>
      <c r="V309" s="40"/>
      <c r="W309" s="40"/>
    </row>
    <row r="310" spans="3:23" x14ac:dyDescent="0.3">
      <c r="C310" s="35" t="str">
        <f>CONCATENATE(Impuestos44[[#This Row],[Placa Vehiculo]],Impuestos44[[#This Row],[Vales]])</f>
        <v>CNK-6393 Vales</v>
      </c>
      <c r="D310" s="36" t="s">
        <v>107</v>
      </c>
      <c r="E310" s="37" t="s">
        <v>569</v>
      </c>
      <c r="F310" s="36">
        <v>2025</v>
      </c>
      <c r="G310" s="38">
        <v>350.68</v>
      </c>
      <c r="H310" s="39">
        <v>45898</v>
      </c>
      <c r="I310">
        <f>IF(Impuestos44[[#This Row],[Fecha]]="","",MONTH(Impuestos44[[#This Row],[Fecha]]))</f>
        <v>8</v>
      </c>
      <c r="J310" s="40" t="s">
        <v>578</v>
      </c>
      <c r="K310" s="40" t="s">
        <v>37</v>
      </c>
      <c r="L310" t="s">
        <v>571</v>
      </c>
      <c r="M310" s="30" t="s">
        <v>54</v>
      </c>
      <c r="N310" s="30" t="s">
        <v>579</v>
      </c>
      <c r="O310" s="30" t="str">
        <f>IFERROR(VLOOKUP(Impuestos44[[#This Row],[Nro]],[4]Placas!$A:$D,4,0),"")</f>
        <v>3 Vales Caja 2025080417.pdf</v>
      </c>
      <c r="P310" s="37"/>
      <c r="Q310" s="36"/>
      <c r="R310" s="38"/>
      <c r="S310" s="43"/>
      <c r="U310" s="40"/>
      <c r="V310" s="40"/>
      <c r="W310" s="40"/>
    </row>
    <row r="311" spans="3:23" x14ac:dyDescent="0.3">
      <c r="C311" s="35" t="str">
        <f>CONCATENATE(Impuestos44[[#This Row],[Placa Vehiculo]],Impuestos44[[#This Row],[Vales]])</f>
        <v>CNK-4713 Vales</v>
      </c>
      <c r="D311" s="36" t="s">
        <v>108</v>
      </c>
      <c r="E311" s="37" t="s">
        <v>569</v>
      </c>
      <c r="F311" s="36">
        <v>2025</v>
      </c>
      <c r="G311" s="38">
        <v>350.68</v>
      </c>
      <c r="H311" s="39">
        <v>45898</v>
      </c>
      <c r="I311">
        <f>IF(Impuestos44[[#This Row],[Fecha]]="","",MONTH(Impuestos44[[#This Row],[Fecha]]))</f>
        <v>8</v>
      </c>
      <c r="J311" s="40" t="s">
        <v>578</v>
      </c>
      <c r="K311" s="40" t="s">
        <v>37</v>
      </c>
      <c r="L311" t="s">
        <v>571</v>
      </c>
      <c r="M311" s="30" t="s">
        <v>54</v>
      </c>
      <c r="N311" s="30" t="s">
        <v>579</v>
      </c>
      <c r="O311" s="30" t="str">
        <f>IFERROR(VLOOKUP(Impuestos44[[#This Row],[Nro]],[4]Placas!$A:$D,4,0),"")</f>
        <v>3 Vales Caja 2025080417.pdf</v>
      </c>
      <c r="P311" s="37"/>
      <c r="Q311" s="36"/>
      <c r="R311" s="38"/>
      <c r="S311" s="43"/>
      <c r="U311" s="40"/>
      <c r="V311" s="40"/>
      <c r="W311" s="40"/>
    </row>
    <row r="312" spans="3:23" x14ac:dyDescent="0.3">
      <c r="C312" s="35" t="str">
        <f>CONCATENATE(Impuestos44[[#This Row],[Placa Vehiculo]],Impuestos44[[#This Row],[Vales]])</f>
        <v>CCV-8773 Vales</v>
      </c>
      <c r="D312" s="36" t="s">
        <v>41</v>
      </c>
      <c r="E312" s="37" t="s">
        <v>569</v>
      </c>
      <c r="F312" s="36">
        <v>2025</v>
      </c>
      <c r="G312" s="38" t="s">
        <v>575</v>
      </c>
      <c r="H312" s="39"/>
      <c r="I312" t="str">
        <f>IF(Impuestos44[[#This Row],[Fecha]]="","",MONTH(Impuestos44[[#This Row],[Fecha]]))</f>
        <v/>
      </c>
      <c r="J312" s="40" t="s">
        <v>578</v>
      </c>
      <c r="K312" s="40" t="s">
        <v>37</v>
      </c>
      <c r="M312" s="30" t="s">
        <v>45</v>
      </c>
      <c r="N312" s="30" t="s">
        <v>579</v>
      </c>
      <c r="O312" s="30" t="str">
        <f>IFERROR(VLOOKUP(Impuestos44[[#This Row],[Nro]],[4]Placas!$A:$D,4,0),"")</f>
        <v/>
      </c>
      <c r="P312" s="37"/>
      <c r="Q312" s="36"/>
      <c r="R312" s="38"/>
      <c r="S312" s="43"/>
      <c r="U312" s="40"/>
      <c r="V312" s="40"/>
      <c r="W312" s="40"/>
    </row>
    <row r="313" spans="3:23" x14ac:dyDescent="0.3">
      <c r="C313" s="35" t="str">
        <f>CONCATENATE(Impuestos44[[#This Row],[Placa Vehiculo]],Impuestos44[[#This Row],[Vales]])</f>
        <v>CCV-8783 Vales</v>
      </c>
      <c r="D313" s="36" t="s">
        <v>47</v>
      </c>
      <c r="E313" s="37" t="s">
        <v>569</v>
      </c>
      <c r="F313" s="36">
        <v>2025</v>
      </c>
      <c r="G313" s="38" t="s">
        <v>575</v>
      </c>
      <c r="H313" s="39"/>
      <c r="I313" t="str">
        <f>IF(Impuestos44[[#This Row],[Fecha]]="","",MONTH(Impuestos44[[#This Row],[Fecha]]))</f>
        <v/>
      </c>
      <c r="J313" s="40" t="s">
        <v>578</v>
      </c>
      <c r="K313" s="40" t="s">
        <v>37</v>
      </c>
      <c r="M313" s="30" t="s">
        <v>45</v>
      </c>
      <c r="N313" s="30" t="s">
        <v>579</v>
      </c>
      <c r="O313" s="30" t="str">
        <f>IFERROR(VLOOKUP(Impuestos44[[#This Row],[Nro]],[4]Placas!$A:$D,4,0),"")</f>
        <v/>
      </c>
      <c r="P313" s="37"/>
      <c r="Q313" s="36"/>
      <c r="R313" s="38"/>
      <c r="S313" s="43"/>
      <c r="U313" s="40"/>
      <c r="V313" s="40"/>
      <c r="W313" s="40"/>
    </row>
    <row r="314" spans="3:23" x14ac:dyDescent="0.3">
      <c r="C314" s="35" t="str">
        <f>CONCATENATE(Impuestos44[[#This Row],[Placa Vehiculo]],Impuestos44[[#This Row],[Vales]])</f>
        <v>CCV-9383 Vales</v>
      </c>
      <c r="D314" s="36" t="s">
        <v>49</v>
      </c>
      <c r="E314" s="37" t="s">
        <v>569</v>
      </c>
      <c r="F314" s="36">
        <v>2025</v>
      </c>
      <c r="G314" s="38" t="s">
        <v>575</v>
      </c>
      <c r="H314" s="39"/>
      <c r="I314" t="str">
        <f>IF(Impuestos44[[#This Row],[Fecha]]="","",MONTH(Impuestos44[[#This Row],[Fecha]]))</f>
        <v/>
      </c>
      <c r="J314" s="40" t="s">
        <v>578</v>
      </c>
      <c r="K314" s="40" t="s">
        <v>37</v>
      </c>
      <c r="M314" s="30" t="s">
        <v>45</v>
      </c>
      <c r="N314" s="30" t="s">
        <v>579</v>
      </c>
      <c r="O314" s="30" t="str">
        <f>IFERROR(VLOOKUP(Impuestos44[[#This Row],[Nro]],[4]Placas!$A:$D,4,0),"")</f>
        <v/>
      </c>
      <c r="P314" s="37"/>
      <c r="Q314" s="36"/>
      <c r="R314" s="38"/>
      <c r="S314" s="43"/>
      <c r="U314" s="40"/>
      <c r="V314" s="40"/>
      <c r="W314" s="40"/>
    </row>
    <row r="315" spans="3:23" x14ac:dyDescent="0.3">
      <c r="C315" s="35" t="str">
        <f>CONCATENATE(Impuestos44[[#This Row],[Placa Vehiculo]],Impuestos44[[#This Row],[Vales]])</f>
        <v>CCX-9193 Vales</v>
      </c>
      <c r="D315" s="36" t="s">
        <v>50</v>
      </c>
      <c r="E315" s="37" t="s">
        <v>569</v>
      </c>
      <c r="F315" s="36">
        <v>2025</v>
      </c>
      <c r="G315" s="38" t="s">
        <v>575</v>
      </c>
      <c r="H315" s="39"/>
      <c r="I315" t="str">
        <f>IF(Impuestos44[[#This Row],[Fecha]]="","",MONTH(Impuestos44[[#This Row],[Fecha]]))</f>
        <v/>
      </c>
      <c r="J315" s="40" t="s">
        <v>578</v>
      </c>
      <c r="K315" s="40" t="s">
        <v>37</v>
      </c>
      <c r="M315" s="30" t="s">
        <v>45</v>
      </c>
      <c r="N315" s="30" t="s">
        <v>579</v>
      </c>
      <c r="O315" s="30" t="str">
        <f>IFERROR(VLOOKUP(Impuestos44[[#This Row],[Nro]],[4]Placas!$A:$D,4,0),"")</f>
        <v/>
      </c>
      <c r="P315" s="37"/>
      <c r="Q315" s="36"/>
      <c r="R315" s="38"/>
      <c r="S315" s="43"/>
      <c r="U315" s="40"/>
      <c r="V315" s="40"/>
      <c r="W315" s="40"/>
    </row>
    <row r="316" spans="3:23" x14ac:dyDescent="0.3">
      <c r="C316" s="35" t="str">
        <f>CONCATENATE(Impuestos44[[#This Row],[Placa Vehiculo]],Impuestos44[[#This Row],[Vales]])</f>
        <v>CCV-7573 Vales</v>
      </c>
      <c r="D316" s="36" t="s">
        <v>51</v>
      </c>
      <c r="E316" s="37" t="s">
        <v>569</v>
      </c>
      <c r="F316" s="36">
        <v>2025</v>
      </c>
      <c r="G316" s="38" t="s">
        <v>575</v>
      </c>
      <c r="H316" s="39"/>
      <c r="I316" t="str">
        <f>IF(Impuestos44[[#This Row],[Fecha]]="","",MONTH(Impuestos44[[#This Row],[Fecha]]))</f>
        <v/>
      </c>
      <c r="J316" s="40" t="s">
        <v>578</v>
      </c>
      <c r="K316" s="40" t="s">
        <v>37</v>
      </c>
      <c r="M316" s="30" t="s">
        <v>45</v>
      </c>
      <c r="N316" s="30" t="s">
        <v>579</v>
      </c>
      <c r="O316" s="30" t="str">
        <f>IFERROR(VLOOKUP(Impuestos44[[#This Row],[Nro]],[4]Placas!$A:$D,4,0),"")</f>
        <v/>
      </c>
      <c r="P316" s="37"/>
      <c r="Q316" s="36"/>
      <c r="R316" s="38"/>
      <c r="S316" s="43"/>
      <c r="U316" s="40"/>
      <c r="V316" s="40"/>
      <c r="W316" s="40"/>
    </row>
    <row r="317" spans="3:23" x14ac:dyDescent="0.3">
      <c r="C317" s="35" t="str">
        <f>CONCATENATE(Impuestos44[[#This Row],[Placa Vehiculo]],Impuestos44[[#This Row],[Vales]])</f>
        <v>CCU-8773 Vales</v>
      </c>
      <c r="D317" s="36" t="s">
        <v>53</v>
      </c>
      <c r="E317" s="37" t="s">
        <v>569</v>
      </c>
      <c r="F317" s="36">
        <v>2025</v>
      </c>
      <c r="G317" s="38" t="s">
        <v>575</v>
      </c>
      <c r="H317" s="39"/>
      <c r="I317" t="str">
        <f>IF(Impuestos44[[#This Row],[Fecha]]="","",MONTH(Impuestos44[[#This Row],[Fecha]]))</f>
        <v/>
      </c>
      <c r="J317" s="40" t="s">
        <v>578</v>
      </c>
      <c r="K317" s="40" t="s">
        <v>37</v>
      </c>
      <c r="M317" s="30" t="s">
        <v>45</v>
      </c>
      <c r="N317" s="30" t="s">
        <v>579</v>
      </c>
      <c r="O317" s="30" t="str">
        <f>IFERROR(VLOOKUP(Impuestos44[[#This Row],[Nro]],[4]Placas!$A:$D,4,0),"")</f>
        <v/>
      </c>
      <c r="P317" s="37"/>
      <c r="Q317" s="36"/>
      <c r="R317" s="38"/>
      <c r="S317" s="43"/>
      <c r="U317" s="40"/>
      <c r="V317" s="40"/>
      <c r="W317" s="40"/>
    </row>
    <row r="318" spans="3:23" x14ac:dyDescent="0.3">
      <c r="C318" s="35" t="str">
        <f>CONCATENATE(Impuestos44[[#This Row],[Placa Vehiculo]],Impuestos44[[#This Row],[Vales]])</f>
        <v>CCX-8833 Vales</v>
      </c>
      <c r="D318" s="36" t="s">
        <v>55</v>
      </c>
      <c r="E318" s="37" t="s">
        <v>569</v>
      </c>
      <c r="F318" s="36">
        <v>2025</v>
      </c>
      <c r="G318" s="38" t="s">
        <v>575</v>
      </c>
      <c r="H318" s="39"/>
      <c r="I318" t="str">
        <f>IF(Impuestos44[[#This Row],[Fecha]]="","",MONTH(Impuestos44[[#This Row],[Fecha]]))</f>
        <v/>
      </c>
      <c r="J318" s="40" t="s">
        <v>578</v>
      </c>
      <c r="K318" s="40" t="s">
        <v>37</v>
      </c>
      <c r="M318" s="30" t="s">
        <v>45</v>
      </c>
      <c r="N318" s="30" t="s">
        <v>579</v>
      </c>
      <c r="O318" s="30" t="str">
        <f>IFERROR(VLOOKUP(Impuestos44[[#This Row],[Nro]],[4]Placas!$A:$D,4,0),"")</f>
        <v/>
      </c>
      <c r="P318" s="37"/>
      <c r="Q318" s="36"/>
      <c r="R318" s="38"/>
      <c r="S318" s="43"/>
      <c r="U318" s="40"/>
      <c r="V318" s="40"/>
      <c r="W318" s="40"/>
    </row>
    <row r="319" spans="3:23" x14ac:dyDescent="0.3">
      <c r="C319" s="35" t="str">
        <f>CONCATENATE(Impuestos44[[#This Row],[Placa Vehiculo]],Impuestos44[[#This Row],[Vales]])</f>
        <v>CCV-8473 Vales</v>
      </c>
      <c r="D319" s="36" t="s">
        <v>57</v>
      </c>
      <c r="E319" s="37" t="s">
        <v>569</v>
      </c>
      <c r="F319" s="36">
        <v>2025</v>
      </c>
      <c r="G319" s="38" t="s">
        <v>575</v>
      </c>
      <c r="H319" s="39"/>
      <c r="I319" t="str">
        <f>IF(Impuestos44[[#This Row],[Fecha]]="","",MONTH(Impuestos44[[#This Row],[Fecha]]))</f>
        <v/>
      </c>
      <c r="J319" s="40" t="s">
        <v>578</v>
      </c>
      <c r="K319" s="40" t="s">
        <v>37</v>
      </c>
      <c r="M319" s="30" t="s">
        <v>45</v>
      </c>
      <c r="N319" s="30" t="s">
        <v>579</v>
      </c>
      <c r="O319" s="30" t="str">
        <f>IFERROR(VLOOKUP(Impuestos44[[#This Row],[Nro]],[4]Placas!$A:$D,4,0),"")</f>
        <v/>
      </c>
      <c r="P319" s="37"/>
      <c r="Q319" s="36"/>
      <c r="R319" s="38"/>
      <c r="S319" s="43"/>
      <c r="U319" s="40"/>
      <c r="V319" s="40"/>
      <c r="W319" s="40"/>
    </row>
    <row r="320" spans="3:23" x14ac:dyDescent="0.3">
      <c r="C320" s="35" t="str">
        <f>CONCATENATE(Impuestos44[[#This Row],[Placa Vehiculo]],Impuestos44[[#This Row],[Vales]])</f>
        <v>CNL-0173 Vales</v>
      </c>
      <c r="D320" s="36" t="s">
        <v>33</v>
      </c>
      <c r="E320" s="37" t="s">
        <v>569</v>
      </c>
      <c r="F320" s="36">
        <v>2025</v>
      </c>
      <c r="G320" s="38">
        <v>575.25</v>
      </c>
      <c r="H320" s="39">
        <v>45898</v>
      </c>
      <c r="I320">
        <f>IF(Impuestos44[[#This Row],[Fecha]]="","",MONTH(Impuestos44[[#This Row],[Fecha]]))</f>
        <v>8</v>
      </c>
      <c r="J320" s="40" t="s">
        <v>578</v>
      </c>
      <c r="K320" s="40" t="s">
        <v>37</v>
      </c>
      <c r="L320" t="s">
        <v>571</v>
      </c>
      <c r="M320" s="30" t="s">
        <v>39</v>
      </c>
      <c r="N320" s="30" t="s">
        <v>579</v>
      </c>
      <c r="O320" s="30" t="str">
        <f>IFERROR(VLOOKUP(Impuestos44[[#This Row],[Nro]],[4]Placas!$A:$D,4,0),"")</f>
        <v>3 Vales Caja 2025080330.pdf</v>
      </c>
      <c r="P320" s="37"/>
      <c r="Q320" s="36"/>
      <c r="R320" s="38"/>
      <c r="S320" s="43"/>
      <c r="U320" s="40"/>
      <c r="V320" s="40"/>
      <c r="W320" s="40"/>
    </row>
    <row r="321" spans="3:23" x14ac:dyDescent="0.3">
      <c r="C321" s="35" t="str">
        <f>CONCATENATE(Impuestos44[[#This Row],[Placa Vehiculo]],Impuestos44[[#This Row],[Vales]])</f>
        <v>CAU-7293 Vales</v>
      </c>
      <c r="D321" s="36" t="s">
        <v>65</v>
      </c>
      <c r="E321" s="37" t="s">
        <v>569</v>
      </c>
      <c r="F321" s="36">
        <v>2025</v>
      </c>
      <c r="G321" s="38">
        <v>318.60000000000002</v>
      </c>
      <c r="H321" s="39">
        <v>45898</v>
      </c>
      <c r="I321">
        <f>IF(Impuestos44[[#This Row],[Fecha]]="","",MONTH(Impuestos44[[#This Row],[Fecha]]))</f>
        <v>8</v>
      </c>
      <c r="J321" s="40" t="s">
        <v>578</v>
      </c>
      <c r="K321" s="40" t="s">
        <v>37</v>
      </c>
      <c r="L321" t="s">
        <v>571</v>
      </c>
      <c r="M321" s="30" t="s">
        <v>58</v>
      </c>
      <c r="N321" s="30" t="s">
        <v>579</v>
      </c>
      <c r="O321" s="30" t="str">
        <f>IFERROR(VLOOKUP(Impuestos44[[#This Row],[Nro]],[4]Placas!$A:$D,4,0),"")</f>
        <v>3 Vales Caja 2025080420.pdf</v>
      </c>
      <c r="P321" s="37"/>
      <c r="Q321" s="36"/>
      <c r="R321" s="38"/>
      <c r="S321" s="43"/>
      <c r="U321" s="40"/>
      <c r="V321" s="40"/>
      <c r="W321" s="40"/>
    </row>
    <row r="322" spans="3:23" x14ac:dyDescent="0.3">
      <c r="C322" s="35" t="str">
        <f>CONCATENATE(Impuestos44[[#This Row],[Placa Vehiculo]],Impuestos44[[#This Row],[Vales]])</f>
        <v>CAU-7413 Vales</v>
      </c>
      <c r="D322" s="36" t="s">
        <v>67</v>
      </c>
      <c r="E322" s="37" t="s">
        <v>569</v>
      </c>
      <c r="F322" s="36">
        <v>2025</v>
      </c>
      <c r="G322" s="38">
        <v>318.60000000000002</v>
      </c>
      <c r="H322" s="39">
        <v>45898</v>
      </c>
      <c r="I322">
        <f>IF(Impuestos44[[#This Row],[Fecha]]="","",MONTH(Impuestos44[[#This Row],[Fecha]]))</f>
        <v>8</v>
      </c>
      <c r="J322" s="40" t="s">
        <v>578</v>
      </c>
      <c r="K322" s="40" t="s">
        <v>37</v>
      </c>
      <c r="L322" t="s">
        <v>571</v>
      </c>
      <c r="M322" s="30" t="s">
        <v>58</v>
      </c>
      <c r="N322" s="30" t="s">
        <v>579</v>
      </c>
      <c r="O322" s="30" t="str">
        <f>IFERROR(VLOOKUP(Impuestos44[[#This Row],[Nro]],[4]Placas!$A:$D,4,0),"")</f>
        <v>3 Vales Caja 2025080420.pdf</v>
      </c>
      <c r="P322" s="37"/>
      <c r="Q322" s="36"/>
      <c r="R322" s="38"/>
      <c r="S322" s="43"/>
      <c r="U322" s="40"/>
      <c r="V322" s="40"/>
      <c r="W322" s="40"/>
    </row>
    <row r="323" spans="3:23" x14ac:dyDescent="0.3">
      <c r="C323" s="35" t="str">
        <f>CONCATENATE(Impuestos44[[#This Row],[Placa Vehiculo]],Impuestos44[[#This Row],[Vales]])</f>
        <v>CAU-7323 Vales</v>
      </c>
      <c r="D323" s="36" t="s">
        <v>68</v>
      </c>
      <c r="E323" s="37" t="s">
        <v>569</v>
      </c>
      <c r="F323" s="36">
        <v>2025</v>
      </c>
      <c r="G323" s="38">
        <v>318.60000000000002</v>
      </c>
      <c r="H323" s="39">
        <v>45898</v>
      </c>
      <c r="I323">
        <f>IF(Impuestos44[[#This Row],[Fecha]]="","",MONTH(Impuestos44[[#This Row],[Fecha]]))</f>
        <v>8</v>
      </c>
      <c r="J323" s="40" t="s">
        <v>578</v>
      </c>
      <c r="K323" s="40" t="s">
        <v>37</v>
      </c>
      <c r="L323" t="s">
        <v>571</v>
      </c>
      <c r="M323" s="30" t="s">
        <v>58</v>
      </c>
      <c r="N323" s="30" t="s">
        <v>579</v>
      </c>
      <c r="O323" s="30" t="str">
        <f>IFERROR(VLOOKUP(Impuestos44[[#This Row],[Nro]],[4]Placas!$A:$D,4,0),"")</f>
        <v>3 Vales Caja 2025080420.pdf</v>
      </c>
      <c r="P323" s="37"/>
      <c r="Q323" s="36"/>
      <c r="R323" s="38"/>
      <c r="S323" s="43"/>
      <c r="U323" s="40"/>
      <c r="V323" s="40"/>
      <c r="W323" s="40"/>
    </row>
    <row r="324" spans="3:23" x14ac:dyDescent="0.3">
      <c r="C324" s="35" t="str">
        <f>CONCATENATE(Impuestos44[[#This Row],[Placa Vehiculo]],Impuestos44[[#This Row],[Vales]])</f>
        <v>CAU-7153 Vales</v>
      </c>
      <c r="D324" s="36" t="s">
        <v>8</v>
      </c>
      <c r="E324" s="37" t="s">
        <v>569</v>
      </c>
      <c r="F324" s="36">
        <v>2025</v>
      </c>
      <c r="G324" s="38">
        <v>318.60000000000002</v>
      </c>
      <c r="H324" s="39">
        <v>45898</v>
      </c>
      <c r="I324">
        <f>IF(Impuestos44[[#This Row],[Fecha]]="","",MONTH(Impuestos44[[#This Row],[Fecha]]))</f>
        <v>8</v>
      </c>
      <c r="J324" s="40" t="s">
        <v>578</v>
      </c>
      <c r="K324" s="40" t="s">
        <v>37</v>
      </c>
      <c r="L324" t="s">
        <v>571</v>
      </c>
      <c r="M324" s="30" t="s">
        <v>58</v>
      </c>
      <c r="N324" s="30" t="s">
        <v>579</v>
      </c>
      <c r="O324" s="30" t="str">
        <f>IFERROR(VLOOKUP(Impuestos44[[#This Row],[Nro]],[4]Placas!$A:$D,4,0),"")</f>
        <v>3 Vales Caja 2025080420.pdf</v>
      </c>
      <c r="P324" s="37"/>
      <c r="Q324" s="36"/>
      <c r="R324" s="38"/>
      <c r="S324" s="43"/>
      <c r="U324" s="40"/>
      <c r="V324" s="40"/>
      <c r="W324" s="40"/>
    </row>
    <row r="325" spans="3:23" x14ac:dyDescent="0.3">
      <c r="C325" s="35" t="str">
        <f>CONCATENATE(Impuestos44[[#This Row],[Placa Vehiculo]],Impuestos44[[#This Row],[Vales]])</f>
        <v>CNK-6883 Vales</v>
      </c>
      <c r="D325" s="36" t="s">
        <v>69</v>
      </c>
      <c r="E325" s="37" t="s">
        <v>569</v>
      </c>
      <c r="F325" s="36">
        <v>2025</v>
      </c>
      <c r="G325" s="38">
        <v>674.81</v>
      </c>
      <c r="H325" s="39">
        <v>45898</v>
      </c>
      <c r="I325">
        <f>IF(Impuestos44[[#This Row],[Fecha]]="","",MONTH(Impuestos44[[#This Row],[Fecha]]))</f>
        <v>8</v>
      </c>
      <c r="J325" s="40" t="s">
        <v>578</v>
      </c>
      <c r="K325" s="40" t="s">
        <v>37</v>
      </c>
      <c r="L325" t="s">
        <v>571</v>
      </c>
      <c r="M325" s="30" t="s">
        <v>52</v>
      </c>
      <c r="N325" s="30" t="s">
        <v>579</v>
      </c>
      <c r="O325" s="30" t="str">
        <f>IFERROR(VLOOKUP(Impuestos44[[#This Row],[Nro]],[4]Placas!$A:$D,4,0),"")</f>
        <v>3 Vales Caja 2025080402.pdf</v>
      </c>
      <c r="P325" s="37"/>
      <c r="Q325" s="36"/>
      <c r="R325" s="38"/>
      <c r="S325" s="43"/>
      <c r="U325" s="40"/>
      <c r="V325" s="40"/>
      <c r="W325" s="40"/>
    </row>
    <row r="326" spans="3:23" x14ac:dyDescent="0.3">
      <c r="C326" s="35" t="str">
        <f>CONCATENATE(Impuestos44[[#This Row],[Placa Vehiculo]],Impuestos44[[#This Row],[Vales]])</f>
        <v>CNL-6323 Vales</v>
      </c>
      <c r="D326" s="36" t="s">
        <v>109</v>
      </c>
      <c r="E326" s="37" t="s">
        <v>569</v>
      </c>
      <c r="F326" s="36">
        <v>2025</v>
      </c>
      <c r="G326" s="38">
        <v>350.68</v>
      </c>
      <c r="H326" s="39">
        <v>45898</v>
      </c>
      <c r="I326">
        <f>IF(Impuestos44[[#This Row],[Fecha]]="","",MONTH(Impuestos44[[#This Row],[Fecha]]))</f>
        <v>8</v>
      </c>
      <c r="J326" s="40" t="s">
        <v>578</v>
      </c>
      <c r="K326" s="40" t="s">
        <v>37</v>
      </c>
      <c r="L326" t="s">
        <v>571</v>
      </c>
      <c r="M326" s="30" t="s">
        <v>54</v>
      </c>
      <c r="N326" s="30" t="s">
        <v>579</v>
      </c>
      <c r="O326" s="30" t="str">
        <f>IFERROR(VLOOKUP(Impuestos44[[#This Row],[Nro]],[4]Placas!$A:$D,4,0),"")</f>
        <v>3 Vales Caja 2025080417.pdf</v>
      </c>
      <c r="P326" s="37"/>
      <c r="Q326" s="36"/>
      <c r="R326" s="38"/>
      <c r="S326" s="43"/>
      <c r="U326" s="40"/>
      <c r="V326" s="40"/>
      <c r="W326" s="40"/>
    </row>
    <row r="327" spans="3:23" x14ac:dyDescent="0.3">
      <c r="C327" s="35" t="str">
        <f>CONCATENATE(Impuestos44[[#This Row],[Placa Vehiculo]],Impuestos44[[#This Row],[Vales]])</f>
        <v>CDR-9483 Vales</v>
      </c>
      <c r="D327" s="36" t="s">
        <v>115</v>
      </c>
      <c r="E327" s="37" t="s">
        <v>569</v>
      </c>
      <c r="F327" s="36">
        <v>2025</v>
      </c>
      <c r="G327" s="38" t="s">
        <v>575</v>
      </c>
      <c r="H327" s="39"/>
      <c r="I327" t="str">
        <f>IF(Impuestos44[[#This Row],[Fecha]]="","",MONTH(Impuestos44[[#This Row],[Fecha]]))</f>
        <v/>
      </c>
      <c r="J327" s="40" t="s">
        <v>578</v>
      </c>
      <c r="K327" s="40" t="s">
        <v>37</v>
      </c>
      <c r="M327" s="30" t="s">
        <v>46</v>
      </c>
      <c r="N327" s="30" t="s">
        <v>579</v>
      </c>
      <c r="O327" s="30" t="str">
        <f>IFERROR(VLOOKUP(Impuestos44[[#This Row],[Nro]],[4]Placas!$A:$D,4,0),"")</f>
        <v/>
      </c>
      <c r="P327" s="37"/>
      <c r="Q327" s="36"/>
      <c r="R327" s="38"/>
      <c r="S327" s="43"/>
      <c r="U327" s="40"/>
      <c r="V327" s="40"/>
      <c r="W327" s="40"/>
    </row>
    <row r="328" spans="3:23" x14ac:dyDescent="0.3">
      <c r="C328" s="35" t="str">
        <f>CONCATENATE(Impuestos44[[#This Row],[Placa Vehiculo]],Impuestos44[[#This Row],[Vales]])</f>
        <v>CPB-0543 Vales</v>
      </c>
      <c r="D328" s="36" t="s">
        <v>171</v>
      </c>
      <c r="E328" s="37" t="s">
        <v>569</v>
      </c>
      <c r="F328" s="36">
        <v>2025</v>
      </c>
      <c r="G328" s="38">
        <v>2079</v>
      </c>
      <c r="H328" s="39">
        <v>45887</v>
      </c>
      <c r="I328">
        <f>IF(Impuestos44[[#This Row],[Fecha]]="","",MONTH(Impuestos44[[#This Row],[Fecha]]))</f>
        <v>8</v>
      </c>
      <c r="J328" s="40" t="s">
        <v>578</v>
      </c>
      <c r="K328" s="40" t="s">
        <v>37</v>
      </c>
      <c r="L328" t="s">
        <v>571</v>
      </c>
      <c r="M328" s="30" t="s">
        <v>32</v>
      </c>
      <c r="N328" s="30" t="s">
        <v>579</v>
      </c>
      <c r="O328" s="30" t="str">
        <f>IFERROR(VLOOKUP(Impuestos44[[#This Row],[Nro]],[4]Placas!$A:$D,4,0),"")</f>
        <v>3 Vales Caja 2025080421.pdf</v>
      </c>
      <c r="P328" s="37"/>
      <c r="Q328" s="36"/>
      <c r="R328" s="38"/>
      <c r="S328" s="43"/>
      <c r="U328" s="40"/>
      <c r="V328" s="40"/>
      <c r="W328" s="40"/>
    </row>
    <row r="329" spans="3:23" x14ac:dyDescent="0.3">
      <c r="C329" s="35" t="str">
        <f>CONCATENATE(Impuestos44[[#This Row],[Placa Vehiculo]],Impuestos44[[#This Row],[Vales]])</f>
        <v>BUR-9204 Vales</v>
      </c>
      <c r="D329" s="36" t="s">
        <v>131</v>
      </c>
      <c r="E329" s="37" t="s">
        <v>569</v>
      </c>
      <c r="F329" s="36">
        <v>2025</v>
      </c>
      <c r="G329" s="38">
        <v>283.70999999999998</v>
      </c>
      <c r="H329" s="39"/>
      <c r="I329" t="str">
        <f>IF(Impuestos44[[#This Row],[Fecha]]="","",MONTH(Impuestos44[[#This Row],[Fecha]]))</f>
        <v/>
      </c>
      <c r="J329" s="40" t="s">
        <v>580</v>
      </c>
      <c r="K329" s="40" t="s">
        <v>37</v>
      </c>
      <c r="L329" t="s">
        <v>1161</v>
      </c>
      <c r="M329" s="30" t="s">
        <v>48</v>
      </c>
      <c r="N329" s="30" t="s">
        <v>581</v>
      </c>
      <c r="O329" s="30" t="str">
        <f>IFERROR(VLOOKUP(Impuestos44[[#This Row],[Nro]],[4]Placas!$A:$D,4,0),"")</f>
        <v/>
      </c>
      <c r="P329" s="37"/>
      <c r="Q329" s="36"/>
      <c r="R329" s="38"/>
      <c r="S329" s="43"/>
      <c r="U329" s="40"/>
      <c r="V329" s="40"/>
      <c r="W329" s="40"/>
    </row>
    <row r="330" spans="3:23" x14ac:dyDescent="0.3">
      <c r="C330" s="35" t="str">
        <f>CONCATENATE(Impuestos44[[#This Row],[Placa Vehiculo]],Impuestos44[[#This Row],[Vales]])</f>
        <v>BUR-9284 Vales</v>
      </c>
      <c r="D330" s="36" t="s">
        <v>134</v>
      </c>
      <c r="E330" s="37" t="s">
        <v>569</v>
      </c>
      <c r="F330" s="36">
        <v>2025</v>
      </c>
      <c r="G330" s="38">
        <v>283.70999999999998</v>
      </c>
      <c r="H330" s="39"/>
      <c r="I330" t="str">
        <f>IF(Impuestos44[[#This Row],[Fecha]]="","",MONTH(Impuestos44[[#This Row],[Fecha]]))</f>
        <v/>
      </c>
      <c r="J330" s="40" t="s">
        <v>580</v>
      </c>
      <c r="K330" s="40" t="s">
        <v>37</v>
      </c>
      <c r="L330" t="s">
        <v>1161</v>
      </c>
      <c r="M330" s="30" t="s">
        <v>48</v>
      </c>
      <c r="N330" s="30" t="s">
        <v>581</v>
      </c>
      <c r="O330" s="30" t="str">
        <f>IFERROR(VLOOKUP(Impuestos44[[#This Row],[Nro]],[4]Placas!$A:$D,4,0),"")</f>
        <v/>
      </c>
      <c r="P330" s="37"/>
      <c r="Q330" s="36"/>
      <c r="R330" s="38"/>
      <c r="S330" s="43"/>
      <c r="U330" s="40"/>
      <c r="V330" s="40"/>
      <c r="W330" s="40"/>
    </row>
    <row r="331" spans="3:23" x14ac:dyDescent="0.3">
      <c r="C331" s="35" t="str">
        <f>CONCATENATE(Impuestos44[[#This Row],[Placa Vehiculo]],Impuestos44[[#This Row],[Vales]])</f>
        <v>BUR-9444 Vales</v>
      </c>
      <c r="D331" s="36" t="s">
        <v>135</v>
      </c>
      <c r="E331" s="37" t="s">
        <v>569</v>
      </c>
      <c r="F331" s="36">
        <v>2025</v>
      </c>
      <c r="G331" s="38">
        <v>283.70999999999998</v>
      </c>
      <c r="H331" s="39"/>
      <c r="I331" t="str">
        <f>IF(Impuestos44[[#This Row],[Fecha]]="","",MONTH(Impuestos44[[#This Row],[Fecha]]))</f>
        <v/>
      </c>
      <c r="J331" s="40" t="s">
        <v>580</v>
      </c>
      <c r="K331" s="40" t="s">
        <v>37</v>
      </c>
      <c r="L331" t="s">
        <v>1161</v>
      </c>
      <c r="M331" s="30" t="s">
        <v>48</v>
      </c>
      <c r="N331" s="30" t="s">
        <v>581</v>
      </c>
      <c r="O331" s="30" t="str">
        <f>IFERROR(VLOOKUP(Impuestos44[[#This Row],[Nro]],[4]Placas!$A:$D,4,0),"")</f>
        <v/>
      </c>
      <c r="P331" s="37"/>
      <c r="Q331" s="36"/>
      <c r="R331" s="38"/>
      <c r="S331" s="43"/>
      <c r="U331" s="40"/>
      <c r="V331" s="40"/>
      <c r="W331" s="40"/>
    </row>
    <row r="332" spans="3:23" x14ac:dyDescent="0.3">
      <c r="C332" s="35" t="str">
        <f>CONCATENATE(Impuestos44[[#This Row],[Placa Vehiculo]],Impuestos44[[#This Row],[Vales]])</f>
        <v>BUR-9464 Vales</v>
      </c>
      <c r="D332" s="36" t="s">
        <v>136</v>
      </c>
      <c r="E332" s="37" t="s">
        <v>569</v>
      </c>
      <c r="F332" s="36">
        <v>2025</v>
      </c>
      <c r="G332" s="38">
        <v>283.70999999999998</v>
      </c>
      <c r="H332" s="39"/>
      <c r="I332" t="str">
        <f>IF(Impuestos44[[#This Row],[Fecha]]="","",MONTH(Impuestos44[[#This Row],[Fecha]]))</f>
        <v/>
      </c>
      <c r="J332" s="40" t="s">
        <v>580</v>
      </c>
      <c r="K332" s="40" t="s">
        <v>37</v>
      </c>
      <c r="L332" t="s">
        <v>1161</v>
      </c>
      <c r="M332" s="30" t="s">
        <v>48</v>
      </c>
      <c r="N332" s="30" t="s">
        <v>581</v>
      </c>
      <c r="O332" s="30" t="str">
        <f>IFERROR(VLOOKUP(Impuestos44[[#This Row],[Nro]],[4]Placas!$A:$D,4,0),"")</f>
        <v/>
      </c>
      <c r="P332" s="37"/>
      <c r="Q332" s="36"/>
      <c r="R332" s="38"/>
      <c r="S332" s="43"/>
      <c r="U332" s="40"/>
      <c r="V332" s="40"/>
      <c r="W332" s="40"/>
    </row>
    <row r="333" spans="3:23" x14ac:dyDescent="0.3">
      <c r="C333" s="35" t="str">
        <f>CONCATENATE(Impuestos44[[#This Row],[Placa Vehiculo]],Impuestos44[[#This Row],[Vales]])</f>
        <v>BUS-7354 Vales</v>
      </c>
      <c r="D333" s="36" t="s">
        <v>137</v>
      </c>
      <c r="E333" s="37" t="s">
        <v>569</v>
      </c>
      <c r="F333" s="36">
        <v>2025</v>
      </c>
      <c r="G333" s="38">
        <v>283.70999999999998</v>
      </c>
      <c r="H333" s="39"/>
      <c r="I333" t="str">
        <f>IF(Impuestos44[[#This Row],[Fecha]]="","",MONTH(Impuestos44[[#This Row],[Fecha]]))</f>
        <v/>
      </c>
      <c r="J333" s="40" t="s">
        <v>580</v>
      </c>
      <c r="K333" s="40" t="s">
        <v>37</v>
      </c>
      <c r="L333" t="s">
        <v>1161</v>
      </c>
      <c r="M333" s="30" t="s">
        <v>48</v>
      </c>
      <c r="N333" s="30" t="s">
        <v>581</v>
      </c>
      <c r="O333" s="30" t="str">
        <f>IFERROR(VLOOKUP(Impuestos44[[#This Row],[Nro]],[4]Placas!$A:$D,4,0),"")</f>
        <v/>
      </c>
      <c r="P333" s="37"/>
      <c r="Q333" s="36"/>
      <c r="R333" s="38"/>
      <c r="S333" s="43"/>
      <c r="U333" s="40"/>
      <c r="V333" s="40"/>
      <c r="W333" s="40"/>
    </row>
    <row r="334" spans="3:23" x14ac:dyDescent="0.3">
      <c r="C334" s="35" t="str">
        <f>CONCATENATE(Impuestos44[[#This Row],[Placa Vehiculo]],Impuestos44[[#This Row],[Vales]])</f>
        <v>BUR-9214 Vales</v>
      </c>
      <c r="D334" s="36" t="s">
        <v>138</v>
      </c>
      <c r="E334" s="37" t="s">
        <v>569</v>
      </c>
      <c r="F334" s="36">
        <v>2025</v>
      </c>
      <c r="G334" s="38">
        <v>283.70999999999998</v>
      </c>
      <c r="H334" s="39"/>
      <c r="I334" t="str">
        <f>IF(Impuestos44[[#This Row],[Fecha]]="","",MONTH(Impuestos44[[#This Row],[Fecha]]))</f>
        <v/>
      </c>
      <c r="J334" s="40" t="s">
        <v>580</v>
      </c>
      <c r="K334" s="40" t="s">
        <v>37</v>
      </c>
      <c r="L334" t="s">
        <v>1161</v>
      </c>
      <c r="M334" s="30" t="s">
        <v>48</v>
      </c>
      <c r="N334" s="30" t="s">
        <v>581</v>
      </c>
      <c r="O334" s="30" t="str">
        <f>IFERROR(VLOOKUP(Impuestos44[[#This Row],[Nro]],[4]Placas!$A:$D,4,0),"")</f>
        <v/>
      </c>
      <c r="P334" s="37"/>
      <c r="Q334" s="36"/>
      <c r="R334" s="38"/>
      <c r="S334" s="43"/>
      <c r="U334" s="40"/>
      <c r="V334" s="40"/>
      <c r="W334" s="40"/>
    </row>
    <row r="335" spans="3:23" x14ac:dyDescent="0.3">
      <c r="C335" s="35" t="str">
        <f>CONCATENATE(Impuestos44[[#This Row],[Placa Vehiculo]],Impuestos44[[#This Row],[Vales]])</f>
        <v>BUR-9294 Vales</v>
      </c>
      <c r="D335" s="36" t="s">
        <v>139</v>
      </c>
      <c r="E335" s="37" t="s">
        <v>569</v>
      </c>
      <c r="F335" s="36">
        <v>2025</v>
      </c>
      <c r="G335" s="38">
        <v>283.70999999999998</v>
      </c>
      <c r="H335" s="39"/>
      <c r="I335" t="str">
        <f>IF(Impuestos44[[#This Row],[Fecha]]="","",MONTH(Impuestos44[[#This Row],[Fecha]]))</f>
        <v/>
      </c>
      <c r="J335" s="40" t="s">
        <v>580</v>
      </c>
      <c r="K335" s="40" t="s">
        <v>37</v>
      </c>
      <c r="L335" t="s">
        <v>1161</v>
      </c>
      <c r="M335" s="30" t="s">
        <v>48</v>
      </c>
      <c r="N335" s="30" t="s">
        <v>581</v>
      </c>
      <c r="O335" s="30" t="str">
        <f>IFERROR(VLOOKUP(Impuestos44[[#This Row],[Nro]],[4]Placas!$A:$D,4,0),"")</f>
        <v/>
      </c>
      <c r="P335" s="37"/>
      <c r="Q335" s="36"/>
      <c r="R335" s="38"/>
      <c r="S335" s="43"/>
      <c r="U335" s="40"/>
      <c r="V335" s="40"/>
      <c r="W335" s="40"/>
    </row>
    <row r="336" spans="3:23" x14ac:dyDescent="0.3">
      <c r="C336" s="35" t="str">
        <f>CONCATENATE(Impuestos44[[#This Row],[Placa Vehiculo]],Impuestos44[[#This Row],[Vales]])</f>
        <v>BUR-9454 Vales</v>
      </c>
      <c r="D336" s="36" t="s">
        <v>140</v>
      </c>
      <c r="E336" s="37" t="s">
        <v>569</v>
      </c>
      <c r="F336" s="36">
        <v>2025</v>
      </c>
      <c r="G336" s="38">
        <v>283.70999999999998</v>
      </c>
      <c r="H336" s="39"/>
      <c r="I336" t="str">
        <f>IF(Impuestos44[[#This Row],[Fecha]]="","",MONTH(Impuestos44[[#This Row],[Fecha]]))</f>
        <v/>
      </c>
      <c r="J336" s="40" t="s">
        <v>580</v>
      </c>
      <c r="K336" s="40" t="s">
        <v>37</v>
      </c>
      <c r="L336" t="s">
        <v>1161</v>
      </c>
      <c r="M336" s="30" t="s">
        <v>48</v>
      </c>
      <c r="N336" s="30" t="s">
        <v>581</v>
      </c>
      <c r="O336" s="30" t="str">
        <f>IFERROR(VLOOKUP(Impuestos44[[#This Row],[Nro]],[4]Placas!$A:$D,4,0),"")</f>
        <v/>
      </c>
      <c r="P336" s="37"/>
      <c r="Q336" s="36"/>
      <c r="R336" s="38"/>
      <c r="S336" s="43"/>
      <c r="U336" s="40"/>
      <c r="V336" s="40"/>
      <c r="W336" s="40"/>
    </row>
    <row r="337" spans="3:23" x14ac:dyDescent="0.3">
      <c r="C337" s="35" t="str">
        <f>CONCATENATE(Impuestos44[[#This Row],[Placa Vehiculo]],Impuestos44[[#This Row],[Vales]])</f>
        <v>BUS-7284 Vales</v>
      </c>
      <c r="D337" s="36" t="s">
        <v>141</v>
      </c>
      <c r="E337" s="37" t="s">
        <v>569</v>
      </c>
      <c r="F337" s="36">
        <v>2025</v>
      </c>
      <c r="G337" s="38">
        <v>283.70999999999998</v>
      </c>
      <c r="H337" s="39"/>
      <c r="I337" t="str">
        <f>IF(Impuestos44[[#This Row],[Fecha]]="","",MONTH(Impuestos44[[#This Row],[Fecha]]))</f>
        <v/>
      </c>
      <c r="J337" s="40" t="s">
        <v>580</v>
      </c>
      <c r="K337" s="40" t="s">
        <v>37</v>
      </c>
      <c r="L337" t="s">
        <v>1161</v>
      </c>
      <c r="M337" s="30" t="s">
        <v>48</v>
      </c>
      <c r="N337" s="30" t="s">
        <v>581</v>
      </c>
      <c r="O337" s="30" t="str">
        <f>IFERROR(VLOOKUP(Impuestos44[[#This Row],[Nro]],[4]Placas!$A:$D,4,0),"")</f>
        <v/>
      </c>
      <c r="P337" s="37"/>
      <c r="Q337" s="36"/>
      <c r="R337" s="38"/>
      <c r="S337" s="43"/>
      <c r="U337" s="40"/>
      <c r="V337" s="40"/>
      <c r="W337" s="40"/>
    </row>
    <row r="338" spans="3:23" x14ac:dyDescent="0.3">
      <c r="C338" s="35" t="str">
        <f>CONCATENATE(Impuestos44[[#This Row],[Placa Vehiculo]],Impuestos44[[#This Row],[Vales]])</f>
        <v>BUS-7774 Vales</v>
      </c>
      <c r="D338" s="36" t="s">
        <v>142</v>
      </c>
      <c r="E338" s="37" t="s">
        <v>569</v>
      </c>
      <c r="F338" s="36">
        <v>2025</v>
      </c>
      <c r="G338" s="38">
        <v>148.08000000000001</v>
      </c>
      <c r="H338" s="39"/>
      <c r="I338" t="str">
        <f>IF(Impuestos44[[#This Row],[Fecha]]="","",MONTH(Impuestos44[[#This Row],[Fecha]]))</f>
        <v/>
      </c>
      <c r="J338" s="40" t="s">
        <v>580</v>
      </c>
      <c r="K338" s="40" t="s">
        <v>37</v>
      </c>
      <c r="L338" t="s">
        <v>1161</v>
      </c>
      <c r="M338" s="30" t="s">
        <v>48</v>
      </c>
      <c r="N338" s="30" t="s">
        <v>581</v>
      </c>
      <c r="O338" s="30" t="str">
        <f>IFERROR(VLOOKUP(Impuestos44[[#This Row],[Nro]],[4]Placas!$A:$D,4,0),"")</f>
        <v/>
      </c>
      <c r="P338" s="37"/>
      <c r="Q338" s="36"/>
      <c r="R338" s="38"/>
      <c r="S338" s="43"/>
      <c r="U338" s="40"/>
      <c r="V338" s="40"/>
      <c r="W338" s="40"/>
    </row>
    <row r="339" spans="3:23" x14ac:dyDescent="0.3">
      <c r="C339" s="35" t="str">
        <f>CONCATENATE(Impuestos44[[#This Row],[Placa Vehiculo]],Impuestos44[[#This Row],[Vales]])</f>
        <v>BUS-7784 Vales</v>
      </c>
      <c r="D339" s="36" t="s">
        <v>143</v>
      </c>
      <c r="E339" s="37" t="s">
        <v>569</v>
      </c>
      <c r="F339" s="36">
        <v>2025</v>
      </c>
      <c r="G339" s="38">
        <v>148.08000000000001</v>
      </c>
      <c r="H339" s="39"/>
      <c r="I339" t="str">
        <f>IF(Impuestos44[[#This Row],[Fecha]]="","",MONTH(Impuestos44[[#This Row],[Fecha]]))</f>
        <v/>
      </c>
      <c r="J339" s="40" t="s">
        <v>580</v>
      </c>
      <c r="K339" s="40" t="s">
        <v>37</v>
      </c>
      <c r="L339" t="s">
        <v>1161</v>
      </c>
      <c r="M339" s="30" t="s">
        <v>48</v>
      </c>
      <c r="N339" s="30" t="s">
        <v>581</v>
      </c>
      <c r="O339" s="30" t="str">
        <f>IFERROR(VLOOKUP(Impuestos44[[#This Row],[Nro]],[4]Placas!$A:$D,4,0),"")</f>
        <v/>
      </c>
      <c r="P339" s="37"/>
      <c r="Q339" s="36"/>
      <c r="R339" s="38"/>
      <c r="S339" s="43"/>
      <c r="U339" s="40"/>
      <c r="V339" s="40"/>
      <c r="W339" s="40"/>
    </row>
    <row r="340" spans="3:23" x14ac:dyDescent="0.3">
      <c r="C340" s="35" t="str">
        <f>CONCATENATE(Impuestos44[[#This Row],[Placa Vehiculo]],Impuestos44[[#This Row],[Vales]])</f>
        <v>BUS-7794 Vales</v>
      </c>
      <c r="D340" s="36" t="s">
        <v>144</v>
      </c>
      <c r="E340" s="37" t="s">
        <v>569</v>
      </c>
      <c r="F340" s="36">
        <v>2025</v>
      </c>
      <c r="G340" s="38">
        <v>283.70999999999998</v>
      </c>
      <c r="H340" s="39"/>
      <c r="I340" t="str">
        <f>IF(Impuestos44[[#This Row],[Fecha]]="","",MONTH(Impuestos44[[#This Row],[Fecha]]))</f>
        <v/>
      </c>
      <c r="J340" s="40" t="s">
        <v>580</v>
      </c>
      <c r="K340" s="40" t="s">
        <v>37</v>
      </c>
      <c r="L340" t="s">
        <v>1161</v>
      </c>
      <c r="M340" s="30" t="s">
        <v>48</v>
      </c>
      <c r="N340" s="30" t="s">
        <v>581</v>
      </c>
      <c r="O340" s="30" t="str">
        <f>IFERROR(VLOOKUP(Impuestos44[[#This Row],[Nro]],[4]Placas!$A:$D,4,0),"")</f>
        <v/>
      </c>
      <c r="P340" s="37"/>
      <c r="Q340" s="36"/>
      <c r="R340" s="38"/>
      <c r="S340" s="43"/>
      <c r="U340" s="40"/>
      <c r="V340" s="40"/>
      <c r="W340" s="40"/>
    </row>
    <row r="341" spans="3:23" x14ac:dyDescent="0.3">
      <c r="C341" s="35" t="str">
        <f>CONCATENATE(Impuestos44[[#This Row],[Placa Vehiculo]],Impuestos44[[#This Row],[Vales]])</f>
        <v>BUS-7824 Vales</v>
      </c>
      <c r="D341" s="36" t="s">
        <v>145</v>
      </c>
      <c r="E341" s="37" t="s">
        <v>569</v>
      </c>
      <c r="F341" s="36">
        <v>2025</v>
      </c>
      <c r="G341" s="38">
        <v>283.70999999999998</v>
      </c>
      <c r="H341" s="39"/>
      <c r="I341" t="str">
        <f>IF(Impuestos44[[#This Row],[Fecha]]="","",MONTH(Impuestos44[[#This Row],[Fecha]]))</f>
        <v/>
      </c>
      <c r="J341" s="40" t="s">
        <v>580</v>
      </c>
      <c r="K341" s="40" t="s">
        <v>37</v>
      </c>
      <c r="L341" t="s">
        <v>1161</v>
      </c>
      <c r="M341" s="30" t="s">
        <v>48</v>
      </c>
      <c r="N341" s="30" t="s">
        <v>581</v>
      </c>
      <c r="O341" s="30" t="str">
        <f>IFERROR(VLOOKUP(Impuestos44[[#This Row],[Nro]],[4]Placas!$A:$D,4,0),"")</f>
        <v/>
      </c>
      <c r="P341" s="37"/>
      <c r="Q341" s="36"/>
      <c r="R341" s="38"/>
      <c r="S341" s="43"/>
      <c r="U341" s="40"/>
      <c r="V341" s="40"/>
      <c r="W341" s="40"/>
    </row>
    <row r="342" spans="3:23" x14ac:dyDescent="0.3">
      <c r="C342" s="35" t="str">
        <f>CONCATENATE(Impuestos44[[#This Row],[Placa Vehiculo]],Impuestos44[[#This Row],[Vales]])</f>
        <v>BUS-8014 Vales</v>
      </c>
      <c r="D342" s="36" t="s">
        <v>146</v>
      </c>
      <c r="E342" s="37" t="s">
        <v>569</v>
      </c>
      <c r="F342" s="36">
        <v>2025</v>
      </c>
      <c r="G342" s="38">
        <v>283.70999999999998</v>
      </c>
      <c r="H342" s="39"/>
      <c r="I342" t="str">
        <f>IF(Impuestos44[[#This Row],[Fecha]]="","",MONTH(Impuestos44[[#This Row],[Fecha]]))</f>
        <v/>
      </c>
      <c r="J342" s="40" t="s">
        <v>580</v>
      </c>
      <c r="K342" s="40" t="s">
        <v>37</v>
      </c>
      <c r="L342" t="s">
        <v>1161</v>
      </c>
      <c r="M342" s="30" t="s">
        <v>48</v>
      </c>
      <c r="N342" s="30" t="s">
        <v>581</v>
      </c>
      <c r="O342" s="30" t="str">
        <f>IFERROR(VLOOKUP(Impuestos44[[#This Row],[Nro]],[4]Placas!$A:$D,4,0),"")</f>
        <v/>
      </c>
      <c r="P342" s="37"/>
      <c r="Q342" s="36"/>
      <c r="R342" s="38"/>
      <c r="S342" s="43"/>
      <c r="U342" s="40"/>
      <c r="V342" s="40"/>
      <c r="W342" s="40"/>
    </row>
    <row r="343" spans="3:23" x14ac:dyDescent="0.3">
      <c r="C343" s="35" t="str">
        <f>CONCATENATE(Impuestos44[[#This Row],[Placa Vehiculo]],Impuestos44[[#This Row],[Vales]])</f>
        <v>BUS-8024 Vales</v>
      </c>
      <c r="D343" s="36" t="s">
        <v>147</v>
      </c>
      <c r="E343" s="37" t="s">
        <v>569</v>
      </c>
      <c r="F343" s="36">
        <v>2025</v>
      </c>
      <c r="G343" s="38">
        <v>283.70999999999998</v>
      </c>
      <c r="H343" s="39"/>
      <c r="I343" t="str">
        <f>IF(Impuestos44[[#This Row],[Fecha]]="","",MONTH(Impuestos44[[#This Row],[Fecha]]))</f>
        <v/>
      </c>
      <c r="J343" s="40" t="s">
        <v>580</v>
      </c>
      <c r="K343" s="40" t="s">
        <v>37</v>
      </c>
      <c r="L343" t="s">
        <v>1161</v>
      </c>
      <c r="M343" s="30" t="s">
        <v>48</v>
      </c>
      <c r="N343" s="30" t="s">
        <v>581</v>
      </c>
      <c r="O343" s="30" t="str">
        <f>IFERROR(VLOOKUP(Impuestos44[[#This Row],[Nro]],[4]Placas!$A:$D,4,0),"")</f>
        <v/>
      </c>
      <c r="P343" s="37"/>
      <c r="Q343" s="36"/>
      <c r="R343" s="38"/>
      <c r="S343" s="43"/>
      <c r="U343" s="40"/>
      <c r="V343" s="40"/>
      <c r="W343" s="40"/>
    </row>
    <row r="344" spans="3:23" x14ac:dyDescent="0.3">
      <c r="C344" s="35" t="str">
        <f>CONCATENATE(Impuestos44[[#This Row],[Placa Vehiculo]],Impuestos44[[#This Row],[Vales]])</f>
        <v>BUS-7274 Vales</v>
      </c>
      <c r="D344" s="36" t="s">
        <v>148</v>
      </c>
      <c r="E344" s="37" t="s">
        <v>569</v>
      </c>
      <c r="F344" s="36">
        <v>2025</v>
      </c>
      <c r="G344" s="38">
        <v>283.70999999999998</v>
      </c>
      <c r="H344" s="39"/>
      <c r="I344" t="str">
        <f>IF(Impuestos44[[#This Row],[Fecha]]="","",MONTH(Impuestos44[[#This Row],[Fecha]]))</f>
        <v/>
      </c>
      <c r="J344" s="40" t="s">
        <v>580</v>
      </c>
      <c r="K344" s="40" t="s">
        <v>37</v>
      </c>
      <c r="L344" t="s">
        <v>1161</v>
      </c>
      <c r="M344" s="30" t="s">
        <v>48</v>
      </c>
      <c r="N344" s="30" t="s">
        <v>581</v>
      </c>
      <c r="O344" s="30" t="str">
        <f>IFERROR(VLOOKUP(Impuestos44[[#This Row],[Nro]],[4]Placas!$A:$D,4,0),"")</f>
        <v/>
      </c>
      <c r="P344" s="37"/>
      <c r="Q344" s="36"/>
      <c r="R344" s="38"/>
      <c r="S344" s="43"/>
      <c r="U344" s="40"/>
      <c r="V344" s="40"/>
      <c r="W344" s="40"/>
    </row>
    <row r="345" spans="3:23" x14ac:dyDescent="0.3">
      <c r="C345" s="35" t="str">
        <f>CONCATENATE(Impuestos44[[#This Row],[Placa Vehiculo]],Impuestos44[[#This Row],[Vales]])</f>
        <v>BUS-8164 Vales</v>
      </c>
      <c r="D345" s="36" t="s">
        <v>149</v>
      </c>
      <c r="E345" s="37" t="s">
        <v>569</v>
      </c>
      <c r="F345" s="36">
        <v>2025</v>
      </c>
      <c r="G345" s="38">
        <v>283.70999999999998</v>
      </c>
      <c r="H345" s="39"/>
      <c r="I345" t="str">
        <f>IF(Impuestos44[[#This Row],[Fecha]]="","",MONTH(Impuestos44[[#This Row],[Fecha]]))</f>
        <v/>
      </c>
      <c r="J345" s="40" t="s">
        <v>580</v>
      </c>
      <c r="K345" s="40" t="s">
        <v>37</v>
      </c>
      <c r="L345" t="s">
        <v>1161</v>
      </c>
      <c r="M345" s="30" t="s">
        <v>48</v>
      </c>
      <c r="N345" s="30" t="s">
        <v>581</v>
      </c>
      <c r="O345" s="30" t="str">
        <f>IFERROR(VLOOKUP(Impuestos44[[#This Row],[Nro]],[4]Placas!$A:$D,4,0),"")</f>
        <v/>
      </c>
      <c r="P345" s="37"/>
      <c r="Q345" s="36"/>
      <c r="R345" s="38"/>
      <c r="S345" s="43"/>
      <c r="U345" s="40"/>
      <c r="V345" s="40"/>
      <c r="W345" s="40"/>
    </row>
    <row r="346" spans="3:23" x14ac:dyDescent="0.3">
      <c r="C346" s="35" t="str">
        <f>CONCATENATE(Impuestos44[[#This Row],[Placa Vehiculo]],Impuestos44[[#This Row],[Vales]])</f>
        <v>BUS-8624 Vales</v>
      </c>
      <c r="D346" s="36" t="s">
        <v>150</v>
      </c>
      <c r="E346" s="37" t="s">
        <v>569</v>
      </c>
      <c r="F346" s="36">
        <v>2025</v>
      </c>
      <c r="G346" s="38">
        <v>283.70999999999998</v>
      </c>
      <c r="H346" s="39"/>
      <c r="I346" t="str">
        <f>IF(Impuestos44[[#This Row],[Fecha]]="","",MONTH(Impuestos44[[#This Row],[Fecha]]))</f>
        <v/>
      </c>
      <c r="J346" s="40" t="s">
        <v>580</v>
      </c>
      <c r="K346" s="40" t="s">
        <v>37</v>
      </c>
      <c r="L346" t="s">
        <v>1161</v>
      </c>
      <c r="M346" s="30" t="s">
        <v>48</v>
      </c>
      <c r="N346" s="30" t="s">
        <v>581</v>
      </c>
      <c r="O346" s="30" t="str">
        <f>IFERROR(VLOOKUP(Impuestos44[[#This Row],[Nro]],[4]Placas!$A:$D,4,0),"")</f>
        <v/>
      </c>
      <c r="P346" s="37"/>
      <c r="Q346" s="36"/>
      <c r="R346" s="38"/>
      <c r="S346" s="43"/>
      <c r="U346" s="40"/>
      <c r="V346" s="40"/>
      <c r="W346" s="40"/>
    </row>
    <row r="347" spans="3:23" x14ac:dyDescent="0.3">
      <c r="C347" s="35" t="str">
        <f>CONCATENATE(Impuestos44[[#This Row],[Placa Vehiculo]],Impuestos44[[#This Row],[Vales]])</f>
        <v>BUS-8634 Vales</v>
      </c>
      <c r="D347" s="36" t="s">
        <v>151</v>
      </c>
      <c r="E347" s="37" t="s">
        <v>569</v>
      </c>
      <c r="F347" s="36">
        <v>2025</v>
      </c>
      <c r="G347" s="38">
        <v>283.70999999999998</v>
      </c>
      <c r="H347" s="39"/>
      <c r="I347" t="str">
        <f>IF(Impuestos44[[#This Row],[Fecha]]="","",MONTH(Impuestos44[[#This Row],[Fecha]]))</f>
        <v/>
      </c>
      <c r="J347" s="40" t="s">
        <v>580</v>
      </c>
      <c r="K347" s="40" t="s">
        <v>37</v>
      </c>
      <c r="L347" t="s">
        <v>1161</v>
      </c>
      <c r="M347" s="30" t="s">
        <v>48</v>
      </c>
      <c r="N347" s="30" t="s">
        <v>581</v>
      </c>
      <c r="O347" s="30" t="str">
        <f>IFERROR(VLOOKUP(Impuestos44[[#This Row],[Nro]],[4]Placas!$A:$D,4,0),"")</f>
        <v/>
      </c>
      <c r="P347" s="37"/>
      <c r="Q347" s="36"/>
      <c r="R347" s="38"/>
      <c r="S347" s="43"/>
      <c r="U347" s="40"/>
      <c r="V347" s="40"/>
      <c r="W347" s="40"/>
    </row>
    <row r="348" spans="3:23" x14ac:dyDescent="0.3">
      <c r="C348" s="35" t="str">
        <f>CONCATENATE(Impuestos44[[#This Row],[Placa Vehiculo]],Impuestos44[[#This Row],[Vales]])</f>
        <v>BUS-7184 Vales</v>
      </c>
      <c r="D348" s="36" t="s">
        <v>152</v>
      </c>
      <c r="E348" s="37" t="s">
        <v>569</v>
      </c>
      <c r="F348" s="36">
        <v>2025</v>
      </c>
      <c r="G348" s="38">
        <v>283.70999999999998</v>
      </c>
      <c r="H348" s="39"/>
      <c r="I348" t="str">
        <f>IF(Impuestos44[[#This Row],[Fecha]]="","",MONTH(Impuestos44[[#This Row],[Fecha]]))</f>
        <v/>
      </c>
      <c r="J348" s="40" t="s">
        <v>580</v>
      </c>
      <c r="K348" s="40" t="s">
        <v>37</v>
      </c>
      <c r="L348" t="s">
        <v>1161</v>
      </c>
      <c r="M348" s="30" t="s">
        <v>48</v>
      </c>
      <c r="N348" s="30" t="s">
        <v>581</v>
      </c>
      <c r="O348" s="30" t="str">
        <f>IFERROR(VLOOKUP(Impuestos44[[#This Row],[Nro]],[4]Placas!$A:$D,4,0),"")</f>
        <v/>
      </c>
      <c r="P348" s="37"/>
      <c r="Q348" s="36"/>
      <c r="R348" s="38"/>
      <c r="S348" s="43"/>
      <c r="U348" s="40"/>
      <c r="V348" s="40"/>
      <c r="W348" s="40"/>
    </row>
    <row r="349" spans="3:23" x14ac:dyDescent="0.3">
      <c r="C349" s="35" t="str">
        <f>CONCATENATE(Impuestos44[[#This Row],[Placa Vehiculo]],Impuestos44[[#This Row],[Vales]])</f>
        <v>CFG-0234 Vales</v>
      </c>
      <c r="D349" s="36" t="s">
        <v>110</v>
      </c>
      <c r="E349" s="37" t="s">
        <v>569</v>
      </c>
      <c r="F349" s="36">
        <v>2025</v>
      </c>
      <c r="G349" s="38">
        <v>240.28</v>
      </c>
      <c r="H349" s="39"/>
      <c r="I349" t="str">
        <f>IF(Impuestos44[[#This Row],[Fecha]]="","",MONTH(Impuestos44[[#This Row],[Fecha]]))</f>
        <v/>
      </c>
      <c r="J349" s="40" t="s">
        <v>580</v>
      </c>
      <c r="K349" s="40" t="s">
        <v>37</v>
      </c>
      <c r="L349" t="s">
        <v>1161</v>
      </c>
      <c r="M349" s="30" t="s">
        <v>56</v>
      </c>
      <c r="N349" s="30" t="s">
        <v>581</v>
      </c>
      <c r="O349" s="30" t="str">
        <f>IFERROR(VLOOKUP(Impuestos44[[#This Row],[Nro]],[4]Placas!$A:$D,4,0),"")</f>
        <v/>
      </c>
      <c r="P349" s="37"/>
      <c r="Q349" s="36"/>
      <c r="R349" s="38"/>
      <c r="S349" s="43"/>
      <c r="U349" s="40"/>
      <c r="V349" s="40"/>
      <c r="W349" s="40"/>
    </row>
    <row r="350" spans="3:23" x14ac:dyDescent="0.3">
      <c r="C350" s="35" t="str">
        <f>CONCATENATE(Impuestos44[[#This Row],[Placa Vehiculo]],Impuestos44[[#This Row],[Vales]])</f>
        <v>CFF-5034 Vales</v>
      </c>
      <c r="D350" s="36" t="s">
        <v>114</v>
      </c>
      <c r="E350" s="37" t="s">
        <v>569</v>
      </c>
      <c r="F350" s="36">
        <v>2025</v>
      </c>
      <c r="G350" s="38">
        <v>240.28</v>
      </c>
      <c r="H350" s="39"/>
      <c r="I350" t="str">
        <f>IF(Impuestos44[[#This Row],[Fecha]]="","",MONTH(Impuestos44[[#This Row],[Fecha]]))</f>
        <v/>
      </c>
      <c r="J350" s="40" t="s">
        <v>580</v>
      </c>
      <c r="K350" s="40" t="s">
        <v>37</v>
      </c>
      <c r="L350" t="s">
        <v>1161</v>
      </c>
      <c r="M350" s="30" t="s">
        <v>56</v>
      </c>
      <c r="N350" s="30" t="s">
        <v>581</v>
      </c>
      <c r="O350" s="30" t="str">
        <f>IFERROR(VLOOKUP(Impuestos44[[#This Row],[Nro]],[4]Placas!$A:$D,4,0),"")</f>
        <v/>
      </c>
      <c r="P350" s="37"/>
      <c r="Q350" s="36"/>
      <c r="R350" s="38"/>
      <c r="S350" s="43"/>
      <c r="U350" s="40"/>
      <c r="V350" s="40"/>
      <c r="W350" s="40"/>
    </row>
    <row r="351" spans="3:23" x14ac:dyDescent="0.3">
      <c r="C351" s="35" t="str">
        <f>CONCATENATE(Impuestos44[[#This Row],[Placa Vehiculo]],Impuestos44[[#This Row],[Vales]])</f>
        <v>BYR-9444 Vales</v>
      </c>
      <c r="D351" s="36" t="s">
        <v>153</v>
      </c>
      <c r="E351" s="37" t="s">
        <v>569</v>
      </c>
      <c r="F351" s="36">
        <v>2025</v>
      </c>
      <c r="G351" s="38">
        <v>356.83</v>
      </c>
      <c r="H351" s="39"/>
      <c r="I351" t="str">
        <f>IF(Impuestos44[[#This Row],[Fecha]]="","",MONTH(Impuestos44[[#This Row],[Fecha]]))</f>
        <v/>
      </c>
      <c r="J351" s="40" t="s">
        <v>580</v>
      </c>
      <c r="K351" s="40" t="s">
        <v>37</v>
      </c>
      <c r="L351" t="s">
        <v>1161</v>
      </c>
      <c r="M351" s="30" t="s">
        <v>48</v>
      </c>
      <c r="N351" s="30" t="s">
        <v>581</v>
      </c>
      <c r="O351" s="30" t="str">
        <f>IFERROR(VLOOKUP(Impuestos44[[#This Row],[Nro]],[4]Placas!$A:$D,4,0),"")</f>
        <v/>
      </c>
      <c r="P351" s="37"/>
      <c r="Q351" s="36"/>
      <c r="R351" s="38"/>
      <c r="S351" s="43"/>
      <c r="U351" s="40"/>
      <c r="V351" s="40"/>
      <c r="W351" s="40"/>
    </row>
    <row r="352" spans="3:23" x14ac:dyDescent="0.3">
      <c r="C352" s="35" t="str">
        <f>CONCATENATE(Impuestos44[[#This Row],[Placa Vehiculo]],Impuestos44[[#This Row],[Vales]])</f>
        <v>BYR-9484 Vales</v>
      </c>
      <c r="D352" s="36" t="s">
        <v>154</v>
      </c>
      <c r="E352" s="37" t="s">
        <v>569</v>
      </c>
      <c r="F352" s="36">
        <v>2025</v>
      </c>
      <c r="G352" s="38">
        <v>356.83</v>
      </c>
      <c r="H352" s="39"/>
      <c r="I352" t="str">
        <f>IF(Impuestos44[[#This Row],[Fecha]]="","",MONTH(Impuestos44[[#This Row],[Fecha]]))</f>
        <v/>
      </c>
      <c r="J352" s="40" t="s">
        <v>580</v>
      </c>
      <c r="K352" s="40" t="s">
        <v>37</v>
      </c>
      <c r="L352" t="s">
        <v>1161</v>
      </c>
      <c r="M352" s="30" t="s">
        <v>48</v>
      </c>
      <c r="N352" s="30" t="s">
        <v>581</v>
      </c>
      <c r="O352" s="30" t="str">
        <f>IFERROR(VLOOKUP(Impuestos44[[#This Row],[Nro]],[4]Placas!$A:$D,4,0),"")</f>
        <v/>
      </c>
      <c r="P352" s="37"/>
      <c r="Q352" s="36"/>
      <c r="R352" s="38"/>
      <c r="S352" s="43"/>
      <c r="U352" s="40"/>
      <c r="V352" s="40"/>
      <c r="W352" s="40"/>
    </row>
    <row r="353" spans="3:23" x14ac:dyDescent="0.3">
      <c r="C353" s="35" t="str">
        <f>CONCATENATE(Impuestos44[[#This Row],[Placa Vehiculo]],Impuestos44[[#This Row],[Vales]])</f>
        <v>BYS-7644 Vales</v>
      </c>
      <c r="D353" s="36" t="s">
        <v>155</v>
      </c>
      <c r="E353" s="37" t="s">
        <v>569</v>
      </c>
      <c r="F353" s="36">
        <v>2025</v>
      </c>
      <c r="G353" s="38">
        <v>356.83</v>
      </c>
      <c r="H353" s="39"/>
      <c r="I353" t="str">
        <f>IF(Impuestos44[[#This Row],[Fecha]]="","",MONTH(Impuestos44[[#This Row],[Fecha]]))</f>
        <v/>
      </c>
      <c r="J353" s="40" t="s">
        <v>580</v>
      </c>
      <c r="K353" s="40" t="s">
        <v>37</v>
      </c>
      <c r="L353" t="s">
        <v>1161</v>
      </c>
      <c r="M353" s="30" t="s">
        <v>48</v>
      </c>
      <c r="N353" s="30" t="s">
        <v>581</v>
      </c>
      <c r="O353" s="30" t="str">
        <f>IFERROR(VLOOKUP(Impuestos44[[#This Row],[Nro]],[4]Placas!$A:$D,4,0),"")</f>
        <v/>
      </c>
      <c r="P353" s="37"/>
      <c r="Q353" s="36"/>
      <c r="R353" s="38"/>
      <c r="S353" s="43"/>
      <c r="U353" s="40"/>
      <c r="V353" s="40"/>
      <c r="W353" s="40"/>
    </row>
    <row r="354" spans="3:23" x14ac:dyDescent="0.3">
      <c r="C354" s="35" t="str">
        <f>CONCATENATE(Impuestos44[[#This Row],[Placa Vehiculo]],Impuestos44[[#This Row],[Vales]])</f>
        <v>BYS-7934 Vales</v>
      </c>
      <c r="D354" s="36" t="s">
        <v>156</v>
      </c>
      <c r="E354" s="37" t="s">
        <v>569</v>
      </c>
      <c r="F354" s="36">
        <v>2025</v>
      </c>
      <c r="G354" s="38">
        <v>356.83</v>
      </c>
      <c r="H354" s="39"/>
      <c r="I354" t="str">
        <f>IF(Impuestos44[[#This Row],[Fecha]]="","",MONTH(Impuestos44[[#This Row],[Fecha]]))</f>
        <v/>
      </c>
      <c r="J354" s="40" t="s">
        <v>580</v>
      </c>
      <c r="K354" s="40" t="s">
        <v>37</v>
      </c>
      <c r="L354" t="s">
        <v>1161</v>
      </c>
      <c r="M354" s="30" t="s">
        <v>48</v>
      </c>
      <c r="N354" s="30" t="s">
        <v>581</v>
      </c>
      <c r="O354" s="30" t="str">
        <f>IFERROR(VLOOKUP(Impuestos44[[#This Row],[Nro]],[4]Placas!$A:$D,4,0),"")</f>
        <v/>
      </c>
      <c r="P354" s="37"/>
      <c r="Q354" s="36"/>
      <c r="R354" s="38"/>
      <c r="S354" s="43"/>
      <c r="U354" s="40"/>
      <c r="V354" s="40"/>
      <c r="W354" s="40"/>
    </row>
    <row r="355" spans="3:23" x14ac:dyDescent="0.3">
      <c r="C355" s="35" t="str">
        <f>CONCATENATE(Impuestos44[[#This Row],[Placa Vehiculo]],Impuestos44[[#This Row],[Vales]])</f>
        <v>BYS-7994 Vales</v>
      </c>
      <c r="D355" s="36" t="s">
        <v>157</v>
      </c>
      <c r="E355" s="37" t="s">
        <v>569</v>
      </c>
      <c r="F355" s="36">
        <v>2025</v>
      </c>
      <c r="G355" s="38">
        <v>356.83</v>
      </c>
      <c r="H355" s="39"/>
      <c r="I355" t="str">
        <f>IF(Impuestos44[[#This Row],[Fecha]]="","",MONTH(Impuestos44[[#This Row],[Fecha]]))</f>
        <v/>
      </c>
      <c r="J355" s="40" t="s">
        <v>580</v>
      </c>
      <c r="K355" s="40" t="s">
        <v>37</v>
      </c>
      <c r="L355" t="s">
        <v>1161</v>
      </c>
      <c r="M355" s="30" t="s">
        <v>48</v>
      </c>
      <c r="N355" s="30" t="s">
        <v>581</v>
      </c>
      <c r="O355" s="30" t="str">
        <f>IFERROR(VLOOKUP(Impuestos44[[#This Row],[Nro]],[4]Placas!$A:$D,4,0),"")</f>
        <v/>
      </c>
      <c r="P355" s="37"/>
      <c r="Q355" s="36"/>
      <c r="R355" s="38"/>
      <c r="S355" s="43"/>
      <c r="U355" s="40"/>
      <c r="V355" s="40"/>
      <c r="W355" s="40"/>
    </row>
    <row r="356" spans="3:23" x14ac:dyDescent="0.3">
      <c r="C356" s="35" t="str">
        <f>CONCATENATE(Impuestos44[[#This Row],[Placa Vehiculo]],Impuestos44[[#This Row],[Vales]])</f>
        <v>BYS-8004 Vales</v>
      </c>
      <c r="D356" s="36" t="s">
        <v>158</v>
      </c>
      <c r="E356" s="37" t="s">
        <v>569</v>
      </c>
      <c r="F356" s="36">
        <v>2025</v>
      </c>
      <c r="G356" s="38">
        <v>356.83</v>
      </c>
      <c r="H356" s="39"/>
      <c r="I356" t="str">
        <f>IF(Impuestos44[[#This Row],[Fecha]]="","",MONTH(Impuestos44[[#This Row],[Fecha]]))</f>
        <v/>
      </c>
      <c r="J356" s="40" t="s">
        <v>580</v>
      </c>
      <c r="K356" s="40" t="s">
        <v>37</v>
      </c>
      <c r="L356" t="s">
        <v>1161</v>
      </c>
      <c r="M356" s="30" t="s">
        <v>48</v>
      </c>
      <c r="N356" s="30" t="s">
        <v>581</v>
      </c>
      <c r="O356" s="30" t="str">
        <f>IFERROR(VLOOKUP(Impuestos44[[#This Row],[Nro]],[4]Placas!$A:$D,4,0),"")</f>
        <v/>
      </c>
      <c r="P356" s="37"/>
      <c r="Q356" s="36"/>
      <c r="R356" s="38"/>
      <c r="S356" s="43"/>
      <c r="U356" s="40"/>
      <c r="V356" s="40"/>
      <c r="W356" s="40"/>
    </row>
    <row r="357" spans="3:23" x14ac:dyDescent="0.3">
      <c r="C357" s="35" t="str">
        <f>CONCATENATE(Impuestos44[[#This Row],[Placa Vehiculo]],Impuestos44[[#This Row],[Vales]])</f>
        <v>BYS-8454 Vales</v>
      </c>
      <c r="D357" s="36" t="s">
        <v>159</v>
      </c>
      <c r="E357" s="37" t="s">
        <v>569</v>
      </c>
      <c r="F357" s="36">
        <v>2025</v>
      </c>
      <c r="G357" s="38">
        <v>356.83</v>
      </c>
      <c r="H357" s="39"/>
      <c r="I357" t="str">
        <f>IF(Impuestos44[[#This Row],[Fecha]]="","",MONTH(Impuestos44[[#This Row],[Fecha]]))</f>
        <v/>
      </c>
      <c r="J357" s="40" t="s">
        <v>580</v>
      </c>
      <c r="K357" s="40" t="s">
        <v>37</v>
      </c>
      <c r="L357" t="s">
        <v>1161</v>
      </c>
      <c r="M357" s="30" t="s">
        <v>48</v>
      </c>
      <c r="N357" s="30" t="s">
        <v>581</v>
      </c>
      <c r="O357" s="30" t="str">
        <f>IFERROR(VLOOKUP(Impuestos44[[#This Row],[Nro]],[4]Placas!$A:$D,4,0),"")</f>
        <v/>
      </c>
      <c r="P357" s="37"/>
      <c r="Q357" s="36"/>
      <c r="R357" s="38"/>
      <c r="S357" s="43"/>
      <c r="U357" s="40"/>
      <c r="V357" s="40"/>
      <c r="W357" s="40"/>
    </row>
    <row r="358" spans="3:23" x14ac:dyDescent="0.3">
      <c r="C358" s="35" t="str">
        <f>CONCATENATE(Impuestos44[[#This Row],[Placa Vehiculo]],Impuestos44[[#This Row],[Vales]])</f>
        <v>CNL-0764 Vales</v>
      </c>
      <c r="D358" s="36" t="s">
        <v>91</v>
      </c>
      <c r="E358" s="37" t="s">
        <v>569</v>
      </c>
      <c r="F358" s="36">
        <v>2025</v>
      </c>
      <c r="G358" s="38">
        <v>350.68</v>
      </c>
      <c r="H358" s="39"/>
      <c r="I358" t="str">
        <f>IF(Impuestos44[[#This Row],[Fecha]]="","",MONTH(Impuestos44[[#This Row],[Fecha]]))</f>
        <v/>
      </c>
      <c r="J358" s="40" t="s">
        <v>580</v>
      </c>
      <c r="K358" s="40" t="s">
        <v>37</v>
      </c>
      <c r="L358" t="s">
        <v>1161</v>
      </c>
      <c r="M358" s="30" t="s">
        <v>54</v>
      </c>
      <c r="N358" s="30" t="s">
        <v>581</v>
      </c>
      <c r="O358" s="30" t="str">
        <f>IFERROR(VLOOKUP(Impuestos44[[#This Row],[Nro]],[4]Placas!$A:$D,4,0),"")</f>
        <v/>
      </c>
      <c r="P358" s="37"/>
      <c r="Q358" s="36"/>
      <c r="R358" s="38"/>
      <c r="S358" s="43"/>
      <c r="U358" s="40"/>
      <c r="V358" s="40"/>
      <c r="W358" s="40"/>
    </row>
    <row r="359" spans="3:23" x14ac:dyDescent="0.3">
      <c r="C359" s="35" t="str">
        <f>CONCATENATE(Impuestos44[[#This Row],[Placa Vehiculo]],Impuestos44[[#This Row],[Vales]])</f>
        <v>CNK-6224 Vales</v>
      </c>
      <c r="D359" s="36" t="s">
        <v>72</v>
      </c>
      <c r="E359" s="37" t="s">
        <v>569</v>
      </c>
      <c r="F359" s="36">
        <v>2025</v>
      </c>
      <c r="G359" s="38">
        <v>325.24</v>
      </c>
      <c r="H359" s="39"/>
      <c r="I359" t="str">
        <f>IF(Impuestos44[[#This Row],[Fecha]]="","",MONTH(Impuestos44[[#This Row],[Fecha]]))</f>
        <v/>
      </c>
      <c r="J359" s="40" t="s">
        <v>580</v>
      </c>
      <c r="K359" s="40" t="s">
        <v>37</v>
      </c>
      <c r="L359" t="s">
        <v>1161</v>
      </c>
      <c r="M359" s="30" t="s">
        <v>54</v>
      </c>
      <c r="N359" s="30" t="s">
        <v>581</v>
      </c>
      <c r="O359" s="30" t="str">
        <f>IFERROR(VLOOKUP(Impuestos44[[#This Row],[Nro]],[4]Placas!$A:$D,4,0),"")</f>
        <v/>
      </c>
      <c r="P359" s="37"/>
      <c r="Q359" s="36"/>
      <c r="R359" s="38"/>
      <c r="S359" s="43"/>
      <c r="U359" s="40"/>
      <c r="V359" s="40"/>
      <c r="W359" s="40"/>
    </row>
    <row r="360" spans="3:23" x14ac:dyDescent="0.3">
      <c r="C360" s="35" t="str">
        <f>CONCATENATE(Impuestos44[[#This Row],[Placa Vehiculo]],Impuestos44[[#This Row],[Vales]])</f>
        <v>CNL-0744 Vales</v>
      </c>
      <c r="D360" s="36" t="s">
        <v>74</v>
      </c>
      <c r="E360" s="37" t="s">
        <v>569</v>
      </c>
      <c r="F360" s="36">
        <v>2025</v>
      </c>
      <c r="G360" s="38">
        <v>325.24</v>
      </c>
      <c r="H360" s="39"/>
      <c r="I360" t="str">
        <f>IF(Impuestos44[[#This Row],[Fecha]]="","",MONTH(Impuestos44[[#This Row],[Fecha]]))</f>
        <v/>
      </c>
      <c r="J360" s="40" t="s">
        <v>580</v>
      </c>
      <c r="K360" s="40" t="s">
        <v>37</v>
      </c>
      <c r="L360" t="s">
        <v>1161</v>
      </c>
      <c r="M360" s="30" t="s">
        <v>54</v>
      </c>
      <c r="N360" s="30" t="s">
        <v>581</v>
      </c>
      <c r="O360" s="30" t="str">
        <f>IFERROR(VLOOKUP(Impuestos44[[#This Row],[Nro]],[4]Placas!$A:$D,4,0),"")</f>
        <v/>
      </c>
      <c r="P360" s="37"/>
      <c r="Q360" s="36"/>
      <c r="R360" s="38"/>
      <c r="S360" s="43"/>
      <c r="U360" s="40"/>
      <c r="V360" s="40"/>
      <c r="W360" s="40"/>
    </row>
    <row r="361" spans="3:23" x14ac:dyDescent="0.3">
      <c r="C361" s="35" t="str">
        <f>CONCATENATE(Impuestos44[[#This Row],[Placa Vehiculo]],Impuestos44[[#This Row],[Vales]])</f>
        <v>CNK-5424 Vales</v>
      </c>
      <c r="D361" s="36" t="s">
        <v>93</v>
      </c>
      <c r="E361" s="37" t="s">
        <v>569</v>
      </c>
      <c r="F361" s="36">
        <v>2025</v>
      </c>
      <c r="G361" s="38">
        <v>350.68</v>
      </c>
      <c r="H361" s="39"/>
      <c r="I361" t="str">
        <f>IF(Impuestos44[[#This Row],[Fecha]]="","",MONTH(Impuestos44[[#This Row],[Fecha]]))</f>
        <v/>
      </c>
      <c r="J361" s="40" t="s">
        <v>580</v>
      </c>
      <c r="K361" s="40" t="s">
        <v>37</v>
      </c>
      <c r="L361" t="s">
        <v>1161</v>
      </c>
      <c r="M361" s="30" t="s">
        <v>54</v>
      </c>
      <c r="N361" s="30" t="s">
        <v>581</v>
      </c>
      <c r="O361" s="30" t="str">
        <f>IFERROR(VLOOKUP(Impuestos44[[#This Row],[Nro]],[4]Placas!$A:$D,4,0),"")</f>
        <v/>
      </c>
      <c r="P361" s="37"/>
      <c r="Q361" s="36"/>
      <c r="R361" s="38"/>
      <c r="S361" s="43"/>
      <c r="U361" s="40"/>
      <c r="V361" s="40"/>
      <c r="W361" s="40"/>
    </row>
    <row r="362" spans="3:23" x14ac:dyDescent="0.3">
      <c r="C362" s="35" t="str">
        <f>CONCATENATE(Impuestos44[[#This Row],[Placa Vehiculo]],Impuestos44[[#This Row],[Vales]])</f>
        <v>CNL-0094 Vales</v>
      </c>
      <c r="D362" s="36" t="s">
        <v>94</v>
      </c>
      <c r="E362" s="37" t="s">
        <v>569</v>
      </c>
      <c r="F362" s="36">
        <v>2025</v>
      </c>
      <c r="G362" s="38">
        <v>350.68</v>
      </c>
      <c r="H362" s="39"/>
      <c r="I362" t="str">
        <f>IF(Impuestos44[[#This Row],[Fecha]]="","",MONTH(Impuestos44[[#This Row],[Fecha]]))</f>
        <v/>
      </c>
      <c r="J362" s="40" t="s">
        <v>580</v>
      </c>
      <c r="K362" s="40" t="s">
        <v>37</v>
      </c>
      <c r="L362" t="s">
        <v>1161</v>
      </c>
      <c r="M362" s="30" t="s">
        <v>54</v>
      </c>
      <c r="N362" s="30" t="s">
        <v>581</v>
      </c>
      <c r="O362" s="30" t="str">
        <f>IFERROR(VLOOKUP(Impuestos44[[#This Row],[Nro]],[4]Placas!$A:$D,4,0),"")</f>
        <v/>
      </c>
      <c r="P362" s="37"/>
      <c r="Q362" s="36"/>
      <c r="R362" s="38"/>
      <c r="S362" s="43"/>
      <c r="U362" s="40"/>
      <c r="V362" s="40"/>
      <c r="W362" s="40"/>
    </row>
    <row r="363" spans="3:23" x14ac:dyDescent="0.3">
      <c r="C363" s="35" t="str">
        <f>CONCATENATE(Impuestos44[[#This Row],[Placa Vehiculo]],Impuestos44[[#This Row],[Vales]])</f>
        <v>CNK-5034 Vales</v>
      </c>
      <c r="D363" s="36" t="s">
        <v>95</v>
      </c>
      <c r="E363" s="37" t="s">
        <v>569</v>
      </c>
      <c r="F363" s="36">
        <v>2025</v>
      </c>
      <c r="G363" s="38">
        <v>350.68</v>
      </c>
      <c r="H363" s="39"/>
      <c r="I363" t="str">
        <f>IF(Impuestos44[[#This Row],[Fecha]]="","",MONTH(Impuestos44[[#This Row],[Fecha]]))</f>
        <v/>
      </c>
      <c r="J363" s="40" t="s">
        <v>580</v>
      </c>
      <c r="K363" s="40" t="s">
        <v>37</v>
      </c>
      <c r="L363" t="s">
        <v>1161</v>
      </c>
      <c r="M363" s="30" t="s">
        <v>54</v>
      </c>
      <c r="N363" s="30" t="s">
        <v>581</v>
      </c>
      <c r="O363" s="30" t="str">
        <f>IFERROR(VLOOKUP(Impuestos44[[#This Row],[Nro]],[4]Placas!$A:$D,4,0),"")</f>
        <v/>
      </c>
      <c r="P363" s="37"/>
      <c r="Q363" s="36"/>
      <c r="R363" s="38"/>
      <c r="S363" s="43"/>
      <c r="U363" s="40"/>
      <c r="V363" s="40"/>
      <c r="W363" s="40"/>
    </row>
    <row r="364" spans="3:23" x14ac:dyDescent="0.3">
      <c r="C364" s="35" t="str">
        <f>CONCATENATE(Impuestos44[[#This Row],[Placa Vehiculo]],Impuestos44[[#This Row],[Vales]])</f>
        <v>CNK-6754 Vales</v>
      </c>
      <c r="D364" s="36" t="s">
        <v>75</v>
      </c>
      <c r="E364" s="37" t="s">
        <v>569</v>
      </c>
      <c r="F364" s="36">
        <v>2025</v>
      </c>
      <c r="G364" s="38">
        <v>325.24</v>
      </c>
      <c r="H364" s="39"/>
      <c r="I364" t="str">
        <f>IF(Impuestos44[[#This Row],[Fecha]]="","",MONTH(Impuestos44[[#This Row],[Fecha]]))</f>
        <v/>
      </c>
      <c r="J364" s="40" t="s">
        <v>580</v>
      </c>
      <c r="K364" s="40" t="s">
        <v>37</v>
      </c>
      <c r="L364" t="s">
        <v>1161</v>
      </c>
      <c r="M364" s="30" t="s">
        <v>54</v>
      </c>
      <c r="N364" s="30" t="s">
        <v>581</v>
      </c>
      <c r="O364" s="30" t="str">
        <f>IFERROR(VLOOKUP(Impuestos44[[#This Row],[Nro]],[4]Placas!$A:$D,4,0),"")</f>
        <v/>
      </c>
      <c r="P364" s="37"/>
      <c r="Q364" s="36"/>
      <c r="R364" s="38"/>
      <c r="S364" s="43"/>
      <c r="U364" s="40"/>
      <c r="V364" s="40"/>
      <c r="W364" s="40"/>
    </row>
    <row r="365" spans="3:23" x14ac:dyDescent="0.3">
      <c r="C365" s="35" t="str">
        <f>CONCATENATE(Impuestos44[[#This Row],[Placa Vehiculo]],Impuestos44[[#This Row],[Vales]])</f>
        <v>CNK-2634 Vales</v>
      </c>
      <c r="D365" s="36" t="s">
        <v>96</v>
      </c>
      <c r="E365" s="37" t="s">
        <v>569</v>
      </c>
      <c r="F365" s="36">
        <v>2025</v>
      </c>
      <c r="G365" s="38">
        <v>350.68</v>
      </c>
      <c r="H365" s="39"/>
      <c r="I365" t="str">
        <f>IF(Impuestos44[[#This Row],[Fecha]]="","",MONTH(Impuestos44[[#This Row],[Fecha]]))</f>
        <v/>
      </c>
      <c r="J365" s="40" t="s">
        <v>580</v>
      </c>
      <c r="K365" s="40" t="s">
        <v>37</v>
      </c>
      <c r="L365" t="s">
        <v>1161</v>
      </c>
      <c r="M365" s="30" t="s">
        <v>54</v>
      </c>
      <c r="N365" s="30" t="s">
        <v>581</v>
      </c>
      <c r="O365" s="30" t="str">
        <f>IFERROR(VLOOKUP(Impuestos44[[#This Row],[Nro]],[4]Placas!$A:$D,4,0),"")</f>
        <v/>
      </c>
      <c r="P365" s="37"/>
      <c r="Q365" s="36"/>
      <c r="R365" s="38"/>
      <c r="S365" s="43"/>
      <c r="U365" s="40"/>
      <c r="V365" s="40"/>
      <c r="W365" s="40"/>
    </row>
    <row r="366" spans="3:23" x14ac:dyDescent="0.3">
      <c r="C366" s="35" t="str">
        <f>CONCATENATE(Impuestos44[[#This Row],[Placa Vehiculo]],Impuestos44[[#This Row],[Vales]])</f>
        <v>CNL-0914 Vales</v>
      </c>
      <c r="D366" s="36" t="s">
        <v>76</v>
      </c>
      <c r="E366" s="37" t="s">
        <v>569</v>
      </c>
      <c r="F366" s="36">
        <v>2025</v>
      </c>
      <c r="G366" s="38">
        <v>325.24</v>
      </c>
      <c r="H366" s="39"/>
      <c r="I366" t="str">
        <f>IF(Impuestos44[[#This Row],[Fecha]]="","",MONTH(Impuestos44[[#This Row],[Fecha]]))</f>
        <v/>
      </c>
      <c r="J366" s="40" t="s">
        <v>580</v>
      </c>
      <c r="K366" s="40" t="s">
        <v>37</v>
      </c>
      <c r="L366" t="s">
        <v>1161</v>
      </c>
      <c r="M366" s="30" t="s">
        <v>54</v>
      </c>
      <c r="N366" s="30" t="s">
        <v>581</v>
      </c>
      <c r="O366" s="30" t="str">
        <f>IFERROR(VLOOKUP(Impuestos44[[#This Row],[Nro]],[4]Placas!$A:$D,4,0),"")</f>
        <v/>
      </c>
      <c r="P366" s="37"/>
      <c r="Q366" s="36"/>
      <c r="R366" s="38"/>
      <c r="S366" s="43"/>
      <c r="U366" s="40"/>
      <c r="V366" s="40"/>
      <c r="W366" s="40"/>
    </row>
    <row r="367" spans="3:23" x14ac:dyDescent="0.3">
      <c r="C367" s="35" t="str">
        <f>CONCATENATE(Impuestos44[[#This Row],[Placa Vehiculo]],Impuestos44[[#This Row],[Vales]])</f>
        <v>CNK-5874 Vales</v>
      </c>
      <c r="D367" s="36" t="s">
        <v>77</v>
      </c>
      <c r="E367" s="37" t="s">
        <v>569</v>
      </c>
      <c r="F367" s="36">
        <v>2025</v>
      </c>
      <c r="G367" s="38">
        <v>325.24</v>
      </c>
      <c r="H367" s="39"/>
      <c r="I367" t="str">
        <f>IF(Impuestos44[[#This Row],[Fecha]]="","",MONTH(Impuestos44[[#This Row],[Fecha]]))</f>
        <v/>
      </c>
      <c r="J367" s="40" t="s">
        <v>580</v>
      </c>
      <c r="K367" s="40" t="s">
        <v>37</v>
      </c>
      <c r="L367" t="s">
        <v>1161</v>
      </c>
      <c r="M367" s="30" t="s">
        <v>54</v>
      </c>
      <c r="N367" s="30" t="s">
        <v>581</v>
      </c>
      <c r="O367" s="30" t="str">
        <f>IFERROR(VLOOKUP(Impuestos44[[#This Row],[Nro]],[4]Placas!$A:$D,4,0),"")</f>
        <v/>
      </c>
      <c r="P367" s="37"/>
      <c r="Q367" s="36"/>
      <c r="R367" s="38"/>
      <c r="S367" s="43"/>
      <c r="U367" s="40"/>
      <c r="V367" s="40"/>
      <c r="W367" s="40"/>
    </row>
    <row r="368" spans="3:23" x14ac:dyDescent="0.3">
      <c r="C368" s="35" t="str">
        <f>CONCATENATE(Impuestos44[[#This Row],[Placa Vehiculo]],Impuestos44[[#This Row],[Vales]])</f>
        <v>CNL-1214 Vales</v>
      </c>
      <c r="D368" s="36" t="s">
        <v>97</v>
      </c>
      <c r="E368" s="37" t="s">
        <v>569</v>
      </c>
      <c r="F368" s="36">
        <v>2025</v>
      </c>
      <c r="G368" s="38">
        <v>350.68</v>
      </c>
      <c r="H368" s="39"/>
      <c r="I368" t="str">
        <f>IF(Impuestos44[[#This Row],[Fecha]]="","",MONTH(Impuestos44[[#This Row],[Fecha]]))</f>
        <v/>
      </c>
      <c r="J368" s="40" t="s">
        <v>580</v>
      </c>
      <c r="K368" s="40" t="s">
        <v>37</v>
      </c>
      <c r="L368" t="s">
        <v>1161</v>
      </c>
      <c r="M368" s="30" t="s">
        <v>54</v>
      </c>
      <c r="N368" s="30" t="s">
        <v>581</v>
      </c>
      <c r="O368" s="30" t="str">
        <f>IFERROR(VLOOKUP(Impuestos44[[#This Row],[Nro]],[4]Placas!$A:$D,4,0),"")</f>
        <v/>
      </c>
      <c r="P368" s="37"/>
      <c r="Q368" s="36"/>
      <c r="R368" s="38"/>
      <c r="S368" s="43"/>
      <c r="U368" s="40"/>
      <c r="V368" s="40"/>
      <c r="W368" s="40"/>
    </row>
    <row r="369" spans="3:23" x14ac:dyDescent="0.3">
      <c r="C369" s="35" t="str">
        <f>CONCATENATE(Impuestos44[[#This Row],[Placa Vehiculo]],Impuestos44[[#This Row],[Vales]])</f>
        <v>CNK-4854 Vales</v>
      </c>
      <c r="D369" s="36" t="s">
        <v>98</v>
      </c>
      <c r="E369" s="37" t="s">
        <v>569</v>
      </c>
      <c r="F369" s="36">
        <v>2025</v>
      </c>
      <c r="G369" s="38">
        <v>350.68</v>
      </c>
      <c r="H369" s="39"/>
      <c r="I369" t="str">
        <f>IF(Impuestos44[[#This Row],[Fecha]]="","",MONTH(Impuestos44[[#This Row],[Fecha]]))</f>
        <v/>
      </c>
      <c r="J369" s="40" t="s">
        <v>580</v>
      </c>
      <c r="K369" s="40" t="s">
        <v>37</v>
      </c>
      <c r="L369" t="s">
        <v>1161</v>
      </c>
      <c r="M369" s="30" t="s">
        <v>54</v>
      </c>
      <c r="N369" s="30" t="s">
        <v>581</v>
      </c>
      <c r="O369" s="30" t="str">
        <f>IFERROR(VLOOKUP(Impuestos44[[#This Row],[Nro]],[4]Placas!$A:$D,4,0),"")</f>
        <v/>
      </c>
      <c r="P369" s="37"/>
      <c r="Q369" s="36"/>
      <c r="R369" s="38"/>
      <c r="S369" s="43"/>
      <c r="U369" s="40"/>
      <c r="V369" s="40"/>
      <c r="W369" s="40"/>
    </row>
    <row r="370" spans="3:23" x14ac:dyDescent="0.3">
      <c r="C370" s="35" t="str">
        <f>CONCATENATE(Impuestos44[[#This Row],[Placa Vehiculo]],Impuestos44[[#This Row],[Vales]])</f>
        <v>CNK-5054 Vales</v>
      </c>
      <c r="D370" s="36" t="s">
        <v>99</v>
      </c>
      <c r="E370" s="37" t="s">
        <v>569</v>
      </c>
      <c r="F370" s="36">
        <v>2025</v>
      </c>
      <c r="G370" s="38">
        <v>350.68</v>
      </c>
      <c r="H370" s="39"/>
      <c r="I370" t="str">
        <f>IF(Impuestos44[[#This Row],[Fecha]]="","",MONTH(Impuestos44[[#This Row],[Fecha]]))</f>
        <v/>
      </c>
      <c r="J370" s="40" t="s">
        <v>580</v>
      </c>
      <c r="K370" s="40" t="s">
        <v>37</v>
      </c>
      <c r="L370" t="s">
        <v>1161</v>
      </c>
      <c r="M370" s="30" t="s">
        <v>54</v>
      </c>
      <c r="N370" s="30" t="s">
        <v>581</v>
      </c>
      <c r="O370" s="30" t="str">
        <f>IFERROR(VLOOKUP(Impuestos44[[#This Row],[Nro]],[4]Placas!$A:$D,4,0),"")</f>
        <v/>
      </c>
      <c r="P370" s="37"/>
      <c r="Q370" s="36"/>
      <c r="R370" s="38"/>
      <c r="S370" s="43"/>
      <c r="U370" s="40"/>
      <c r="V370" s="40"/>
      <c r="W370" s="40"/>
    </row>
    <row r="371" spans="3:23" x14ac:dyDescent="0.3">
      <c r="C371" s="35" t="str">
        <f>CONCATENATE(Impuestos44[[#This Row],[Placa Vehiculo]],Impuestos44[[#This Row],[Vales]])</f>
        <v>CNK-5734 Vales</v>
      </c>
      <c r="D371" s="36" t="s">
        <v>100</v>
      </c>
      <c r="E371" s="37" t="s">
        <v>569</v>
      </c>
      <c r="F371" s="36">
        <v>2025</v>
      </c>
      <c r="G371" s="38">
        <v>350.68</v>
      </c>
      <c r="H371" s="39"/>
      <c r="I371" t="str">
        <f>IF(Impuestos44[[#This Row],[Fecha]]="","",MONTH(Impuestos44[[#This Row],[Fecha]]))</f>
        <v/>
      </c>
      <c r="J371" s="40" t="s">
        <v>580</v>
      </c>
      <c r="K371" s="40" t="s">
        <v>37</v>
      </c>
      <c r="L371" t="s">
        <v>1161</v>
      </c>
      <c r="M371" s="30" t="s">
        <v>54</v>
      </c>
      <c r="N371" s="30" t="s">
        <v>581</v>
      </c>
      <c r="O371" s="30" t="str">
        <f>IFERROR(VLOOKUP(Impuestos44[[#This Row],[Nro]],[4]Placas!$A:$D,4,0),"")</f>
        <v/>
      </c>
      <c r="P371" s="37"/>
      <c r="Q371" s="36"/>
      <c r="R371" s="38"/>
      <c r="S371" s="43"/>
      <c r="U371" s="40"/>
      <c r="V371" s="40"/>
      <c r="W371" s="40"/>
    </row>
    <row r="372" spans="3:23" x14ac:dyDescent="0.3">
      <c r="C372" s="35" t="str">
        <f>CONCATENATE(Impuestos44[[#This Row],[Placa Vehiculo]],Impuestos44[[#This Row],[Vales]])</f>
        <v>CNL-0104 Vales</v>
      </c>
      <c r="D372" s="36" t="s">
        <v>78</v>
      </c>
      <c r="E372" s="37" t="s">
        <v>569</v>
      </c>
      <c r="F372" s="36">
        <v>2025</v>
      </c>
      <c r="G372" s="38">
        <v>325.24</v>
      </c>
      <c r="H372" s="39"/>
      <c r="I372" t="str">
        <f>IF(Impuestos44[[#This Row],[Fecha]]="","",MONTH(Impuestos44[[#This Row],[Fecha]]))</f>
        <v/>
      </c>
      <c r="J372" s="40" t="s">
        <v>580</v>
      </c>
      <c r="K372" s="40" t="s">
        <v>37</v>
      </c>
      <c r="L372" t="s">
        <v>1161</v>
      </c>
      <c r="M372" s="30" t="s">
        <v>54</v>
      </c>
      <c r="N372" s="30" t="s">
        <v>581</v>
      </c>
      <c r="O372" s="30" t="str">
        <f>IFERROR(VLOOKUP(Impuestos44[[#This Row],[Nro]],[4]Placas!$A:$D,4,0),"")</f>
        <v/>
      </c>
      <c r="P372" s="37"/>
      <c r="Q372" s="36"/>
      <c r="R372" s="38"/>
      <c r="S372" s="43"/>
      <c r="U372" s="40"/>
      <c r="V372" s="40"/>
      <c r="W372" s="40"/>
    </row>
    <row r="373" spans="3:23" x14ac:dyDescent="0.3">
      <c r="C373" s="35" t="str">
        <f>CONCATENATE(Impuestos44[[#This Row],[Placa Vehiculo]],Impuestos44[[#This Row],[Vales]])</f>
        <v>CNL-0034 Vales</v>
      </c>
      <c r="D373" s="36" t="s">
        <v>79</v>
      </c>
      <c r="E373" s="37" t="s">
        <v>569</v>
      </c>
      <c r="F373" s="36">
        <v>2025</v>
      </c>
      <c r="G373" s="38">
        <v>325.24</v>
      </c>
      <c r="H373" s="39"/>
      <c r="I373" t="str">
        <f>IF(Impuestos44[[#This Row],[Fecha]]="","",MONTH(Impuestos44[[#This Row],[Fecha]]))</f>
        <v/>
      </c>
      <c r="J373" s="40" t="s">
        <v>580</v>
      </c>
      <c r="K373" s="40" t="s">
        <v>37</v>
      </c>
      <c r="L373" t="s">
        <v>1161</v>
      </c>
      <c r="M373" s="30" t="s">
        <v>54</v>
      </c>
      <c r="N373" s="30" t="s">
        <v>581</v>
      </c>
      <c r="O373" s="30" t="str">
        <f>IFERROR(VLOOKUP(Impuestos44[[#This Row],[Nro]],[4]Placas!$A:$D,4,0),"")</f>
        <v/>
      </c>
      <c r="P373" s="37"/>
      <c r="Q373" s="36"/>
      <c r="R373" s="38"/>
      <c r="S373" s="43"/>
      <c r="U373" s="40"/>
      <c r="V373" s="40"/>
      <c r="W373" s="40"/>
    </row>
    <row r="374" spans="3:23" x14ac:dyDescent="0.3">
      <c r="C374" s="35" t="str">
        <f>CONCATENATE(Impuestos44[[#This Row],[Placa Vehiculo]],Impuestos44[[#This Row],[Vales]])</f>
        <v>CNL-0134 Vales</v>
      </c>
      <c r="D374" s="36" t="s">
        <v>80</v>
      </c>
      <c r="E374" s="37" t="s">
        <v>569</v>
      </c>
      <c r="F374" s="36">
        <v>2025</v>
      </c>
      <c r="G374" s="38">
        <v>325.24</v>
      </c>
      <c r="H374" s="39"/>
      <c r="I374" t="str">
        <f>IF(Impuestos44[[#This Row],[Fecha]]="","",MONTH(Impuestos44[[#This Row],[Fecha]]))</f>
        <v/>
      </c>
      <c r="J374" s="40" t="s">
        <v>580</v>
      </c>
      <c r="K374" s="40" t="s">
        <v>37</v>
      </c>
      <c r="L374" t="s">
        <v>1161</v>
      </c>
      <c r="M374" s="30" t="s">
        <v>54</v>
      </c>
      <c r="N374" s="30" t="s">
        <v>581</v>
      </c>
      <c r="O374" s="30" t="str">
        <f>IFERROR(VLOOKUP(Impuestos44[[#This Row],[Nro]],[4]Placas!$A:$D,4,0),"")</f>
        <v/>
      </c>
      <c r="P374" s="37"/>
      <c r="Q374" s="36"/>
      <c r="R374" s="38"/>
      <c r="S374" s="43"/>
      <c r="U374" s="40"/>
      <c r="V374" s="40"/>
      <c r="W374" s="40"/>
    </row>
    <row r="375" spans="3:23" x14ac:dyDescent="0.3">
      <c r="C375" s="35" t="str">
        <f>CONCATENATE(Impuestos44[[#This Row],[Placa Vehiculo]],Impuestos44[[#This Row],[Vales]])</f>
        <v>CNK-5304 Vales</v>
      </c>
      <c r="D375" s="36" t="s">
        <v>81</v>
      </c>
      <c r="E375" s="37" t="s">
        <v>569</v>
      </c>
      <c r="F375" s="36">
        <v>2025</v>
      </c>
      <c r="G375" s="38">
        <v>325.24</v>
      </c>
      <c r="H375" s="39"/>
      <c r="I375" t="str">
        <f>IF(Impuestos44[[#This Row],[Fecha]]="","",MONTH(Impuestos44[[#This Row],[Fecha]]))</f>
        <v/>
      </c>
      <c r="J375" s="40" t="s">
        <v>580</v>
      </c>
      <c r="K375" s="40" t="s">
        <v>37</v>
      </c>
      <c r="L375" t="s">
        <v>1161</v>
      </c>
      <c r="M375" s="30" t="s">
        <v>54</v>
      </c>
      <c r="N375" s="30" t="s">
        <v>581</v>
      </c>
      <c r="O375" s="30" t="str">
        <f>IFERROR(VLOOKUP(Impuestos44[[#This Row],[Nro]],[4]Placas!$A:$D,4,0),"")</f>
        <v/>
      </c>
      <c r="P375" s="37"/>
      <c r="Q375" s="36"/>
      <c r="R375" s="38"/>
      <c r="S375" s="43"/>
      <c r="U375" s="40"/>
      <c r="V375" s="40"/>
      <c r="W375" s="40"/>
    </row>
    <row r="376" spans="3:23" x14ac:dyDescent="0.3">
      <c r="C376" s="35" t="str">
        <f>CONCATENATE(Impuestos44[[#This Row],[Placa Vehiculo]],Impuestos44[[#This Row],[Vales]])</f>
        <v>CNL-1354 Vales</v>
      </c>
      <c r="D376" s="36" t="s">
        <v>82</v>
      </c>
      <c r="E376" s="37" t="s">
        <v>569</v>
      </c>
      <c r="F376" s="36">
        <v>2025</v>
      </c>
      <c r="G376" s="38">
        <v>325.24</v>
      </c>
      <c r="H376" s="39"/>
      <c r="I376" t="str">
        <f>IF(Impuestos44[[#This Row],[Fecha]]="","",MONTH(Impuestos44[[#This Row],[Fecha]]))</f>
        <v/>
      </c>
      <c r="J376" s="40" t="s">
        <v>580</v>
      </c>
      <c r="K376" s="40" t="s">
        <v>37</v>
      </c>
      <c r="L376" t="s">
        <v>1161</v>
      </c>
      <c r="M376" s="30" t="s">
        <v>54</v>
      </c>
      <c r="N376" s="30" t="s">
        <v>581</v>
      </c>
      <c r="O376" s="30" t="str">
        <f>IFERROR(VLOOKUP(Impuestos44[[#This Row],[Nro]],[4]Placas!$A:$D,4,0),"")</f>
        <v/>
      </c>
      <c r="P376" s="37"/>
      <c r="Q376" s="36"/>
      <c r="R376" s="38"/>
      <c r="S376" s="43"/>
      <c r="U376" s="40"/>
      <c r="V376" s="40"/>
      <c r="W376" s="40"/>
    </row>
    <row r="377" spans="3:23" x14ac:dyDescent="0.3">
      <c r="C377" s="35" t="str">
        <f>CONCATENATE(Impuestos44[[#This Row],[Placa Vehiculo]],Impuestos44[[#This Row],[Vales]])</f>
        <v>CNK-6464 Vales</v>
      </c>
      <c r="D377" s="36" t="s">
        <v>83</v>
      </c>
      <c r="E377" s="37" t="s">
        <v>569</v>
      </c>
      <c r="F377" s="36">
        <v>2025</v>
      </c>
      <c r="G377" s="38">
        <v>325.24</v>
      </c>
      <c r="H377" s="39"/>
      <c r="I377" t="str">
        <f>IF(Impuestos44[[#This Row],[Fecha]]="","",MONTH(Impuestos44[[#This Row],[Fecha]]))</f>
        <v/>
      </c>
      <c r="J377" s="40" t="s">
        <v>580</v>
      </c>
      <c r="K377" s="40" t="s">
        <v>37</v>
      </c>
      <c r="L377" t="s">
        <v>1161</v>
      </c>
      <c r="M377" s="30" t="s">
        <v>54</v>
      </c>
      <c r="N377" s="30" t="s">
        <v>581</v>
      </c>
      <c r="O377" s="30" t="str">
        <f>IFERROR(VLOOKUP(Impuestos44[[#This Row],[Nro]],[4]Placas!$A:$D,4,0),"")</f>
        <v/>
      </c>
      <c r="P377" s="37"/>
      <c r="Q377" s="36"/>
      <c r="R377" s="38"/>
      <c r="S377" s="43"/>
      <c r="U377" s="40"/>
      <c r="V377" s="40"/>
      <c r="W377" s="40"/>
    </row>
    <row r="378" spans="3:23" x14ac:dyDescent="0.3">
      <c r="C378" s="35" t="str">
        <f>CONCATENATE(Impuestos44[[#This Row],[Placa Vehiculo]],Impuestos44[[#This Row],[Vales]])</f>
        <v>CNL-0724 Vales</v>
      </c>
      <c r="D378" s="36" t="s">
        <v>84</v>
      </c>
      <c r="E378" s="37" t="s">
        <v>569</v>
      </c>
      <c r="F378" s="36">
        <v>2025</v>
      </c>
      <c r="G378" s="38">
        <v>325.24</v>
      </c>
      <c r="H378" s="39"/>
      <c r="I378" t="str">
        <f>IF(Impuestos44[[#This Row],[Fecha]]="","",MONTH(Impuestos44[[#This Row],[Fecha]]))</f>
        <v/>
      </c>
      <c r="J378" s="40" t="s">
        <v>580</v>
      </c>
      <c r="K378" s="40" t="s">
        <v>37</v>
      </c>
      <c r="L378" t="s">
        <v>1161</v>
      </c>
      <c r="M378" s="30" t="s">
        <v>54</v>
      </c>
      <c r="N378" s="30" t="s">
        <v>581</v>
      </c>
      <c r="O378" s="30" t="str">
        <f>IFERROR(VLOOKUP(Impuestos44[[#This Row],[Nro]],[4]Placas!$A:$D,4,0),"")</f>
        <v/>
      </c>
      <c r="P378" s="37"/>
      <c r="Q378" s="36"/>
      <c r="R378" s="38"/>
      <c r="S378" s="43"/>
      <c r="U378" s="40"/>
      <c r="V378" s="40"/>
      <c r="W378" s="40"/>
    </row>
    <row r="379" spans="3:23" x14ac:dyDescent="0.3">
      <c r="C379" s="35" t="str">
        <f>CONCATENATE(Impuestos44[[#This Row],[Placa Vehiculo]],Impuestos44[[#This Row],[Vales]])</f>
        <v>CAU-7464 Vales</v>
      </c>
      <c r="D379" s="36" t="s">
        <v>59</v>
      </c>
      <c r="E379" s="37" t="s">
        <v>569</v>
      </c>
      <c r="F379" s="36">
        <v>2025</v>
      </c>
      <c r="G379" s="38">
        <v>318.60000000000002</v>
      </c>
      <c r="H379" s="39"/>
      <c r="I379" t="str">
        <f>IF(Impuestos44[[#This Row],[Fecha]]="","",MONTH(Impuestos44[[#This Row],[Fecha]]))</f>
        <v/>
      </c>
      <c r="J379" s="40" t="s">
        <v>580</v>
      </c>
      <c r="K379" s="40" t="s">
        <v>37</v>
      </c>
      <c r="L379" t="s">
        <v>1161</v>
      </c>
      <c r="M379" s="30" t="s">
        <v>58</v>
      </c>
      <c r="N379" s="30" t="s">
        <v>581</v>
      </c>
      <c r="O379" s="30" t="str">
        <f>IFERROR(VLOOKUP(Impuestos44[[#This Row],[Nro]],[4]Placas!$A:$D,4,0),"")</f>
        <v/>
      </c>
      <c r="P379" s="37"/>
      <c r="Q379" s="36"/>
      <c r="R379" s="38"/>
      <c r="S379" s="43"/>
      <c r="U379" s="40"/>
      <c r="V379" s="40"/>
      <c r="W379" s="40"/>
    </row>
    <row r="380" spans="3:23" x14ac:dyDescent="0.3">
      <c r="C380" s="35" t="str">
        <f>CONCATENATE(Impuestos44[[#This Row],[Placa Vehiculo]],Impuestos44[[#This Row],[Vales]])</f>
        <v>BYR-9434 Vales</v>
      </c>
      <c r="D380" s="36" t="s">
        <v>160</v>
      </c>
      <c r="E380" s="37" t="s">
        <v>569</v>
      </c>
      <c r="F380" s="36">
        <v>2025</v>
      </c>
      <c r="G380" s="38">
        <v>356.83</v>
      </c>
      <c r="H380" s="39"/>
      <c r="I380" t="str">
        <f>IF(Impuestos44[[#This Row],[Fecha]]="","",MONTH(Impuestos44[[#This Row],[Fecha]]))</f>
        <v/>
      </c>
      <c r="J380" s="40" t="s">
        <v>580</v>
      </c>
      <c r="K380" s="40" t="s">
        <v>37</v>
      </c>
      <c r="L380" t="s">
        <v>1161</v>
      </c>
      <c r="M380" s="30" t="s">
        <v>48</v>
      </c>
      <c r="N380" s="30" t="s">
        <v>581</v>
      </c>
      <c r="O380" s="30" t="str">
        <f>IFERROR(VLOOKUP(Impuestos44[[#This Row],[Nro]],[4]Placas!$A:$D,4,0),"")</f>
        <v/>
      </c>
      <c r="P380" s="37"/>
      <c r="Q380" s="36"/>
      <c r="R380" s="38"/>
      <c r="S380" s="43"/>
      <c r="U380" s="40"/>
      <c r="V380" s="40"/>
      <c r="W380" s="40"/>
    </row>
    <row r="381" spans="3:23" x14ac:dyDescent="0.3">
      <c r="C381" s="35" t="str">
        <f>CONCATENATE(Impuestos44[[#This Row],[Placa Vehiculo]],Impuestos44[[#This Row],[Vales]])</f>
        <v>BYR-9454 Vales</v>
      </c>
      <c r="D381" s="36" t="s">
        <v>161</v>
      </c>
      <c r="E381" s="37" t="s">
        <v>569</v>
      </c>
      <c r="F381" s="36">
        <v>2025</v>
      </c>
      <c r="G381" s="38">
        <v>356.83</v>
      </c>
      <c r="H381" s="39"/>
      <c r="I381" t="str">
        <f>IF(Impuestos44[[#This Row],[Fecha]]="","",MONTH(Impuestos44[[#This Row],[Fecha]]))</f>
        <v/>
      </c>
      <c r="J381" s="40" t="s">
        <v>580</v>
      </c>
      <c r="K381" s="40" t="s">
        <v>37</v>
      </c>
      <c r="L381" t="s">
        <v>1161</v>
      </c>
      <c r="M381" s="30" t="s">
        <v>48</v>
      </c>
      <c r="N381" s="30" t="s">
        <v>581</v>
      </c>
      <c r="O381" s="30" t="str">
        <f>IFERROR(VLOOKUP(Impuestos44[[#This Row],[Nro]],[4]Placas!$A:$D,4,0),"")</f>
        <v/>
      </c>
      <c r="P381" s="37"/>
      <c r="Q381" s="36"/>
      <c r="R381" s="38"/>
      <c r="S381" s="43"/>
      <c r="U381" s="40"/>
      <c r="V381" s="40"/>
      <c r="W381" s="40"/>
    </row>
    <row r="382" spans="3:23" x14ac:dyDescent="0.3">
      <c r="C382" s="35" t="str">
        <f>CONCATENATE(Impuestos44[[#This Row],[Placa Vehiculo]],Impuestos44[[#This Row],[Vales]])</f>
        <v>BYR-9464 Vales</v>
      </c>
      <c r="D382" s="36" t="s">
        <v>162</v>
      </c>
      <c r="E382" s="37" t="s">
        <v>569</v>
      </c>
      <c r="F382" s="36">
        <v>2025</v>
      </c>
      <c r="G382" s="38">
        <v>356.83</v>
      </c>
      <c r="H382" s="39"/>
      <c r="I382" t="str">
        <f>IF(Impuestos44[[#This Row],[Fecha]]="","",MONTH(Impuestos44[[#This Row],[Fecha]]))</f>
        <v/>
      </c>
      <c r="J382" s="40" t="s">
        <v>580</v>
      </c>
      <c r="K382" s="40" t="s">
        <v>37</v>
      </c>
      <c r="L382" t="s">
        <v>1161</v>
      </c>
      <c r="M382" s="30" t="s">
        <v>48</v>
      </c>
      <c r="N382" s="30" t="s">
        <v>581</v>
      </c>
      <c r="O382" s="30" t="str">
        <f>IFERROR(VLOOKUP(Impuestos44[[#This Row],[Nro]],[4]Placas!$A:$D,4,0),"")</f>
        <v/>
      </c>
      <c r="P382" s="37"/>
      <c r="Q382" s="36"/>
      <c r="R382" s="38"/>
      <c r="S382" s="43"/>
      <c r="U382" s="40"/>
      <c r="V382" s="40"/>
      <c r="W382" s="40"/>
    </row>
    <row r="383" spans="3:23" x14ac:dyDescent="0.3">
      <c r="C383" s="35" t="str">
        <f>CONCATENATE(Impuestos44[[#This Row],[Placa Vehiculo]],Impuestos44[[#This Row],[Vales]])</f>
        <v>BYS-7674 Vales</v>
      </c>
      <c r="D383" s="36" t="s">
        <v>163</v>
      </c>
      <c r="E383" s="37" t="s">
        <v>569</v>
      </c>
      <c r="F383" s="36">
        <v>2025</v>
      </c>
      <c r="G383" s="38">
        <v>356.83</v>
      </c>
      <c r="H383" s="39"/>
      <c r="I383" t="str">
        <f>IF(Impuestos44[[#This Row],[Fecha]]="","",MONTH(Impuestos44[[#This Row],[Fecha]]))</f>
        <v/>
      </c>
      <c r="J383" s="40" t="s">
        <v>580</v>
      </c>
      <c r="K383" s="40" t="s">
        <v>37</v>
      </c>
      <c r="L383" t="s">
        <v>1161</v>
      </c>
      <c r="M383" s="30" t="s">
        <v>48</v>
      </c>
      <c r="N383" s="30" t="s">
        <v>581</v>
      </c>
      <c r="O383" s="30" t="str">
        <f>IFERROR(VLOOKUP(Impuestos44[[#This Row],[Nro]],[4]Placas!$A:$D,4,0),"")</f>
        <v/>
      </c>
      <c r="P383" s="37"/>
      <c r="Q383" s="36"/>
      <c r="R383" s="38"/>
      <c r="S383" s="43"/>
      <c r="U383" s="40"/>
      <c r="V383" s="40"/>
      <c r="W383" s="40"/>
    </row>
    <row r="384" spans="3:23" x14ac:dyDescent="0.3">
      <c r="C384" s="35" t="str">
        <f>CONCATENATE(Impuestos44[[#This Row],[Placa Vehiculo]],Impuestos44[[#This Row],[Vales]])</f>
        <v>BYS-7904 Vales</v>
      </c>
      <c r="D384" s="36" t="s">
        <v>164</v>
      </c>
      <c r="E384" s="37" t="s">
        <v>569</v>
      </c>
      <c r="F384" s="36">
        <v>2025</v>
      </c>
      <c r="G384" s="38">
        <v>356.83</v>
      </c>
      <c r="H384" s="39"/>
      <c r="I384" t="str">
        <f>IF(Impuestos44[[#This Row],[Fecha]]="","",MONTH(Impuestos44[[#This Row],[Fecha]]))</f>
        <v/>
      </c>
      <c r="J384" s="40" t="s">
        <v>580</v>
      </c>
      <c r="K384" s="40" t="s">
        <v>37</v>
      </c>
      <c r="L384" t="s">
        <v>1161</v>
      </c>
      <c r="M384" s="30" t="s">
        <v>48</v>
      </c>
      <c r="N384" s="30" t="s">
        <v>581</v>
      </c>
      <c r="O384" s="30" t="str">
        <f>IFERROR(VLOOKUP(Impuestos44[[#This Row],[Nro]],[4]Placas!$A:$D,4,0),"")</f>
        <v/>
      </c>
      <c r="P384" s="37"/>
      <c r="Q384" s="36"/>
      <c r="R384" s="38"/>
      <c r="S384" s="43"/>
      <c r="U384" s="40"/>
      <c r="V384" s="40"/>
      <c r="W384" s="40"/>
    </row>
    <row r="385" spans="3:23" x14ac:dyDescent="0.3">
      <c r="C385" s="35" t="str">
        <f>CONCATENATE(Impuestos44[[#This Row],[Placa Vehiculo]],Impuestos44[[#This Row],[Vales]])</f>
        <v>BYS-8394 Vales</v>
      </c>
      <c r="D385" s="36" t="s">
        <v>165</v>
      </c>
      <c r="E385" s="37" t="s">
        <v>569</v>
      </c>
      <c r="F385" s="36">
        <v>2025</v>
      </c>
      <c r="G385" s="38">
        <v>356.83</v>
      </c>
      <c r="H385" s="39"/>
      <c r="I385" t="str">
        <f>IF(Impuestos44[[#This Row],[Fecha]]="","",MONTH(Impuestos44[[#This Row],[Fecha]]))</f>
        <v/>
      </c>
      <c r="J385" s="40" t="s">
        <v>580</v>
      </c>
      <c r="K385" s="40" t="s">
        <v>37</v>
      </c>
      <c r="L385" t="s">
        <v>1161</v>
      </c>
      <c r="M385" s="30" t="s">
        <v>48</v>
      </c>
      <c r="N385" s="30" t="s">
        <v>581</v>
      </c>
      <c r="O385" s="30" t="str">
        <f>IFERROR(VLOOKUP(Impuestos44[[#This Row],[Nro]],[4]Placas!$A:$D,4,0),"")</f>
        <v/>
      </c>
      <c r="P385" s="37"/>
      <c r="Q385" s="36"/>
      <c r="R385" s="38"/>
      <c r="S385" s="43"/>
      <c r="U385" s="40"/>
      <c r="V385" s="40"/>
      <c r="W385" s="40"/>
    </row>
    <row r="386" spans="3:23" x14ac:dyDescent="0.3">
      <c r="C386" s="35" t="str">
        <f>CONCATENATE(Impuestos44[[#This Row],[Placa Vehiculo]],Impuestos44[[#This Row],[Vales]])</f>
        <v>BYS-8484 Vales</v>
      </c>
      <c r="D386" s="36" t="s">
        <v>166</v>
      </c>
      <c r="E386" s="37" t="s">
        <v>569</v>
      </c>
      <c r="F386" s="36">
        <v>2025</v>
      </c>
      <c r="G386" s="38">
        <v>356.83</v>
      </c>
      <c r="H386" s="39"/>
      <c r="I386" t="str">
        <f>IF(Impuestos44[[#This Row],[Fecha]]="","",MONTH(Impuestos44[[#This Row],[Fecha]]))</f>
        <v/>
      </c>
      <c r="J386" s="40" t="s">
        <v>580</v>
      </c>
      <c r="K386" s="40" t="s">
        <v>37</v>
      </c>
      <c r="L386" t="s">
        <v>1161</v>
      </c>
      <c r="M386" s="30" t="s">
        <v>48</v>
      </c>
      <c r="N386" s="30" t="s">
        <v>581</v>
      </c>
      <c r="O386" s="30" t="str">
        <f>IFERROR(VLOOKUP(Impuestos44[[#This Row],[Nro]],[4]Placas!$A:$D,4,0),"")</f>
        <v/>
      </c>
      <c r="P386" s="37"/>
      <c r="Q386" s="36"/>
      <c r="R386" s="38"/>
      <c r="S386" s="43"/>
      <c r="U386" s="40"/>
      <c r="V386" s="40"/>
      <c r="W386" s="40"/>
    </row>
    <row r="387" spans="3:23" x14ac:dyDescent="0.3">
      <c r="C387" s="35" t="str">
        <f>CONCATENATE(Impuestos44[[#This Row],[Placa Vehiculo]],Impuestos44[[#This Row],[Vales]])</f>
        <v>BYS-8544 Vales</v>
      </c>
      <c r="D387" s="36" t="s">
        <v>167</v>
      </c>
      <c r="E387" s="37" t="s">
        <v>569</v>
      </c>
      <c r="F387" s="36">
        <v>2025</v>
      </c>
      <c r="G387" s="38">
        <v>356.83</v>
      </c>
      <c r="H387" s="39"/>
      <c r="I387" t="str">
        <f>IF(Impuestos44[[#This Row],[Fecha]]="","",MONTH(Impuestos44[[#This Row],[Fecha]]))</f>
        <v/>
      </c>
      <c r="J387" s="40" t="s">
        <v>580</v>
      </c>
      <c r="K387" s="40" t="s">
        <v>37</v>
      </c>
      <c r="L387" t="s">
        <v>1161</v>
      </c>
      <c r="M387" s="30" t="s">
        <v>48</v>
      </c>
      <c r="N387" s="30" t="s">
        <v>581</v>
      </c>
      <c r="O387" s="30" t="str">
        <f>IFERROR(VLOOKUP(Impuestos44[[#This Row],[Nro]],[4]Placas!$A:$D,4,0),"")</f>
        <v/>
      </c>
      <c r="P387" s="37"/>
      <c r="Q387" s="36"/>
      <c r="R387" s="38"/>
      <c r="S387" s="43"/>
      <c r="U387" s="40"/>
      <c r="V387" s="40"/>
      <c r="W387" s="40"/>
    </row>
    <row r="388" spans="3:23" x14ac:dyDescent="0.3">
      <c r="C388" s="35" t="str">
        <f>CONCATENATE(Impuestos44[[#This Row],[Placa Vehiculo]],Impuestos44[[#This Row],[Vales]])</f>
        <v>BYS-8814 Vales</v>
      </c>
      <c r="D388" s="36" t="s">
        <v>168</v>
      </c>
      <c r="E388" s="37" t="s">
        <v>569</v>
      </c>
      <c r="F388" s="36">
        <v>2025</v>
      </c>
      <c r="G388" s="38">
        <v>356.83</v>
      </c>
      <c r="H388" s="39"/>
      <c r="I388" t="str">
        <f>IF(Impuestos44[[#This Row],[Fecha]]="","",MONTH(Impuestos44[[#This Row],[Fecha]]))</f>
        <v/>
      </c>
      <c r="J388" s="40" t="s">
        <v>580</v>
      </c>
      <c r="K388" s="40" t="s">
        <v>37</v>
      </c>
      <c r="L388" t="s">
        <v>1161</v>
      </c>
      <c r="M388" s="30" t="s">
        <v>48</v>
      </c>
      <c r="N388" s="30" t="s">
        <v>581</v>
      </c>
      <c r="O388" s="30" t="str">
        <f>IFERROR(VLOOKUP(Impuestos44[[#This Row],[Nro]],[4]Placas!$A:$D,4,0),"")</f>
        <v/>
      </c>
      <c r="P388" s="37"/>
      <c r="Q388" s="36"/>
      <c r="R388" s="38"/>
      <c r="S388" s="43"/>
      <c r="U388" s="40"/>
      <c r="V388" s="40"/>
      <c r="W388" s="40"/>
    </row>
    <row r="389" spans="3:23" x14ac:dyDescent="0.3">
      <c r="C389" s="35" t="str">
        <f>CONCATENATE(Impuestos44[[#This Row],[Placa Vehiculo]],Impuestos44[[#This Row],[Vales]])</f>
        <v>BYS-8864 Vales</v>
      </c>
      <c r="D389" s="36" t="s">
        <v>169</v>
      </c>
      <c r="E389" s="37" t="s">
        <v>569</v>
      </c>
      <c r="F389" s="36">
        <v>2025</v>
      </c>
      <c r="G389" s="38">
        <v>356.83</v>
      </c>
      <c r="H389" s="39"/>
      <c r="I389" t="str">
        <f>IF(Impuestos44[[#This Row],[Fecha]]="","",MONTH(Impuestos44[[#This Row],[Fecha]]))</f>
        <v/>
      </c>
      <c r="J389" s="40" t="s">
        <v>580</v>
      </c>
      <c r="K389" s="40" t="s">
        <v>37</v>
      </c>
      <c r="L389" t="s">
        <v>1161</v>
      </c>
      <c r="M389" s="30" t="s">
        <v>48</v>
      </c>
      <c r="N389" s="30" t="s">
        <v>581</v>
      </c>
      <c r="O389" s="30" t="str">
        <f>IFERROR(VLOOKUP(Impuestos44[[#This Row],[Nro]],[4]Placas!$A:$D,4,0),"")</f>
        <v/>
      </c>
      <c r="P389" s="37"/>
      <c r="Q389" s="36"/>
      <c r="R389" s="38"/>
      <c r="S389" s="43"/>
      <c r="U389" s="40"/>
      <c r="V389" s="40"/>
      <c r="W389" s="40"/>
    </row>
    <row r="390" spans="3:23" x14ac:dyDescent="0.3">
      <c r="C390" s="35" t="str">
        <f>CONCATENATE(Impuestos44[[#This Row],[Placa Vehiculo]],Impuestos44[[#This Row],[Vales]])</f>
        <v>BYS-8884 Vales</v>
      </c>
      <c r="D390" s="36" t="s">
        <v>170</v>
      </c>
      <c r="E390" s="37" t="s">
        <v>569</v>
      </c>
      <c r="F390" s="36">
        <v>2025</v>
      </c>
      <c r="G390" s="38">
        <v>356.83</v>
      </c>
      <c r="H390" s="39"/>
      <c r="I390" t="str">
        <f>IF(Impuestos44[[#This Row],[Fecha]]="","",MONTH(Impuestos44[[#This Row],[Fecha]]))</f>
        <v/>
      </c>
      <c r="J390" s="40" t="s">
        <v>580</v>
      </c>
      <c r="K390" s="40" t="s">
        <v>37</v>
      </c>
      <c r="L390" t="s">
        <v>1161</v>
      </c>
      <c r="M390" s="30" t="s">
        <v>48</v>
      </c>
      <c r="N390" s="30" t="s">
        <v>581</v>
      </c>
      <c r="O390" s="30" t="str">
        <f>IFERROR(VLOOKUP(Impuestos44[[#This Row],[Nro]],[4]Placas!$A:$D,4,0),"")</f>
        <v/>
      </c>
      <c r="P390" s="37"/>
      <c r="Q390" s="36"/>
      <c r="R390" s="38"/>
      <c r="S390" s="43"/>
      <c r="U390" s="40"/>
      <c r="V390" s="40"/>
      <c r="W390" s="40"/>
    </row>
    <row r="391" spans="3:23" x14ac:dyDescent="0.3">
      <c r="C391" s="35" t="str">
        <f>CONCATENATE(Impuestos44[[#This Row],[Placa Vehiculo]],Impuestos44[[#This Row],[Vales]])</f>
        <v>BZJ-8504 Vales</v>
      </c>
      <c r="D391" s="36" t="s">
        <v>118</v>
      </c>
      <c r="E391" s="37" t="s">
        <v>569</v>
      </c>
      <c r="F391" s="36">
        <v>2025</v>
      </c>
      <c r="G391" s="38">
        <v>706.43</v>
      </c>
      <c r="H391" s="39"/>
      <c r="I391" t="str">
        <f>IF(Impuestos44[[#This Row],[Fecha]]="","",MONTH(Impuestos44[[#This Row],[Fecha]]))</f>
        <v/>
      </c>
      <c r="J391" s="40" t="s">
        <v>580</v>
      </c>
      <c r="K391" s="40" t="s">
        <v>37</v>
      </c>
      <c r="L391" t="s">
        <v>1161</v>
      </c>
      <c r="M391" s="30" t="s">
        <v>40</v>
      </c>
      <c r="N391" s="30" t="s">
        <v>581</v>
      </c>
      <c r="O391" s="30" t="str">
        <f>IFERROR(VLOOKUP(Impuestos44[[#This Row],[Nro]],[4]Placas!$A:$D,4,0),"")</f>
        <v/>
      </c>
      <c r="P391" s="37"/>
      <c r="Q391" s="36"/>
      <c r="R391" s="38"/>
      <c r="S391" s="43"/>
      <c r="U391" s="40"/>
      <c r="V391" s="40"/>
      <c r="W391" s="40"/>
    </row>
    <row r="392" spans="3:23" x14ac:dyDescent="0.3">
      <c r="C392" s="35" t="str">
        <f>CONCATENATE(Impuestos44[[#This Row],[Placa Vehiculo]],Impuestos44[[#This Row],[Vales]])</f>
        <v>BZJ-8534 Vales</v>
      </c>
      <c r="D392" s="36" t="s">
        <v>120</v>
      </c>
      <c r="E392" s="37" t="s">
        <v>569</v>
      </c>
      <c r="F392" s="36">
        <v>2025</v>
      </c>
      <c r="G392" s="38">
        <v>706.43</v>
      </c>
      <c r="H392" s="39"/>
      <c r="I392" t="str">
        <f>IF(Impuestos44[[#This Row],[Fecha]]="","",MONTH(Impuestos44[[#This Row],[Fecha]]))</f>
        <v/>
      </c>
      <c r="J392" s="40" t="s">
        <v>580</v>
      </c>
      <c r="K392" s="40" t="s">
        <v>37</v>
      </c>
      <c r="L392" t="s">
        <v>1161</v>
      </c>
      <c r="M392" s="30" t="s">
        <v>40</v>
      </c>
      <c r="N392" s="30" t="s">
        <v>581</v>
      </c>
      <c r="O392" s="30" t="str">
        <f>IFERROR(VLOOKUP(Impuestos44[[#This Row],[Nro]],[4]Placas!$A:$D,4,0),"")</f>
        <v/>
      </c>
      <c r="P392" s="37"/>
      <c r="Q392" s="36"/>
      <c r="R392" s="38"/>
      <c r="S392" s="43"/>
      <c r="U392" s="40"/>
      <c r="V392" s="40"/>
      <c r="W392" s="40"/>
    </row>
    <row r="393" spans="3:23" x14ac:dyDescent="0.3">
      <c r="C393" s="35" t="str">
        <f>CONCATENATE(Impuestos44[[#This Row],[Placa Vehiculo]],Impuestos44[[#This Row],[Vales]])</f>
        <v>BZJ-8854 Vales</v>
      </c>
      <c r="D393" s="36" t="s">
        <v>121</v>
      </c>
      <c r="E393" s="37" t="s">
        <v>569</v>
      </c>
      <c r="F393" s="36">
        <v>2025</v>
      </c>
      <c r="G393" s="38">
        <v>706.43</v>
      </c>
      <c r="H393" s="39"/>
      <c r="I393" t="str">
        <f>IF(Impuestos44[[#This Row],[Fecha]]="","",MONTH(Impuestos44[[#This Row],[Fecha]]))</f>
        <v/>
      </c>
      <c r="J393" s="40" t="s">
        <v>580</v>
      </c>
      <c r="K393" s="40" t="s">
        <v>37</v>
      </c>
      <c r="L393" t="s">
        <v>1161</v>
      </c>
      <c r="M393" s="30" t="s">
        <v>40</v>
      </c>
      <c r="N393" s="30" t="s">
        <v>581</v>
      </c>
      <c r="O393" s="30" t="str">
        <f>IFERROR(VLOOKUP(Impuestos44[[#This Row],[Nro]],[4]Placas!$A:$D,4,0),"")</f>
        <v/>
      </c>
      <c r="P393" s="37"/>
      <c r="Q393" s="36"/>
      <c r="R393" s="38"/>
      <c r="S393" s="43"/>
      <c r="U393" s="40"/>
      <c r="V393" s="40"/>
      <c r="W393" s="40"/>
    </row>
    <row r="394" spans="3:23" x14ac:dyDescent="0.3">
      <c r="C394" s="35" t="str">
        <f>CONCATENATE(Impuestos44[[#This Row],[Placa Vehiculo]],Impuestos44[[#This Row],[Vales]])</f>
        <v>BZK-7094 Vales</v>
      </c>
      <c r="D394" s="36" t="s">
        <v>122</v>
      </c>
      <c r="E394" s="37" t="s">
        <v>569</v>
      </c>
      <c r="F394" s="36">
        <v>2025</v>
      </c>
      <c r="G394" s="38">
        <v>706.43</v>
      </c>
      <c r="H394" s="39"/>
      <c r="I394" t="str">
        <f>IF(Impuestos44[[#This Row],[Fecha]]="","",MONTH(Impuestos44[[#This Row],[Fecha]]))</f>
        <v/>
      </c>
      <c r="J394" s="40" t="s">
        <v>580</v>
      </c>
      <c r="K394" s="40" t="s">
        <v>37</v>
      </c>
      <c r="L394" t="s">
        <v>1161</v>
      </c>
      <c r="M394" s="30" t="s">
        <v>40</v>
      </c>
      <c r="N394" s="30" t="s">
        <v>581</v>
      </c>
      <c r="O394" s="30" t="str">
        <f>IFERROR(VLOOKUP(Impuestos44[[#This Row],[Nro]],[4]Placas!$A:$D,4,0),"")</f>
        <v/>
      </c>
      <c r="P394" s="37"/>
      <c r="Q394" s="36"/>
      <c r="R394" s="38"/>
      <c r="S394" s="43"/>
      <c r="U394" s="40"/>
      <c r="V394" s="40"/>
      <c r="W394" s="40"/>
    </row>
    <row r="395" spans="3:23" x14ac:dyDescent="0.3">
      <c r="C395" s="35" t="str">
        <f>CONCATENATE(Impuestos44[[#This Row],[Placa Vehiculo]],Impuestos44[[#This Row],[Vales]])</f>
        <v>BZK-7124 Vales</v>
      </c>
      <c r="D395" s="36" t="s">
        <v>123</v>
      </c>
      <c r="E395" s="37" t="s">
        <v>569</v>
      </c>
      <c r="F395" s="36">
        <v>2025</v>
      </c>
      <c r="G395" s="38">
        <v>706.43</v>
      </c>
      <c r="H395" s="39"/>
      <c r="I395" t="str">
        <f>IF(Impuestos44[[#This Row],[Fecha]]="","",MONTH(Impuestos44[[#This Row],[Fecha]]))</f>
        <v/>
      </c>
      <c r="J395" s="40" t="s">
        <v>580</v>
      </c>
      <c r="K395" s="40" t="s">
        <v>37</v>
      </c>
      <c r="L395" t="s">
        <v>1161</v>
      </c>
      <c r="M395" s="30" t="s">
        <v>40</v>
      </c>
      <c r="N395" s="30" t="s">
        <v>581</v>
      </c>
      <c r="O395" s="30" t="str">
        <f>IFERROR(VLOOKUP(Impuestos44[[#This Row],[Nro]],[4]Placas!$A:$D,4,0),"")</f>
        <v/>
      </c>
      <c r="P395" s="37"/>
      <c r="Q395" s="36"/>
      <c r="R395" s="38"/>
      <c r="S395" s="43"/>
      <c r="U395" s="40"/>
      <c r="V395" s="40"/>
      <c r="W395" s="40"/>
    </row>
    <row r="396" spans="3:23" x14ac:dyDescent="0.3">
      <c r="C396" s="35" t="str">
        <f>CONCATENATE(Impuestos44[[#This Row],[Placa Vehiculo]],Impuestos44[[#This Row],[Vales]])</f>
        <v>BZK-7134 Vales</v>
      </c>
      <c r="D396" s="36" t="s">
        <v>124</v>
      </c>
      <c r="E396" s="37" t="s">
        <v>569</v>
      </c>
      <c r="F396" s="36">
        <v>2025</v>
      </c>
      <c r="G396" s="38">
        <v>706.43</v>
      </c>
      <c r="H396" s="39"/>
      <c r="I396" t="str">
        <f>IF(Impuestos44[[#This Row],[Fecha]]="","",MONTH(Impuestos44[[#This Row],[Fecha]]))</f>
        <v/>
      </c>
      <c r="J396" s="40" t="s">
        <v>580</v>
      </c>
      <c r="K396" s="40" t="s">
        <v>37</v>
      </c>
      <c r="L396" t="s">
        <v>1161</v>
      </c>
      <c r="M396" s="30" t="s">
        <v>40</v>
      </c>
      <c r="N396" s="30" t="s">
        <v>581</v>
      </c>
      <c r="O396" s="30" t="str">
        <f>IFERROR(VLOOKUP(Impuestos44[[#This Row],[Nro]],[4]Placas!$A:$D,4,0),"")</f>
        <v/>
      </c>
      <c r="P396" s="37"/>
      <c r="Q396" s="36"/>
      <c r="R396" s="38"/>
      <c r="S396" s="43"/>
      <c r="U396" s="40"/>
      <c r="V396" s="40"/>
      <c r="W396" s="40"/>
    </row>
    <row r="397" spans="3:23" x14ac:dyDescent="0.3">
      <c r="C397" s="35" t="str">
        <f>CONCATENATE(Impuestos44[[#This Row],[Placa Vehiculo]],Impuestos44[[#This Row],[Vales]])</f>
        <v>BZO-8884 Vales</v>
      </c>
      <c r="D397" s="36" t="s">
        <v>125</v>
      </c>
      <c r="E397" s="37" t="s">
        <v>569</v>
      </c>
      <c r="F397" s="36">
        <v>2025</v>
      </c>
      <c r="G397" s="38">
        <v>706.43</v>
      </c>
      <c r="H397" s="39"/>
      <c r="I397" t="str">
        <f>IF(Impuestos44[[#This Row],[Fecha]]="","",MONTH(Impuestos44[[#This Row],[Fecha]]))</f>
        <v/>
      </c>
      <c r="J397" s="40" t="s">
        <v>580</v>
      </c>
      <c r="K397" s="40" t="s">
        <v>37</v>
      </c>
      <c r="L397" t="s">
        <v>1161</v>
      </c>
      <c r="M397" s="30" t="s">
        <v>40</v>
      </c>
      <c r="N397" s="30" t="s">
        <v>581</v>
      </c>
      <c r="O397" s="30" t="str">
        <f>IFERROR(VLOOKUP(Impuestos44[[#This Row],[Nro]],[4]Placas!$A:$D,4,0),"")</f>
        <v/>
      </c>
      <c r="P397" s="37"/>
      <c r="Q397" s="36"/>
      <c r="R397" s="38"/>
      <c r="S397" s="43"/>
      <c r="U397" s="40"/>
      <c r="V397" s="40"/>
      <c r="W397" s="40"/>
    </row>
    <row r="398" spans="3:23" x14ac:dyDescent="0.3">
      <c r="C398" s="35" t="str">
        <f>CONCATENATE(Impuestos44[[#This Row],[Placa Vehiculo]],Impuestos44[[#This Row],[Vales]])</f>
        <v>BZK-7984 Vales</v>
      </c>
      <c r="D398" s="36" t="s">
        <v>126</v>
      </c>
      <c r="E398" s="37" t="s">
        <v>569</v>
      </c>
      <c r="F398" s="36">
        <v>2025</v>
      </c>
      <c r="G398" s="38">
        <v>706.43</v>
      </c>
      <c r="H398" s="39"/>
      <c r="I398" t="str">
        <f>IF(Impuestos44[[#This Row],[Fecha]]="","",MONTH(Impuestos44[[#This Row],[Fecha]]))</f>
        <v/>
      </c>
      <c r="J398" s="40" t="s">
        <v>580</v>
      </c>
      <c r="K398" s="40" t="s">
        <v>37</v>
      </c>
      <c r="L398" t="s">
        <v>1161</v>
      </c>
      <c r="M398" s="30" t="s">
        <v>40</v>
      </c>
      <c r="N398" s="30" t="s">
        <v>581</v>
      </c>
      <c r="O398" s="30" t="str">
        <f>IFERROR(VLOOKUP(Impuestos44[[#This Row],[Nro]],[4]Placas!$A:$D,4,0),"")</f>
        <v/>
      </c>
      <c r="P398" s="37"/>
      <c r="Q398" s="36"/>
      <c r="R398" s="38"/>
      <c r="S398" s="43"/>
      <c r="U398" s="40"/>
      <c r="V398" s="40"/>
      <c r="W398" s="40"/>
    </row>
    <row r="399" spans="3:23" x14ac:dyDescent="0.3">
      <c r="C399" s="35" t="str">
        <f>CONCATENATE(Impuestos44[[#This Row],[Placa Vehiculo]],Impuestos44[[#This Row],[Vales]])</f>
        <v>BZO-7994 Vales</v>
      </c>
      <c r="D399" s="36" t="s">
        <v>127</v>
      </c>
      <c r="E399" s="37" t="s">
        <v>569</v>
      </c>
      <c r="F399" s="36">
        <v>2025</v>
      </c>
      <c r="G399" s="38">
        <v>706.43</v>
      </c>
      <c r="H399" s="39"/>
      <c r="I399" t="str">
        <f>IF(Impuestos44[[#This Row],[Fecha]]="","",MONTH(Impuestos44[[#This Row],[Fecha]]))</f>
        <v/>
      </c>
      <c r="J399" s="40" t="s">
        <v>580</v>
      </c>
      <c r="K399" s="40" t="s">
        <v>37</v>
      </c>
      <c r="L399" t="s">
        <v>1161</v>
      </c>
      <c r="M399" s="30" t="s">
        <v>40</v>
      </c>
      <c r="N399" s="30" t="s">
        <v>581</v>
      </c>
      <c r="O399" s="30" t="str">
        <f>IFERROR(VLOOKUP(Impuestos44[[#This Row],[Nro]],[4]Placas!$A:$D,4,0),"")</f>
        <v/>
      </c>
      <c r="P399" s="37"/>
      <c r="Q399" s="36"/>
      <c r="R399" s="38"/>
      <c r="S399" s="43"/>
      <c r="U399" s="40"/>
      <c r="V399" s="40"/>
      <c r="W399" s="40"/>
    </row>
    <row r="400" spans="3:23" x14ac:dyDescent="0.3">
      <c r="C400" s="35" t="str">
        <f>CONCATENATE(Impuestos44[[#This Row],[Placa Vehiculo]],Impuestos44[[#This Row],[Vales]])</f>
        <v>BZO-7554 Vales</v>
      </c>
      <c r="D400" s="36" t="s">
        <v>128</v>
      </c>
      <c r="E400" s="37" t="s">
        <v>569</v>
      </c>
      <c r="F400" s="36">
        <v>2025</v>
      </c>
      <c r="G400" s="38">
        <v>706.43</v>
      </c>
      <c r="H400" s="39"/>
      <c r="I400" t="str">
        <f>IF(Impuestos44[[#This Row],[Fecha]]="","",MONTH(Impuestos44[[#This Row],[Fecha]]))</f>
        <v/>
      </c>
      <c r="J400" s="40" t="s">
        <v>580</v>
      </c>
      <c r="K400" s="40" t="s">
        <v>37</v>
      </c>
      <c r="L400" t="s">
        <v>1161</v>
      </c>
      <c r="M400" s="30" t="s">
        <v>40</v>
      </c>
      <c r="N400" s="30" t="s">
        <v>581</v>
      </c>
      <c r="O400" s="30" t="str">
        <f>IFERROR(VLOOKUP(Impuestos44[[#This Row],[Nro]],[4]Placas!$A:$D,4,0),"")</f>
        <v/>
      </c>
      <c r="P400" s="37"/>
      <c r="Q400" s="36"/>
      <c r="R400" s="38"/>
      <c r="S400" s="43"/>
      <c r="U400" s="40"/>
      <c r="V400" s="40"/>
      <c r="W400" s="40"/>
    </row>
    <row r="401" spans="3:23" x14ac:dyDescent="0.3">
      <c r="C401" s="35" t="str">
        <f>CONCATENATE(Impuestos44[[#This Row],[Placa Vehiculo]],Impuestos44[[#This Row],[Vales]])</f>
        <v>BZO-9374 Vales</v>
      </c>
      <c r="D401" s="36" t="s">
        <v>129</v>
      </c>
      <c r="E401" s="37" t="s">
        <v>569</v>
      </c>
      <c r="F401" s="36">
        <v>2025</v>
      </c>
      <c r="G401" s="38">
        <v>706.43</v>
      </c>
      <c r="H401" s="39"/>
      <c r="I401" t="str">
        <f>IF(Impuestos44[[#This Row],[Fecha]]="","",MONTH(Impuestos44[[#This Row],[Fecha]]))</f>
        <v/>
      </c>
      <c r="J401" s="40" t="s">
        <v>580</v>
      </c>
      <c r="K401" s="40" t="s">
        <v>37</v>
      </c>
      <c r="L401" t="s">
        <v>1161</v>
      </c>
      <c r="M401" s="30" t="s">
        <v>40</v>
      </c>
      <c r="N401" s="30" t="s">
        <v>581</v>
      </c>
      <c r="O401" s="30" t="str">
        <f>IFERROR(VLOOKUP(Impuestos44[[#This Row],[Nro]],[4]Placas!$A:$D,4,0),"")</f>
        <v/>
      </c>
      <c r="P401" s="37"/>
      <c r="Q401" s="36"/>
      <c r="R401" s="38"/>
      <c r="S401" s="43"/>
      <c r="U401" s="40"/>
      <c r="V401" s="40"/>
      <c r="W401" s="40"/>
    </row>
    <row r="402" spans="3:23" x14ac:dyDescent="0.3">
      <c r="C402" s="35" t="str">
        <f>CONCATENATE(Impuestos44[[#This Row],[Placa Vehiculo]],Impuestos44[[#This Row],[Vales]])</f>
        <v>BZT-7254 Vales</v>
      </c>
      <c r="D402" s="36" t="s">
        <v>130</v>
      </c>
      <c r="E402" s="37" t="s">
        <v>569</v>
      </c>
      <c r="F402" s="36">
        <v>2025</v>
      </c>
      <c r="G402" s="38">
        <v>706.43</v>
      </c>
      <c r="H402" s="39"/>
      <c r="I402" t="str">
        <f>IF(Impuestos44[[#This Row],[Fecha]]="","",MONTH(Impuestos44[[#This Row],[Fecha]]))</f>
        <v/>
      </c>
      <c r="J402" s="40" t="s">
        <v>580</v>
      </c>
      <c r="K402" s="40" t="s">
        <v>37</v>
      </c>
      <c r="L402" t="s">
        <v>1161</v>
      </c>
      <c r="M402" s="30" t="s">
        <v>40</v>
      </c>
      <c r="N402" s="30" t="s">
        <v>581</v>
      </c>
      <c r="O402" s="30" t="str">
        <f>IFERROR(VLOOKUP(Impuestos44[[#This Row],[Nro]],[4]Placas!$A:$D,4,0),"")</f>
        <v/>
      </c>
      <c r="P402" s="37"/>
      <c r="Q402" s="36"/>
      <c r="R402" s="38"/>
      <c r="S402" s="43"/>
      <c r="U402" s="40"/>
      <c r="V402" s="40"/>
      <c r="W402" s="40"/>
    </row>
    <row r="403" spans="3:23" x14ac:dyDescent="0.3">
      <c r="C403" s="35" t="str">
        <f>CONCATENATE(Impuestos44[[#This Row],[Placa Vehiculo]],Impuestos44[[#This Row],[Vales]])</f>
        <v>CNK-5334 Vales</v>
      </c>
      <c r="D403" s="36" t="s">
        <v>101</v>
      </c>
      <c r="E403" s="37" t="s">
        <v>569</v>
      </c>
      <c r="F403" s="36">
        <v>2025</v>
      </c>
      <c r="G403" s="38">
        <v>350.68</v>
      </c>
      <c r="H403" s="39"/>
      <c r="I403" t="str">
        <f>IF(Impuestos44[[#This Row],[Fecha]]="","",MONTH(Impuestos44[[#This Row],[Fecha]]))</f>
        <v/>
      </c>
      <c r="J403" s="40" t="s">
        <v>580</v>
      </c>
      <c r="K403" s="40" t="s">
        <v>37</v>
      </c>
      <c r="L403" t="s">
        <v>1161</v>
      </c>
      <c r="M403" s="30" t="s">
        <v>54</v>
      </c>
      <c r="N403" s="30" t="s">
        <v>581</v>
      </c>
      <c r="O403" s="30" t="str">
        <f>IFERROR(VLOOKUP(Impuestos44[[#This Row],[Nro]],[4]Placas!$A:$D,4,0),"")</f>
        <v/>
      </c>
      <c r="P403" s="37"/>
      <c r="Q403" s="36"/>
      <c r="R403" s="38"/>
      <c r="S403" s="43"/>
      <c r="U403" s="40"/>
      <c r="V403" s="40"/>
      <c r="W403" s="40"/>
    </row>
    <row r="404" spans="3:23" x14ac:dyDescent="0.3">
      <c r="C404" s="35" t="str">
        <f>CONCATENATE(Impuestos44[[#This Row],[Placa Vehiculo]],Impuestos44[[#This Row],[Vales]])</f>
        <v>CAT-9474 Vales</v>
      </c>
      <c r="D404" s="36" t="s">
        <v>62</v>
      </c>
      <c r="E404" s="37" t="s">
        <v>569</v>
      </c>
      <c r="F404" s="36">
        <v>2025</v>
      </c>
      <c r="G404" s="38">
        <v>318.60000000000002</v>
      </c>
      <c r="H404" s="39"/>
      <c r="I404" t="str">
        <f>IF(Impuestos44[[#This Row],[Fecha]]="","",MONTH(Impuestos44[[#This Row],[Fecha]]))</f>
        <v/>
      </c>
      <c r="J404" s="40" t="s">
        <v>580</v>
      </c>
      <c r="K404" s="40" t="s">
        <v>37</v>
      </c>
      <c r="L404" t="s">
        <v>1161</v>
      </c>
      <c r="M404" s="30" t="s">
        <v>58</v>
      </c>
      <c r="N404" s="30" t="s">
        <v>581</v>
      </c>
      <c r="O404" s="30" t="str">
        <f>IFERROR(VLOOKUP(Impuestos44[[#This Row],[Nro]],[4]Placas!$A:$D,4,0),"")</f>
        <v/>
      </c>
      <c r="P404" s="37"/>
      <c r="Q404" s="36"/>
      <c r="R404" s="38"/>
      <c r="S404" s="43"/>
      <c r="U404" s="40"/>
      <c r="V404" s="40"/>
      <c r="W404" s="40"/>
    </row>
    <row r="405" spans="3:23" x14ac:dyDescent="0.3">
      <c r="C405" s="35" t="str">
        <f>CONCATENATE(Impuestos44[[#This Row],[Placa Vehiculo]],Impuestos44[[#This Row],[Vales]])</f>
        <v>CAU-7454 Vales</v>
      </c>
      <c r="D405" s="36" t="s">
        <v>63</v>
      </c>
      <c r="E405" s="37" t="s">
        <v>569</v>
      </c>
      <c r="F405" s="36">
        <v>2025</v>
      </c>
      <c r="G405" s="38">
        <v>318.60000000000002</v>
      </c>
      <c r="H405" s="39"/>
      <c r="I405" t="str">
        <f>IF(Impuestos44[[#This Row],[Fecha]]="","",MONTH(Impuestos44[[#This Row],[Fecha]]))</f>
        <v/>
      </c>
      <c r="J405" s="40" t="s">
        <v>580</v>
      </c>
      <c r="K405" s="40" t="s">
        <v>37</v>
      </c>
      <c r="L405" t="s">
        <v>1161</v>
      </c>
      <c r="M405" s="30" t="s">
        <v>58</v>
      </c>
      <c r="N405" s="30" t="s">
        <v>581</v>
      </c>
      <c r="O405" s="30" t="str">
        <f>IFERROR(VLOOKUP(Impuestos44[[#This Row],[Nro]],[4]Placas!$A:$D,4,0),"")</f>
        <v/>
      </c>
      <c r="P405" s="37"/>
      <c r="Q405" s="36"/>
      <c r="R405" s="38"/>
      <c r="S405" s="43"/>
      <c r="U405" s="40"/>
      <c r="V405" s="40"/>
      <c r="W405" s="40"/>
    </row>
    <row r="406" spans="3:23" x14ac:dyDescent="0.3">
      <c r="C406" s="35" t="str">
        <f>CONCATENATE(Impuestos44[[#This Row],[Placa Vehiculo]],Impuestos44[[#This Row],[Vales]])</f>
        <v>CAT-9364 Vales</v>
      </c>
      <c r="D406" s="36" t="s">
        <v>64</v>
      </c>
      <c r="E406" s="37" t="s">
        <v>569</v>
      </c>
      <c r="F406" s="36">
        <v>2025</v>
      </c>
      <c r="G406" s="38">
        <v>318.60000000000002</v>
      </c>
      <c r="H406" s="39"/>
      <c r="I406" t="str">
        <f>IF(Impuestos44[[#This Row],[Fecha]]="","",MONTH(Impuestos44[[#This Row],[Fecha]]))</f>
        <v/>
      </c>
      <c r="J406" s="40" t="s">
        <v>580</v>
      </c>
      <c r="K406" s="40" t="s">
        <v>37</v>
      </c>
      <c r="L406" t="s">
        <v>1161</v>
      </c>
      <c r="M406" s="30" t="s">
        <v>58</v>
      </c>
      <c r="N406" s="30" t="s">
        <v>581</v>
      </c>
      <c r="O406" s="30" t="str">
        <f>IFERROR(VLOOKUP(Impuestos44[[#This Row],[Nro]],[4]Placas!$A:$D,4,0),"")</f>
        <v/>
      </c>
      <c r="P406" s="37"/>
      <c r="Q406" s="36"/>
      <c r="R406" s="38"/>
      <c r="S406" s="43"/>
      <c r="U406" s="40"/>
      <c r="V406" s="40"/>
      <c r="W406" s="40"/>
    </row>
    <row r="407" spans="3:23" x14ac:dyDescent="0.3">
      <c r="C407" s="35" t="str">
        <f>CONCATENATE(Impuestos44[[#This Row],[Placa Vehiculo]],Impuestos44[[#This Row],[Vales]])</f>
        <v>CNK-6154 Vales</v>
      </c>
      <c r="D407" s="36" t="s">
        <v>85</v>
      </c>
      <c r="E407" s="37" t="s">
        <v>569</v>
      </c>
      <c r="F407" s="36">
        <v>2025</v>
      </c>
      <c r="G407" s="38">
        <v>325.24</v>
      </c>
      <c r="H407" s="39"/>
      <c r="I407" t="str">
        <f>IF(Impuestos44[[#This Row],[Fecha]]="","",MONTH(Impuestos44[[#This Row],[Fecha]]))</f>
        <v/>
      </c>
      <c r="J407" s="40" t="s">
        <v>580</v>
      </c>
      <c r="K407" s="40" t="s">
        <v>37</v>
      </c>
      <c r="L407" t="s">
        <v>1161</v>
      </c>
      <c r="M407" s="30" t="s">
        <v>54</v>
      </c>
      <c r="N407" s="30" t="s">
        <v>581</v>
      </c>
      <c r="O407" s="30" t="str">
        <f>IFERROR(VLOOKUP(Impuestos44[[#This Row],[Nro]],[4]Placas!$A:$D,4,0),"")</f>
        <v/>
      </c>
      <c r="P407" s="37"/>
      <c r="Q407" s="36"/>
      <c r="R407" s="38"/>
      <c r="S407" s="43"/>
      <c r="U407" s="40"/>
      <c r="V407" s="40"/>
      <c r="W407" s="40"/>
    </row>
    <row r="408" spans="3:23" x14ac:dyDescent="0.3">
      <c r="C408" s="35" t="str">
        <f>CONCATENATE(Impuestos44[[#This Row],[Placa Vehiculo]],Impuestos44[[#This Row],[Vales]])</f>
        <v>CNL-6894 Vales</v>
      </c>
      <c r="D408" s="36" t="s">
        <v>102</v>
      </c>
      <c r="E408" s="37" t="s">
        <v>569</v>
      </c>
      <c r="F408" s="36">
        <v>2025</v>
      </c>
      <c r="G408" s="38">
        <v>350.68</v>
      </c>
      <c r="H408" s="39"/>
      <c r="I408" t="str">
        <f>IF(Impuestos44[[#This Row],[Fecha]]="","",MONTH(Impuestos44[[#This Row],[Fecha]]))</f>
        <v/>
      </c>
      <c r="J408" s="40" t="s">
        <v>580</v>
      </c>
      <c r="K408" s="40" t="s">
        <v>37</v>
      </c>
      <c r="L408" t="s">
        <v>1161</v>
      </c>
      <c r="M408" s="30" t="s">
        <v>54</v>
      </c>
      <c r="N408" s="30" t="s">
        <v>581</v>
      </c>
      <c r="O408" s="30" t="str">
        <f>IFERROR(VLOOKUP(Impuestos44[[#This Row],[Nro]],[4]Placas!$A:$D,4,0),"")</f>
        <v/>
      </c>
      <c r="P408" s="37"/>
      <c r="Q408" s="36"/>
      <c r="R408" s="38"/>
      <c r="S408" s="43"/>
      <c r="U408" s="40"/>
      <c r="V408" s="40"/>
      <c r="W408" s="40"/>
    </row>
    <row r="409" spans="3:23" x14ac:dyDescent="0.3">
      <c r="C409" s="35" t="str">
        <f>CONCATENATE(Impuestos44[[#This Row],[Placa Vehiculo]],Impuestos44[[#This Row],[Vales]])</f>
        <v>CNK-5044 Vales</v>
      </c>
      <c r="D409" s="36" t="s">
        <v>86</v>
      </c>
      <c r="E409" s="37" t="s">
        <v>569</v>
      </c>
      <c r="F409" s="36">
        <v>2025</v>
      </c>
      <c r="G409" s="38">
        <v>325.24</v>
      </c>
      <c r="H409" s="39"/>
      <c r="I409" t="str">
        <f>IF(Impuestos44[[#This Row],[Fecha]]="","",MONTH(Impuestos44[[#This Row],[Fecha]]))</f>
        <v/>
      </c>
      <c r="J409" s="40" t="s">
        <v>580</v>
      </c>
      <c r="K409" s="40" t="s">
        <v>37</v>
      </c>
      <c r="L409" t="s">
        <v>1161</v>
      </c>
      <c r="M409" s="30" t="s">
        <v>54</v>
      </c>
      <c r="N409" s="30" t="s">
        <v>581</v>
      </c>
      <c r="O409" s="30" t="str">
        <f>IFERROR(VLOOKUP(Impuestos44[[#This Row],[Nro]],[4]Placas!$A:$D,4,0),"")</f>
        <v/>
      </c>
      <c r="P409" s="37"/>
      <c r="Q409" s="36"/>
      <c r="R409" s="38"/>
      <c r="S409" s="43"/>
      <c r="U409" s="40"/>
      <c r="V409" s="40"/>
      <c r="W409" s="40"/>
    </row>
    <row r="410" spans="3:23" x14ac:dyDescent="0.3">
      <c r="C410" s="35" t="str">
        <f>CONCATENATE(Impuestos44[[#This Row],[Placa Vehiculo]],Impuestos44[[#This Row],[Vales]])</f>
        <v>CNK-6444 Vales</v>
      </c>
      <c r="D410" s="36" t="s">
        <v>87</v>
      </c>
      <c r="E410" s="37" t="s">
        <v>569</v>
      </c>
      <c r="F410" s="36">
        <v>2025</v>
      </c>
      <c r="G410" s="38">
        <v>325.24</v>
      </c>
      <c r="H410" s="39"/>
      <c r="I410" t="str">
        <f>IF(Impuestos44[[#This Row],[Fecha]]="","",MONTH(Impuestos44[[#This Row],[Fecha]]))</f>
        <v/>
      </c>
      <c r="J410" s="40" t="s">
        <v>580</v>
      </c>
      <c r="K410" s="40" t="s">
        <v>37</v>
      </c>
      <c r="L410" t="s">
        <v>1161</v>
      </c>
      <c r="M410" s="30" t="s">
        <v>54</v>
      </c>
      <c r="N410" s="30" t="s">
        <v>581</v>
      </c>
      <c r="O410" s="30" t="str">
        <f>IFERROR(VLOOKUP(Impuestos44[[#This Row],[Nro]],[4]Placas!$A:$D,4,0),"")</f>
        <v/>
      </c>
      <c r="P410" s="37"/>
      <c r="Q410" s="36"/>
      <c r="R410" s="38"/>
      <c r="S410" s="43"/>
      <c r="U410" s="40"/>
      <c r="V410" s="40"/>
      <c r="W410" s="40"/>
    </row>
    <row r="411" spans="3:23" x14ac:dyDescent="0.3">
      <c r="C411" s="35" t="str">
        <f>CONCATENATE(Impuestos44[[#This Row],[Placa Vehiculo]],Impuestos44[[#This Row],[Vales]])</f>
        <v>CNK-6904 Vales</v>
      </c>
      <c r="D411" s="36" t="s">
        <v>103</v>
      </c>
      <c r="E411" s="37" t="s">
        <v>569</v>
      </c>
      <c r="F411" s="36">
        <v>2025</v>
      </c>
      <c r="G411" s="38">
        <v>350.68</v>
      </c>
      <c r="H411" s="39"/>
      <c r="I411" t="str">
        <f>IF(Impuestos44[[#This Row],[Fecha]]="","",MONTH(Impuestos44[[#This Row],[Fecha]]))</f>
        <v/>
      </c>
      <c r="J411" s="40" t="s">
        <v>580</v>
      </c>
      <c r="K411" s="40" t="s">
        <v>37</v>
      </c>
      <c r="L411" t="s">
        <v>1161</v>
      </c>
      <c r="M411" s="30" t="s">
        <v>54</v>
      </c>
      <c r="N411" s="30" t="s">
        <v>581</v>
      </c>
      <c r="O411" s="30" t="str">
        <f>IFERROR(VLOOKUP(Impuestos44[[#This Row],[Nro]],[4]Placas!$A:$D,4,0),"")</f>
        <v/>
      </c>
      <c r="P411" s="37"/>
      <c r="Q411" s="36"/>
      <c r="R411" s="38"/>
      <c r="S411" s="43"/>
      <c r="U411" s="40"/>
      <c r="V411" s="40"/>
      <c r="W411" s="40"/>
    </row>
    <row r="412" spans="3:23" x14ac:dyDescent="0.3">
      <c r="C412" s="35" t="str">
        <f>CONCATENATE(Impuestos44[[#This Row],[Placa Vehiculo]],Impuestos44[[#This Row],[Vales]])</f>
        <v>CNL-1654 Vales</v>
      </c>
      <c r="D412" s="36" t="s">
        <v>88</v>
      </c>
      <c r="E412" s="37" t="s">
        <v>569</v>
      </c>
      <c r="F412" s="36">
        <v>2025</v>
      </c>
      <c r="G412" s="38">
        <v>325.24</v>
      </c>
      <c r="H412" s="39"/>
      <c r="I412" t="str">
        <f>IF(Impuestos44[[#This Row],[Fecha]]="","",MONTH(Impuestos44[[#This Row],[Fecha]]))</f>
        <v/>
      </c>
      <c r="J412" s="40" t="s">
        <v>580</v>
      </c>
      <c r="K412" s="40" t="s">
        <v>37</v>
      </c>
      <c r="L412" t="s">
        <v>1161</v>
      </c>
      <c r="M412" s="30" t="s">
        <v>54</v>
      </c>
      <c r="N412" s="30" t="s">
        <v>581</v>
      </c>
      <c r="O412" s="30" t="str">
        <f>IFERROR(VLOOKUP(Impuestos44[[#This Row],[Nro]],[4]Placas!$A:$D,4,0),"")</f>
        <v/>
      </c>
      <c r="P412" s="37"/>
      <c r="Q412" s="36"/>
      <c r="R412" s="38"/>
      <c r="S412" s="43"/>
      <c r="U412" s="40"/>
      <c r="V412" s="40"/>
      <c r="W412" s="40"/>
    </row>
    <row r="413" spans="3:23" x14ac:dyDescent="0.3">
      <c r="C413" s="35" t="str">
        <f>CONCATENATE(Impuestos44[[#This Row],[Placa Vehiculo]],Impuestos44[[#This Row],[Vales]])</f>
        <v>CNL-0334 Vales</v>
      </c>
      <c r="D413" s="36" t="s">
        <v>89</v>
      </c>
      <c r="E413" s="37" t="s">
        <v>569</v>
      </c>
      <c r="F413" s="36">
        <v>2025</v>
      </c>
      <c r="G413" s="38">
        <v>325.24</v>
      </c>
      <c r="H413" s="39"/>
      <c r="I413" t="str">
        <f>IF(Impuestos44[[#This Row],[Fecha]]="","",MONTH(Impuestos44[[#This Row],[Fecha]]))</f>
        <v/>
      </c>
      <c r="J413" s="40" t="s">
        <v>580</v>
      </c>
      <c r="K413" s="40" t="s">
        <v>37</v>
      </c>
      <c r="L413" t="s">
        <v>1161</v>
      </c>
      <c r="M413" s="30" t="s">
        <v>54</v>
      </c>
      <c r="N413" s="30" t="s">
        <v>581</v>
      </c>
      <c r="O413" s="30" t="str">
        <f>IFERROR(VLOOKUP(Impuestos44[[#This Row],[Nro]],[4]Placas!$A:$D,4,0),"")</f>
        <v/>
      </c>
      <c r="P413" s="37"/>
      <c r="Q413" s="36"/>
      <c r="R413" s="38"/>
      <c r="S413" s="43"/>
      <c r="U413" s="40"/>
      <c r="V413" s="40"/>
      <c r="W413" s="40"/>
    </row>
    <row r="414" spans="3:23" x14ac:dyDescent="0.3">
      <c r="C414" s="35" t="str">
        <f>CONCATENATE(Impuestos44[[#This Row],[Placa Vehiculo]],Impuestos44[[#This Row],[Vales]])</f>
        <v>CNL-0754 Vales</v>
      </c>
      <c r="D414" s="36" t="s">
        <v>90</v>
      </c>
      <c r="E414" s="37" t="s">
        <v>569</v>
      </c>
      <c r="F414" s="36">
        <v>2025</v>
      </c>
      <c r="G414" s="38">
        <v>325.24</v>
      </c>
      <c r="H414" s="39"/>
      <c r="I414" t="str">
        <f>IF(Impuestos44[[#This Row],[Fecha]]="","",MONTH(Impuestos44[[#This Row],[Fecha]]))</f>
        <v/>
      </c>
      <c r="J414" s="40" t="s">
        <v>580</v>
      </c>
      <c r="K414" s="40" t="s">
        <v>37</v>
      </c>
      <c r="L414" t="s">
        <v>1161</v>
      </c>
      <c r="M414" s="30" t="s">
        <v>54</v>
      </c>
      <c r="N414" s="30" t="s">
        <v>581</v>
      </c>
      <c r="O414" s="30" t="str">
        <f>IFERROR(VLOOKUP(Impuestos44[[#This Row],[Nro]],[4]Placas!$A:$D,4,0),"")</f>
        <v/>
      </c>
      <c r="P414" s="37"/>
      <c r="Q414" s="36"/>
      <c r="R414" s="38"/>
      <c r="S414" s="43"/>
      <c r="U414" s="40"/>
      <c r="V414" s="40"/>
      <c r="W414" s="40"/>
    </row>
    <row r="415" spans="3:23" x14ac:dyDescent="0.3">
      <c r="C415" s="35" t="str">
        <f>CONCATENATE(Impuestos44[[#This Row],[Placa Vehiculo]],Impuestos44[[#This Row],[Vales]])</f>
        <v>CNL-4944 Vales</v>
      </c>
      <c r="D415" s="36" t="s">
        <v>104</v>
      </c>
      <c r="E415" s="37" t="s">
        <v>569</v>
      </c>
      <c r="F415" s="36">
        <v>2025</v>
      </c>
      <c r="G415" s="38">
        <v>350.68</v>
      </c>
      <c r="H415" s="39"/>
      <c r="I415" t="str">
        <f>IF(Impuestos44[[#This Row],[Fecha]]="","",MONTH(Impuestos44[[#This Row],[Fecha]]))</f>
        <v/>
      </c>
      <c r="J415" s="40" t="s">
        <v>580</v>
      </c>
      <c r="K415" s="40" t="s">
        <v>37</v>
      </c>
      <c r="L415" t="s">
        <v>1161</v>
      </c>
      <c r="M415" s="30" t="s">
        <v>54</v>
      </c>
      <c r="N415" s="30" t="s">
        <v>581</v>
      </c>
      <c r="O415" s="30" t="str">
        <f>IFERROR(VLOOKUP(Impuestos44[[#This Row],[Nro]],[4]Placas!$A:$D,4,0),"")</f>
        <v/>
      </c>
      <c r="P415" s="37"/>
      <c r="Q415" s="36"/>
      <c r="R415" s="38"/>
      <c r="S415" s="43"/>
      <c r="U415" s="40"/>
      <c r="V415" s="40"/>
      <c r="W415" s="40"/>
    </row>
    <row r="416" spans="3:23" x14ac:dyDescent="0.3">
      <c r="C416" s="35" t="str">
        <f>CONCATENATE(Impuestos44[[#This Row],[Placa Vehiculo]],Impuestos44[[#This Row],[Vales]])</f>
        <v>CNL-0124 Vales</v>
      </c>
      <c r="D416" s="36" t="s">
        <v>105</v>
      </c>
      <c r="E416" s="37" t="s">
        <v>569</v>
      </c>
      <c r="F416" s="36">
        <v>2025</v>
      </c>
      <c r="G416" s="38">
        <v>350.68</v>
      </c>
      <c r="H416" s="39"/>
      <c r="I416" t="str">
        <f>IF(Impuestos44[[#This Row],[Fecha]]="","",MONTH(Impuestos44[[#This Row],[Fecha]]))</f>
        <v/>
      </c>
      <c r="J416" s="40" t="s">
        <v>580</v>
      </c>
      <c r="K416" s="40" t="s">
        <v>37</v>
      </c>
      <c r="L416" t="s">
        <v>1161</v>
      </c>
      <c r="M416" s="30" t="s">
        <v>54</v>
      </c>
      <c r="N416" s="30" t="s">
        <v>581</v>
      </c>
      <c r="O416" s="30" t="str">
        <f>IFERROR(VLOOKUP(Impuestos44[[#This Row],[Nro]],[4]Placas!$A:$D,4,0),"")</f>
        <v/>
      </c>
      <c r="P416" s="37"/>
      <c r="Q416" s="36"/>
      <c r="R416" s="38"/>
      <c r="S416" s="43"/>
      <c r="U416" s="40"/>
      <c r="V416" s="40"/>
      <c r="W416" s="40"/>
    </row>
    <row r="417" spans="3:23" x14ac:dyDescent="0.3">
      <c r="C417" s="35" t="str">
        <f>CONCATENATE(Impuestos44[[#This Row],[Placa Vehiculo]],Impuestos44[[#This Row],[Vales]])</f>
        <v>CNK-6414 Vales</v>
      </c>
      <c r="D417" s="36" t="s">
        <v>106</v>
      </c>
      <c r="E417" s="37" t="s">
        <v>569</v>
      </c>
      <c r="F417" s="36">
        <v>2025</v>
      </c>
      <c r="G417" s="38">
        <v>350.68</v>
      </c>
      <c r="H417" s="39"/>
      <c r="I417" t="str">
        <f>IF(Impuestos44[[#This Row],[Fecha]]="","",MONTH(Impuestos44[[#This Row],[Fecha]]))</f>
        <v/>
      </c>
      <c r="J417" s="40" t="s">
        <v>580</v>
      </c>
      <c r="K417" s="40" t="s">
        <v>37</v>
      </c>
      <c r="L417" t="s">
        <v>1161</v>
      </c>
      <c r="M417" s="30" t="s">
        <v>54</v>
      </c>
      <c r="N417" s="30" t="s">
        <v>581</v>
      </c>
      <c r="O417" s="30" t="str">
        <f>IFERROR(VLOOKUP(Impuestos44[[#This Row],[Nro]],[4]Placas!$A:$D,4,0),"")</f>
        <v/>
      </c>
      <c r="P417" s="37"/>
      <c r="Q417" s="36"/>
      <c r="R417" s="38"/>
      <c r="S417" s="43"/>
      <c r="U417" s="40"/>
      <c r="V417" s="40"/>
      <c r="W417" s="40"/>
    </row>
    <row r="418" spans="3:23" x14ac:dyDescent="0.3">
      <c r="C418" s="35" t="str">
        <f>CONCATENATE(Impuestos44[[#This Row],[Placa Vehiculo]],Impuestos44[[#This Row],[Vales]])</f>
        <v>CNK-6394 Vales</v>
      </c>
      <c r="D418" s="36" t="s">
        <v>107</v>
      </c>
      <c r="E418" s="37" t="s">
        <v>569</v>
      </c>
      <c r="F418" s="36">
        <v>2025</v>
      </c>
      <c r="G418" s="38">
        <v>350.68</v>
      </c>
      <c r="H418" s="39"/>
      <c r="I418" t="str">
        <f>IF(Impuestos44[[#This Row],[Fecha]]="","",MONTH(Impuestos44[[#This Row],[Fecha]]))</f>
        <v/>
      </c>
      <c r="J418" s="40" t="s">
        <v>580</v>
      </c>
      <c r="K418" s="40" t="s">
        <v>37</v>
      </c>
      <c r="L418" t="s">
        <v>1161</v>
      </c>
      <c r="M418" s="30" t="s">
        <v>54</v>
      </c>
      <c r="N418" s="30" t="s">
        <v>581</v>
      </c>
      <c r="O418" s="30" t="str">
        <f>IFERROR(VLOOKUP(Impuestos44[[#This Row],[Nro]],[4]Placas!$A:$D,4,0),"")</f>
        <v/>
      </c>
      <c r="P418" s="37"/>
      <c r="Q418" s="36"/>
      <c r="R418" s="38"/>
      <c r="S418" s="43"/>
      <c r="U418" s="40"/>
      <c r="V418" s="40"/>
      <c r="W418" s="40"/>
    </row>
    <row r="419" spans="3:23" x14ac:dyDescent="0.3">
      <c r="C419" s="35" t="str">
        <f>CONCATENATE(Impuestos44[[#This Row],[Placa Vehiculo]],Impuestos44[[#This Row],[Vales]])</f>
        <v>CNK-4714 Vales</v>
      </c>
      <c r="D419" s="36" t="s">
        <v>108</v>
      </c>
      <c r="E419" s="37" t="s">
        <v>569</v>
      </c>
      <c r="F419" s="36">
        <v>2025</v>
      </c>
      <c r="G419" s="38">
        <v>350.68</v>
      </c>
      <c r="H419" s="39"/>
      <c r="I419" t="str">
        <f>IF(Impuestos44[[#This Row],[Fecha]]="","",MONTH(Impuestos44[[#This Row],[Fecha]]))</f>
        <v/>
      </c>
      <c r="J419" s="40" t="s">
        <v>580</v>
      </c>
      <c r="K419" s="40" t="s">
        <v>37</v>
      </c>
      <c r="L419" t="s">
        <v>1161</v>
      </c>
      <c r="M419" s="30" t="s">
        <v>54</v>
      </c>
      <c r="N419" s="30" t="s">
        <v>581</v>
      </c>
      <c r="O419" s="30" t="str">
        <f>IFERROR(VLOOKUP(Impuestos44[[#This Row],[Nro]],[4]Placas!$A:$D,4,0),"")</f>
        <v/>
      </c>
      <c r="P419" s="37"/>
      <c r="Q419" s="36"/>
      <c r="R419" s="38"/>
      <c r="S419" s="43"/>
      <c r="U419" s="40"/>
      <c r="V419" s="40"/>
      <c r="W419" s="40"/>
    </row>
    <row r="420" spans="3:23" x14ac:dyDescent="0.3">
      <c r="C420" s="35" t="str">
        <f>CONCATENATE(Impuestos44[[#This Row],[Placa Vehiculo]],Impuestos44[[#This Row],[Vales]])</f>
        <v>CCV-8774 Vales</v>
      </c>
      <c r="D420" s="36" t="s">
        <v>41</v>
      </c>
      <c r="E420" s="37" t="s">
        <v>569</v>
      </c>
      <c r="F420" s="36">
        <v>2025</v>
      </c>
      <c r="G420" s="38" t="s">
        <v>575</v>
      </c>
      <c r="H420" s="39"/>
      <c r="I420" t="str">
        <f>IF(Impuestos44[[#This Row],[Fecha]]="","",MONTH(Impuestos44[[#This Row],[Fecha]]))</f>
        <v/>
      </c>
      <c r="J420" s="40" t="s">
        <v>580</v>
      </c>
      <c r="K420" s="40" t="s">
        <v>37</v>
      </c>
      <c r="L420" t="s">
        <v>1162</v>
      </c>
      <c r="M420" s="30" t="s">
        <v>45</v>
      </c>
      <c r="N420" s="30" t="s">
        <v>581</v>
      </c>
      <c r="O420" s="30" t="str">
        <f>IFERROR(VLOOKUP(Impuestos44[[#This Row],[Nro]],[4]Placas!$A:$D,4,0),"")</f>
        <v/>
      </c>
      <c r="P420" s="37"/>
      <c r="Q420" s="36"/>
      <c r="R420" s="38"/>
      <c r="S420" s="43"/>
      <c r="U420" s="40"/>
      <c r="V420" s="40"/>
      <c r="W420" s="40"/>
    </row>
    <row r="421" spans="3:23" x14ac:dyDescent="0.3">
      <c r="C421" s="35" t="str">
        <f>CONCATENATE(Impuestos44[[#This Row],[Placa Vehiculo]],Impuestos44[[#This Row],[Vales]])</f>
        <v>CCV-8784 Vales</v>
      </c>
      <c r="D421" s="36" t="s">
        <v>47</v>
      </c>
      <c r="E421" s="37" t="s">
        <v>569</v>
      </c>
      <c r="F421" s="36">
        <v>2025</v>
      </c>
      <c r="G421" s="38" t="s">
        <v>575</v>
      </c>
      <c r="H421" s="39"/>
      <c r="I421" t="str">
        <f>IF(Impuestos44[[#This Row],[Fecha]]="","",MONTH(Impuestos44[[#This Row],[Fecha]]))</f>
        <v/>
      </c>
      <c r="J421" s="40" t="s">
        <v>580</v>
      </c>
      <c r="K421" s="40" t="s">
        <v>37</v>
      </c>
      <c r="L421" t="s">
        <v>1162</v>
      </c>
      <c r="M421" s="30" t="s">
        <v>45</v>
      </c>
      <c r="N421" s="30" t="s">
        <v>581</v>
      </c>
      <c r="O421" s="30" t="str">
        <f>IFERROR(VLOOKUP(Impuestos44[[#This Row],[Nro]],[4]Placas!$A:$D,4,0),"")</f>
        <v/>
      </c>
      <c r="P421" s="37"/>
      <c r="Q421" s="36"/>
      <c r="R421" s="38"/>
      <c r="S421" s="43"/>
      <c r="U421" s="40"/>
      <c r="V421" s="40"/>
      <c r="W421" s="40"/>
    </row>
    <row r="422" spans="3:23" x14ac:dyDescent="0.3">
      <c r="C422" s="35" t="str">
        <f>CONCATENATE(Impuestos44[[#This Row],[Placa Vehiculo]],Impuestos44[[#This Row],[Vales]])</f>
        <v>CCV-9384 Vales</v>
      </c>
      <c r="D422" s="36" t="s">
        <v>49</v>
      </c>
      <c r="E422" s="37" t="s">
        <v>569</v>
      </c>
      <c r="F422" s="36">
        <v>2025</v>
      </c>
      <c r="G422" s="38" t="s">
        <v>575</v>
      </c>
      <c r="H422" s="39"/>
      <c r="I422" t="str">
        <f>IF(Impuestos44[[#This Row],[Fecha]]="","",MONTH(Impuestos44[[#This Row],[Fecha]]))</f>
        <v/>
      </c>
      <c r="J422" s="40" t="s">
        <v>580</v>
      </c>
      <c r="K422" s="40" t="s">
        <v>37</v>
      </c>
      <c r="L422" t="s">
        <v>1162</v>
      </c>
      <c r="M422" s="30" t="s">
        <v>45</v>
      </c>
      <c r="N422" s="30" t="s">
        <v>581</v>
      </c>
      <c r="O422" s="30" t="str">
        <f>IFERROR(VLOOKUP(Impuestos44[[#This Row],[Nro]],[4]Placas!$A:$D,4,0),"")</f>
        <v/>
      </c>
      <c r="P422" s="37"/>
      <c r="Q422" s="36"/>
      <c r="R422" s="38"/>
      <c r="S422" s="43"/>
      <c r="U422" s="40"/>
      <c r="V422" s="40"/>
      <c r="W422" s="40"/>
    </row>
    <row r="423" spans="3:23" x14ac:dyDescent="0.3">
      <c r="C423" s="35" t="str">
        <f>CONCATENATE(Impuestos44[[#This Row],[Placa Vehiculo]],Impuestos44[[#This Row],[Vales]])</f>
        <v>CCX-9194 Vales</v>
      </c>
      <c r="D423" s="36" t="s">
        <v>50</v>
      </c>
      <c r="E423" s="37" t="s">
        <v>569</v>
      </c>
      <c r="F423" s="36">
        <v>2025</v>
      </c>
      <c r="G423" s="38" t="s">
        <v>575</v>
      </c>
      <c r="H423" s="39"/>
      <c r="I423" t="str">
        <f>IF(Impuestos44[[#This Row],[Fecha]]="","",MONTH(Impuestos44[[#This Row],[Fecha]]))</f>
        <v/>
      </c>
      <c r="J423" s="40" t="s">
        <v>580</v>
      </c>
      <c r="K423" s="40" t="s">
        <v>37</v>
      </c>
      <c r="L423" t="s">
        <v>1162</v>
      </c>
      <c r="M423" s="30" t="s">
        <v>45</v>
      </c>
      <c r="N423" s="30" t="s">
        <v>581</v>
      </c>
      <c r="O423" s="30" t="str">
        <f>IFERROR(VLOOKUP(Impuestos44[[#This Row],[Nro]],[4]Placas!$A:$D,4,0),"")</f>
        <v/>
      </c>
      <c r="P423" s="37"/>
      <c r="Q423" s="36"/>
      <c r="R423" s="38"/>
      <c r="S423" s="43"/>
      <c r="U423" s="40"/>
      <c r="V423" s="40"/>
      <c r="W423" s="40"/>
    </row>
    <row r="424" spans="3:23" x14ac:dyDescent="0.3">
      <c r="C424" s="35" t="str">
        <f>CONCATENATE(Impuestos44[[#This Row],[Placa Vehiculo]],Impuestos44[[#This Row],[Vales]])</f>
        <v>CCV-7574 Vales</v>
      </c>
      <c r="D424" s="36" t="s">
        <v>51</v>
      </c>
      <c r="E424" s="37" t="s">
        <v>569</v>
      </c>
      <c r="F424" s="36">
        <v>2025</v>
      </c>
      <c r="G424" s="38" t="s">
        <v>575</v>
      </c>
      <c r="H424" s="39"/>
      <c r="I424" t="str">
        <f>IF(Impuestos44[[#This Row],[Fecha]]="","",MONTH(Impuestos44[[#This Row],[Fecha]]))</f>
        <v/>
      </c>
      <c r="J424" s="40" t="s">
        <v>580</v>
      </c>
      <c r="K424" s="40" t="s">
        <v>37</v>
      </c>
      <c r="L424" t="s">
        <v>1162</v>
      </c>
      <c r="M424" s="30" t="s">
        <v>45</v>
      </c>
      <c r="N424" s="30" t="s">
        <v>581</v>
      </c>
      <c r="O424" s="30" t="str">
        <f>IFERROR(VLOOKUP(Impuestos44[[#This Row],[Nro]],[4]Placas!$A:$D,4,0),"")</f>
        <v/>
      </c>
      <c r="P424" s="37"/>
      <c r="Q424" s="36"/>
      <c r="R424" s="38"/>
      <c r="S424" s="43"/>
      <c r="U424" s="40"/>
      <c r="V424" s="40"/>
      <c r="W424" s="40"/>
    </row>
    <row r="425" spans="3:23" x14ac:dyDescent="0.3">
      <c r="C425" s="35" t="str">
        <f>CONCATENATE(Impuestos44[[#This Row],[Placa Vehiculo]],Impuestos44[[#This Row],[Vales]])</f>
        <v>CCU-8774 Vales</v>
      </c>
      <c r="D425" s="36" t="s">
        <v>53</v>
      </c>
      <c r="E425" s="37" t="s">
        <v>569</v>
      </c>
      <c r="F425" s="36">
        <v>2025</v>
      </c>
      <c r="G425" s="38" t="s">
        <v>575</v>
      </c>
      <c r="H425" s="39"/>
      <c r="I425" t="str">
        <f>IF(Impuestos44[[#This Row],[Fecha]]="","",MONTH(Impuestos44[[#This Row],[Fecha]]))</f>
        <v/>
      </c>
      <c r="J425" s="40" t="s">
        <v>580</v>
      </c>
      <c r="K425" s="40" t="s">
        <v>37</v>
      </c>
      <c r="L425" t="s">
        <v>1162</v>
      </c>
      <c r="M425" s="30" t="s">
        <v>45</v>
      </c>
      <c r="N425" s="30" t="s">
        <v>581</v>
      </c>
      <c r="O425" s="30" t="str">
        <f>IFERROR(VLOOKUP(Impuestos44[[#This Row],[Nro]],[4]Placas!$A:$D,4,0),"")</f>
        <v/>
      </c>
      <c r="P425" s="37"/>
      <c r="Q425" s="36"/>
      <c r="R425" s="38"/>
      <c r="S425" s="43"/>
      <c r="U425" s="40"/>
      <c r="V425" s="40"/>
      <c r="W425" s="40"/>
    </row>
    <row r="426" spans="3:23" x14ac:dyDescent="0.3">
      <c r="C426" s="35" t="str">
        <f>CONCATENATE(Impuestos44[[#This Row],[Placa Vehiculo]],Impuestos44[[#This Row],[Vales]])</f>
        <v>CCX-8834 Vales</v>
      </c>
      <c r="D426" s="36" t="s">
        <v>55</v>
      </c>
      <c r="E426" s="37" t="s">
        <v>569</v>
      </c>
      <c r="F426" s="36">
        <v>2025</v>
      </c>
      <c r="G426" s="38" t="s">
        <v>575</v>
      </c>
      <c r="H426" s="39"/>
      <c r="I426" t="str">
        <f>IF(Impuestos44[[#This Row],[Fecha]]="","",MONTH(Impuestos44[[#This Row],[Fecha]]))</f>
        <v/>
      </c>
      <c r="J426" s="40" t="s">
        <v>580</v>
      </c>
      <c r="K426" s="40" t="s">
        <v>37</v>
      </c>
      <c r="L426" t="s">
        <v>1162</v>
      </c>
      <c r="M426" s="30" t="s">
        <v>45</v>
      </c>
      <c r="N426" s="30" t="s">
        <v>581</v>
      </c>
      <c r="O426" s="30" t="str">
        <f>IFERROR(VLOOKUP(Impuestos44[[#This Row],[Nro]],[4]Placas!$A:$D,4,0),"")</f>
        <v/>
      </c>
      <c r="P426" s="37"/>
      <c r="Q426" s="36"/>
      <c r="R426" s="38"/>
      <c r="S426" s="43"/>
      <c r="U426" s="40"/>
      <c r="V426" s="40"/>
      <c r="W426" s="40"/>
    </row>
    <row r="427" spans="3:23" x14ac:dyDescent="0.3">
      <c r="C427" s="35" t="str">
        <f>CONCATENATE(Impuestos44[[#This Row],[Placa Vehiculo]],Impuestos44[[#This Row],[Vales]])</f>
        <v>CCV-8474 Vales</v>
      </c>
      <c r="D427" s="36" t="s">
        <v>57</v>
      </c>
      <c r="E427" s="37" t="s">
        <v>569</v>
      </c>
      <c r="F427" s="36">
        <v>2025</v>
      </c>
      <c r="G427" s="38" t="s">
        <v>575</v>
      </c>
      <c r="H427" s="39"/>
      <c r="I427" t="str">
        <f>IF(Impuestos44[[#This Row],[Fecha]]="","",MONTH(Impuestos44[[#This Row],[Fecha]]))</f>
        <v/>
      </c>
      <c r="J427" s="40" t="s">
        <v>580</v>
      </c>
      <c r="K427" s="40" t="s">
        <v>37</v>
      </c>
      <c r="L427" t="s">
        <v>1162</v>
      </c>
      <c r="M427" s="30" t="s">
        <v>45</v>
      </c>
      <c r="N427" s="30" t="s">
        <v>581</v>
      </c>
      <c r="O427" s="30" t="str">
        <f>IFERROR(VLOOKUP(Impuestos44[[#This Row],[Nro]],[4]Placas!$A:$D,4,0),"")</f>
        <v/>
      </c>
      <c r="P427" s="37"/>
      <c r="Q427" s="36"/>
      <c r="R427" s="38"/>
      <c r="S427" s="43"/>
      <c r="U427" s="40"/>
      <c r="V427" s="40"/>
      <c r="W427" s="40"/>
    </row>
    <row r="428" spans="3:23" x14ac:dyDescent="0.3">
      <c r="C428" s="35" t="str">
        <f>CONCATENATE(Impuestos44[[#This Row],[Placa Vehiculo]],Impuestos44[[#This Row],[Vales]])</f>
        <v>CNL-0174 Vales</v>
      </c>
      <c r="D428" s="36" t="s">
        <v>33</v>
      </c>
      <c r="E428" s="37" t="s">
        <v>569</v>
      </c>
      <c r="F428" s="36">
        <v>2025</v>
      </c>
      <c r="G428" s="38">
        <v>575.25</v>
      </c>
      <c r="H428" s="39"/>
      <c r="I428" t="str">
        <f>IF(Impuestos44[[#This Row],[Fecha]]="","",MONTH(Impuestos44[[#This Row],[Fecha]]))</f>
        <v/>
      </c>
      <c r="J428" s="40" t="s">
        <v>580</v>
      </c>
      <c r="K428" s="40" t="s">
        <v>37</v>
      </c>
      <c r="L428" t="s">
        <v>1161</v>
      </c>
      <c r="M428" s="30" t="s">
        <v>39</v>
      </c>
      <c r="N428" s="30" t="s">
        <v>581</v>
      </c>
      <c r="O428" s="30" t="str">
        <f>IFERROR(VLOOKUP(Impuestos44[[#This Row],[Nro]],[4]Placas!$A:$D,4,0),"")</f>
        <v/>
      </c>
      <c r="P428" s="37"/>
      <c r="Q428" s="36"/>
      <c r="R428" s="38"/>
      <c r="S428" s="43"/>
      <c r="U428" s="40"/>
      <c r="V428" s="40"/>
      <c r="W428" s="40"/>
    </row>
    <row r="429" spans="3:23" x14ac:dyDescent="0.3">
      <c r="C429" s="35" t="str">
        <f>CONCATENATE(Impuestos44[[#This Row],[Placa Vehiculo]],Impuestos44[[#This Row],[Vales]])</f>
        <v>CAU-7294 Vales</v>
      </c>
      <c r="D429" s="36" t="s">
        <v>65</v>
      </c>
      <c r="E429" s="37" t="s">
        <v>569</v>
      </c>
      <c r="F429" s="36">
        <v>2025</v>
      </c>
      <c r="G429" s="38">
        <v>318.60000000000002</v>
      </c>
      <c r="H429" s="39"/>
      <c r="I429" t="str">
        <f>IF(Impuestos44[[#This Row],[Fecha]]="","",MONTH(Impuestos44[[#This Row],[Fecha]]))</f>
        <v/>
      </c>
      <c r="J429" s="40" t="s">
        <v>580</v>
      </c>
      <c r="K429" s="40" t="s">
        <v>37</v>
      </c>
      <c r="L429" t="s">
        <v>1161</v>
      </c>
      <c r="M429" s="30" t="s">
        <v>58</v>
      </c>
      <c r="N429" s="30" t="s">
        <v>581</v>
      </c>
      <c r="O429" s="30" t="str">
        <f>IFERROR(VLOOKUP(Impuestos44[[#This Row],[Nro]],[4]Placas!$A:$D,4,0),"")</f>
        <v/>
      </c>
      <c r="P429" s="37"/>
      <c r="Q429" s="36"/>
      <c r="R429" s="38"/>
      <c r="S429" s="43"/>
      <c r="U429" s="40"/>
      <c r="V429" s="40"/>
      <c r="W429" s="40"/>
    </row>
    <row r="430" spans="3:23" x14ac:dyDescent="0.3">
      <c r="C430" s="35" t="str">
        <f>CONCATENATE(Impuestos44[[#This Row],[Placa Vehiculo]],Impuestos44[[#This Row],[Vales]])</f>
        <v>CAU-7414 Vales</v>
      </c>
      <c r="D430" s="36" t="s">
        <v>67</v>
      </c>
      <c r="E430" s="37" t="s">
        <v>569</v>
      </c>
      <c r="F430" s="36">
        <v>2025</v>
      </c>
      <c r="G430" s="38">
        <v>318.60000000000002</v>
      </c>
      <c r="H430" s="39"/>
      <c r="I430" t="str">
        <f>IF(Impuestos44[[#This Row],[Fecha]]="","",MONTH(Impuestos44[[#This Row],[Fecha]]))</f>
        <v/>
      </c>
      <c r="J430" s="40" t="s">
        <v>580</v>
      </c>
      <c r="K430" s="40" t="s">
        <v>37</v>
      </c>
      <c r="L430" t="s">
        <v>1161</v>
      </c>
      <c r="M430" s="30" t="s">
        <v>58</v>
      </c>
      <c r="N430" s="30" t="s">
        <v>581</v>
      </c>
      <c r="O430" s="30" t="str">
        <f>IFERROR(VLOOKUP(Impuestos44[[#This Row],[Nro]],[4]Placas!$A:$D,4,0),"")</f>
        <v/>
      </c>
      <c r="P430" s="37"/>
      <c r="Q430" s="36"/>
      <c r="R430" s="38"/>
      <c r="S430" s="43"/>
      <c r="U430" s="40"/>
      <c r="V430" s="40"/>
      <c r="W430" s="40"/>
    </row>
    <row r="431" spans="3:23" x14ac:dyDescent="0.3">
      <c r="C431" s="35" t="str">
        <f>CONCATENATE(Impuestos44[[#This Row],[Placa Vehiculo]],Impuestos44[[#This Row],[Vales]])</f>
        <v>CAU-7324 Vales</v>
      </c>
      <c r="D431" s="36" t="s">
        <v>68</v>
      </c>
      <c r="E431" s="37" t="s">
        <v>569</v>
      </c>
      <c r="F431" s="36">
        <v>2025</v>
      </c>
      <c r="G431" s="38">
        <v>318.60000000000002</v>
      </c>
      <c r="H431" s="39"/>
      <c r="I431" t="str">
        <f>IF(Impuestos44[[#This Row],[Fecha]]="","",MONTH(Impuestos44[[#This Row],[Fecha]]))</f>
        <v/>
      </c>
      <c r="J431" s="40" t="s">
        <v>580</v>
      </c>
      <c r="K431" s="40" t="s">
        <v>37</v>
      </c>
      <c r="L431" t="s">
        <v>1161</v>
      </c>
      <c r="M431" s="30" t="s">
        <v>58</v>
      </c>
      <c r="N431" s="30" t="s">
        <v>581</v>
      </c>
      <c r="O431" s="30" t="str">
        <f>IFERROR(VLOOKUP(Impuestos44[[#This Row],[Nro]],[4]Placas!$A:$D,4,0),"")</f>
        <v/>
      </c>
      <c r="P431" s="37"/>
      <c r="Q431" s="36"/>
      <c r="R431" s="38"/>
      <c r="S431" s="43"/>
      <c r="U431" s="40"/>
      <c r="V431" s="40"/>
      <c r="W431" s="40"/>
    </row>
    <row r="432" spans="3:23" x14ac:dyDescent="0.3">
      <c r="C432" s="35" t="str">
        <f>CONCATENATE(Impuestos44[[#This Row],[Placa Vehiculo]],Impuestos44[[#This Row],[Vales]])</f>
        <v>CAU-7154 Vales</v>
      </c>
      <c r="D432" s="36" t="s">
        <v>8</v>
      </c>
      <c r="E432" s="37" t="s">
        <v>569</v>
      </c>
      <c r="F432" s="36">
        <v>2025</v>
      </c>
      <c r="G432" s="38">
        <v>318.60000000000002</v>
      </c>
      <c r="H432" s="39"/>
      <c r="I432" t="str">
        <f>IF(Impuestos44[[#This Row],[Fecha]]="","",MONTH(Impuestos44[[#This Row],[Fecha]]))</f>
        <v/>
      </c>
      <c r="J432" s="40" t="s">
        <v>580</v>
      </c>
      <c r="K432" s="40" t="s">
        <v>37</v>
      </c>
      <c r="L432" t="s">
        <v>1161</v>
      </c>
      <c r="M432" s="30" t="s">
        <v>58</v>
      </c>
      <c r="N432" s="30" t="s">
        <v>581</v>
      </c>
      <c r="O432" s="30" t="str">
        <f>IFERROR(VLOOKUP(Impuestos44[[#This Row],[Nro]],[4]Placas!$A:$D,4,0),"")</f>
        <v/>
      </c>
      <c r="P432" s="37"/>
      <c r="Q432" s="36"/>
      <c r="R432" s="38"/>
      <c r="S432" s="43"/>
      <c r="U432" s="40"/>
      <c r="V432" s="40"/>
      <c r="W432" s="40"/>
    </row>
    <row r="433" spans="3:23" x14ac:dyDescent="0.3">
      <c r="C433" s="35" t="str">
        <f>CONCATENATE(Impuestos44[[#This Row],[Placa Vehiculo]],Impuestos44[[#This Row],[Vales]])</f>
        <v>CNK-6884 Vales</v>
      </c>
      <c r="D433" s="36" t="s">
        <v>69</v>
      </c>
      <c r="E433" s="37" t="s">
        <v>569</v>
      </c>
      <c r="F433" s="36">
        <v>2025</v>
      </c>
      <c r="G433" s="38">
        <v>674.81</v>
      </c>
      <c r="H433" s="39"/>
      <c r="I433" t="str">
        <f>IF(Impuestos44[[#This Row],[Fecha]]="","",MONTH(Impuestos44[[#This Row],[Fecha]]))</f>
        <v/>
      </c>
      <c r="J433" s="40" t="s">
        <v>580</v>
      </c>
      <c r="K433" s="40" t="s">
        <v>37</v>
      </c>
      <c r="L433" t="s">
        <v>1161</v>
      </c>
      <c r="M433" s="30" t="s">
        <v>52</v>
      </c>
      <c r="N433" s="30" t="s">
        <v>581</v>
      </c>
      <c r="O433" s="30" t="str">
        <f>IFERROR(VLOOKUP(Impuestos44[[#This Row],[Nro]],[4]Placas!$A:$D,4,0),"")</f>
        <v/>
      </c>
      <c r="P433" s="37"/>
      <c r="Q433" s="36"/>
      <c r="R433" s="38"/>
      <c r="S433" s="43"/>
      <c r="U433" s="40"/>
      <c r="V433" s="40"/>
      <c r="W433" s="40"/>
    </row>
    <row r="434" spans="3:23" x14ac:dyDescent="0.3">
      <c r="C434" s="35" t="str">
        <f>CONCATENATE(Impuestos44[[#This Row],[Placa Vehiculo]],Impuestos44[[#This Row],[Vales]])</f>
        <v>CNL-6324 Vales</v>
      </c>
      <c r="D434" s="36" t="s">
        <v>109</v>
      </c>
      <c r="E434" s="37" t="s">
        <v>569</v>
      </c>
      <c r="F434" s="36">
        <v>2025</v>
      </c>
      <c r="G434" s="38">
        <v>350.68</v>
      </c>
      <c r="H434" s="39"/>
      <c r="I434" t="str">
        <f>IF(Impuestos44[[#This Row],[Fecha]]="","",MONTH(Impuestos44[[#This Row],[Fecha]]))</f>
        <v/>
      </c>
      <c r="J434" s="40" t="s">
        <v>580</v>
      </c>
      <c r="K434" s="40" t="s">
        <v>37</v>
      </c>
      <c r="L434" t="s">
        <v>1161</v>
      </c>
      <c r="M434" s="30" t="s">
        <v>54</v>
      </c>
      <c r="N434" s="30" t="s">
        <v>581</v>
      </c>
      <c r="O434" s="30" t="str">
        <f>IFERROR(VLOOKUP(Impuestos44[[#This Row],[Nro]],[4]Placas!$A:$D,4,0),"")</f>
        <v/>
      </c>
      <c r="P434" s="37"/>
      <c r="Q434" s="36"/>
      <c r="R434" s="38"/>
      <c r="S434" s="43"/>
      <c r="U434" s="40"/>
      <c r="V434" s="40"/>
      <c r="W434" s="40"/>
    </row>
    <row r="435" spans="3:23" x14ac:dyDescent="0.3">
      <c r="C435" s="35" t="str">
        <f>CONCATENATE(Impuestos44[[#This Row],[Placa Vehiculo]],Impuestos44[[#This Row],[Vales]])</f>
        <v>CDR-9484 Vales</v>
      </c>
      <c r="D435" s="36" t="s">
        <v>115</v>
      </c>
      <c r="E435" s="37" t="s">
        <v>569</v>
      </c>
      <c r="F435" s="36">
        <v>2025</v>
      </c>
      <c r="G435" s="38" t="s">
        <v>575</v>
      </c>
      <c r="H435" s="39"/>
      <c r="I435" t="str">
        <f>IF(Impuestos44[[#This Row],[Fecha]]="","",MONTH(Impuestos44[[#This Row],[Fecha]]))</f>
        <v/>
      </c>
      <c r="J435" s="40" t="s">
        <v>580</v>
      </c>
      <c r="K435" s="40" t="s">
        <v>37</v>
      </c>
      <c r="L435" t="s">
        <v>1162</v>
      </c>
      <c r="M435" s="30" t="s">
        <v>46</v>
      </c>
      <c r="N435" s="30" t="s">
        <v>581</v>
      </c>
      <c r="O435" s="30" t="str">
        <f>IFERROR(VLOOKUP(Impuestos44[[#This Row],[Nro]],[4]Placas!$A:$D,4,0),"")</f>
        <v/>
      </c>
      <c r="P435" s="37"/>
      <c r="Q435" s="36"/>
      <c r="R435" s="38"/>
      <c r="S435" s="43"/>
      <c r="U435" s="40"/>
      <c r="V435" s="40"/>
      <c r="W435" s="40"/>
    </row>
    <row r="436" spans="3:23" x14ac:dyDescent="0.3">
      <c r="C436" s="35" t="str">
        <f>CONCATENATE(Impuestos44[[#This Row],[Placa Vehiculo]],Impuestos44[[#This Row],[Vales]])</f>
        <v>CPB-0544 Vales</v>
      </c>
      <c r="D436" s="36" t="s">
        <v>171</v>
      </c>
      <c r="E436" s="37" t="s">
        <v>569</v>
      </c>
      <c r="F436" s="36">
        <v>2025</v>
      </c>
      <c r="G436" s="38" t="s">
        <v>575</v>
      </c>
      <c r="H436" s="39"/>
      <c r="I436" t="str">
        <f>IF(Impuestos44[[#This Row],[Fecha]]="","",MONTH(Impuestos44[[#This Row],[Fecha]]))</f>
        <v/>
      </c>
      <c r="J436" s="40" t="s">
        <v>580</v>
      </c>
      <c r="K436" s="40" t="s">
        <v>37</v>
      </c>
      <c r="L436" t="s">
        <v>1161</v>
      </c>
      <c r="M436" s="30" t="s">
        <v>32</v>
      </c>
      <c r="N436" s="30" t="s">
        <v>581</v>
      </c>
      <c r="O436" s="30" t="str">
        <f>IFERROR(VLOOKUP(Impuestos44[[#This Row],[Nro]],[4]Placas!$A:$D,4,0),"")</f>
        <v/>
      </c>
      <c r="P436" s="37"/>
      <c r="Q436" s="36"/>
      <c r="R436" s="38"/>
      <c r="S436" s="43"/>
      <c r="U436" s="40"/>
      <c r="V436" s="40"/>
      <c r="W436" s="40"/>
    </row>
    <row r="438" spans="3:23" x14ac:dyDescent="0.3">
      <c r="G438" s="40"/>
    </row>
  </sheetData>
  <sheetProtection selectLockedCells="1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4A56-BEEB-4601-B78D-70AD99DCA796}">
  <sheetPr>
    <tabColor theme="5"/>
  </sheetPr>
  <dimension ref="A1:R38"/>
  <sheetViews>
    <sheetView zoomScaleNormal="100" workbookViewId="0">
      <selection activeCell="J13" sqref="J13"/>
    </sheetView>
  </sheetViews>
  <sheetFormatPr baseColWidth="10" defaultColWidth="11" defaultRowHeight="14" x14ac:dyDescent="0.3"/>
  <cols>
    <col min="1" max="1" width="2.33203125" style="17" customWidth="1"/>
    <col min="2" max="2" width="1.58203125" customWidth="1"/>
    <col min="3" max="3" width="4.25" customWidth="1"/>
    <col min="4" max="4" width="19.58203125" bestFit="1" customWidth="1"/>
    <col min="5" max="5" width="12.58203125" bestFit="1" customWidth="1"/>
    <col min="6" max="6" width="12.08203125" customWidth="1"/>
    <col min="7" max="7" width="10.83203125" bestFit="1" customWidth="1"/>
    <col min="8" max="8" width="11.83203125" bestFit="1" customWidth="1"/>
    <col min="9" max="9" width="13.33203125" bestFit="1" customWidth="1"/>
    <col min="10" max="10" width="18.58203125" bestFit="1" customWidth="1"/>
  </cols>
  <sheetData>
    <row r="1" spans="1:18" s="18" customFormat="1" ht="36" thickBot="1" x14ac:dyDescent="0.35">
      <c r="A1" s="17"/>
      <c r="C1" s="19" t="s">
        <v>582</v>
      </c>
      <c r="D1" s="20"/>
    </row>
    <row r="3" spans="1:18" x14ac:dyDescent="0.3">
      <c r="D3" s="3" t="s">
        <v>583</v>
      </c>
      <c r="E3" s="4">
        <f>$E$29</f>
        <v>154.19248352165727</v>
      </c>
      <c r="G3" s="3" t="s">
        <v>584</v>
      </c>
      <c r="H3" s="47">
        <v>156</v>
      </c>
      <c r="I3" t="s">
        <v>585</v>
      </c>
    </row>
    <row r="5" spans="1:18" x14ac:dyDescent="0.3">
      <c r="C5" t="s">
        <v>586</v>
      </c>
      <c r="D5" s="33"/>
      <c r="E5" s="11"/>
      <c r="F5" s="46">
        <v>3.64</v>
      </c>
    </row>
    <row r="6" spans="1:18" ht="8.15" customHeight="1" x14ac:dyDescent="0.3">
      <c r="D6" s="33"/>
      <c r="E6" s="11"/>
      <c r="F6" s="46"/>
    </row>
    <row r="7" spans="1:18" ht="39" x14ac:dyDescent="0.3">
      <c r="C7" s="22" t="s">
        <v>587</v>
      </c>
      <c r="D7" s="22" t="s">
        <v>588</v>
      </c>
      <c r="E7" s="23" t="s">
        <v>589</v>
      </c>
      <c r="F7" s="22" t="s">
        <v>590</v>
      </c>
      <c r="G7" s="22" t="s">
        <v>591</v>
      </c>
      <c r="H7" s="22" t="s">
        <v>592</v>
      </c>
      <c r="I7" s="22" t="s">
        <v>270</v>
      </c>
      <c r="R7" t="s">
        <v>593</v>
      </c>
    </row>
    <row r="8" spans="1:18" x14ac:dyDescent="0.3">
      <c r="C8" s="7">
        <f>ROW(A1)</f>
        <v>1</v>
      </c>
      <c r="D8" s="24" t="s">
        <v>594</v>
      </c>
      <c r="E8" s="8">
        <v>3012500003618</v>
      </c>
      <c r="F8" s="9">
        <v>45706</v>
      </c>
      <c r="G8" s="48">
        <v>6597.58</v>
      </c>
      <c r="H8" s="49">
        <f>Pólizas[[#This Row],[Monto a pagar USD (incluye IGV)]]*$F$5</f>
        <v>24015.191200000001</v>
      </c>
      <c r="I8" s="10" t="s">
        <v>595</v>
      </c>
      <c r="R8" s="48">
        <v>86975.23</v>
      </c>
    </row>
    <row r="9" spans="1:18" x14ac:dyDescent="0.3">
      <c r="C9" s="11">
        <v>2</v>
      </c>
      <c r="D9" t="s">
        <v>596</v>
      </c>
      <c r="E9" s="8">
        <v>3012500003618</v>
      </c>
      <c r="F9" s="9">
        <v>45706</v>
      </c>
      <c r="G9" s="48">
        <v>86975.23</v>
      </c>
      <c r="H9" s="30">
        <f>Pólizas[[#This Row],[Monto a pagar USD (incluye IGV)]]*$F$5</f>
        <v>316589.83720000001</v>
      </c>
      <c r="I9" s="10" t="s">
        <v>595</v>
      </c>
      <c r="R9" s="48">
        <v>6597.58</v>
      </c>
    </row>
    <row r="10" spans="1:18" x14ac:dyDescent="0.3">
      <c r="C10" s="7"/>
      <c r="D10" s="55" t="s">
        <v>595</v>
      </c>
      <c r="E10" s="8"/>
      <c r="F10" s="50"/>
      <c r="G10" s="48">
        <f>SUM(Pólizas[Monto a pagar USD (incluye IGV)])</f>
        <v>93572.81</v>
      </c>
      <c r="H10" s="58">
        <f>SUM(Pólizas[Monto a pagar S/ ])</f>
        <v>340605.02840000001</v>
      </c>
      <c r="I10" s="10"/>
      <c r="Q10" t="s">
        <v>23</v>
      </c>
      <c r="R10" s="51">
        <f>SUM(R8:R9)</f>
        <v>93572.81</v>
      </c>
    </row>
    <row r="12" spans="1:18" ht="52.5" thickBot="1" x14ac:dyDescent="0.35">
      <c r="C12" s="52" t="s">
        <v>253</v>
      </c>
      <c r="D12" s="53" t="s">
        <v>588</v>
      </c>
      <c r="E12" s="54" t="s">
        <v>589</v>
      </c>
      <c r="F12" s="53" t="s">
        <v>597</v>
      </c>
      <c r="G12" s="53" t="s">
        <v>598</v>
      </c>
    </row>
    <row r="13" spans="1:18" ht="14.5" thickTop="1" x14ac:dyDescent="0.3">
      <c r="C13" s="56">
        <v>1</v>
      </c>
      <c r="D13" s="56" t="s">
        <v>599</v>
      </c>
      <c r="E13" s="57">
        <v>3012500003618</v>
      </c>
      <c r="F13" s="59">
        <f>Pólizas[[#Totals],[Monto a pagar S/ ]]/12</f>
        <v>28383.752366666668</v>
      </c>
      <c r="G13" s="30">
        <f>F13/1.18</f>
        <v>24054.027429378533</v>
      </c>
    </row>
    <row r="14" spans="1:18" x14ac:dyDescent="0.3">
      <c r="D14" s="60" t="s">
        <v>37</v>
      </c>
      <c r="F14" s="30"/>
      <c r="G14" s="61">
        <f>G13/$H$3</f>
        <v>154.19248352165727</v>
      </c>
    </row>
    <row r="15" spans="1:18" x14ac:dyDescent="0.3">
      <c r="I15" s="30"/>
    </row>
    <row r="16" spans="1:18" x14ac:dyDescent="0.3">
      <c r="C16" s="7"/>
      <c r="F16" s="30"/>
    </row>
    <row r="17" spans="3:16" x14ac:dyDescent="0.3">
      <c r="D17" s="67" t="s">
        <v>600</v>
      </c>
    </row>
    <row r="21" spans="3:16" x14ac:dyDescent="0.3">
      <c r="C21" t="s">
        <v>601</v>
      </c>
      <c r="D21" s="62" t="s">
        <v>582</v>
      </c>
      <c r="E21" s="159">
        <v>2025</v>
      </c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60"/>
    </row>
    <row r="22" spans="3:16" x14ac:dyDescent="0.3">
      <c r="D22" s="63"/>
      <c r="E22" s="64" t="s">
        <v>11</v>
      </c>
      <c r="F22" s="64" t="s">
        <v>12</v>
      </c>
      <c r="G22" s="64" t="s">
        <v>13</v>
      </c>
      <c r="H22" s="64" t="s">
        <v>14</v>
      </c>
      <c r="I22" s="64" t="s">
        <v>15</v>
      </c>
      <c r="J22" s="64" t="s">
        <v>16</v>
      </c>
      <c r="K22" s="64" t="s">
        <v>17</v>
      </c>
      <c r="L22" s="64" t="s">
        <v>18</v>
      </c>
      <c r="M22" s="64" t="s">
        <v>19</v>
      </c>
      <c r="N22" s="64" t="s">
        <v>20</v>
      </c>
      <c r="O22" s="64" t="s">
        <v>21</v>
      </c>
      <c r="P22" s="64" t="s">
        <v>22</v>
      </c>
    </row>
    <row r="23" spans="3:16" x14ac:dyDescent="0.3">
      <c r="C23">
        <v>1</v>
      </c>
      <c r="D23" s="63" t="s">
        <v>32</v>
      </c>
      <c r="E23" s="65">
        <f t="shared" ref="E23:E32" si="0">$G$14*C23</f>
        <v>154.19248352165727</v>
      </c>
      <c r="F23" s="66">
        <f>E23</f>
        <v>154.19248352165727</v>
      </c>
      <c r="G23" s="66">
        <f>F23</f>
        <v>154.19248352165727</v>
      </c>
      <c r="H23" s="66">
        <f>G23</f>
        <v>154.19248352165727</v>
      </c>
      <c r="I23" s="66">
        <f>222.72</f>
        <v>222.72</v>
      </c>
      <c r="J23" s="66">
        <f>I23</f>
        <v>222.72</v>
      </c>
      <c r="K23" s="66">
        <f t="shared" ref="K23:P23" si="1">J23</f>
        <v>222.72</v>
      </c>
      <c r="L23" s="66">
        <f t="shared" si="1"/>
        <v>222.72</v>
      </c>
      <c r="M23" s="66">
        <f t="shared" si="1"/>
        <v>222.72</v>
      </c>
      <c r="N23" s="66">
        <f t="shared" si="1"/>
        <v>222.72</v>
      </c>
      <c r="O23" s="66">
        <f t="shared" si="1"/>
        <v>222.72</v>
      </c>
      <c r="P23" s="66">
        <f t="shared" si="1"/>
        <v>222.72</v>
      </c>
    </row>
    <row r="24" spans="3:16" x14ac:dyDescent="0.3">
      <c r="C24">
        <v>12</v>
      </c>
      <c r="D24" s="63" t="s">
        <v>40</v>
      </c>
      <c r="E24" s="65">
        <f t="shared" si="0"/>
        <v>1850.3098022598872</v>
      </c>
      <c r="F24" s="66">
        <f t="shared" ref="F24:H33" si="2">E24</f>
        <v>1850.3098022598872</v>
      </c>
      <c r="G24" s="66">
        <f t="shared" si="2"/>
        <v>1850.3098022598872</v>
      </c>
      <c r="H24" s="66">
        <f t="shared" si="2"/>
        <v>1850.3098022598872</v>
      </c>
      <c r="I24" s="66">
        <f>222.72*12</f>
        <v>2672.64</v>
      </c>
      <c r="J24" s="66">
        <f t="shared" ref="J24:P33" si="3">I24</f>
        <v>2672.64</v>
      </c>
      <c r="K24" s="66">
        <f t="shared" si="3"/>
        <v>2672.64</v>
      </c>
      <c r="L24" s="66">
        <f t="shared" si="3"/>
        <v>2672.64</v>
      </c>
      <c r="M24" s="66">
        <f t="shared" si="3"/>
        <v>2672.64</v>
      </c>
      <c r="N24" s="66">
        <f t="shared" si="3"/>
        <v>2672.64</v>
      </c>
      <c r="O24" s="66">
        <f t="shared" si="3"/>
        <v>2672.64</v>
      </c>
      <c r="P24" s="66">
        <f t="shared" si="3"/>
        <v>2672.64</v>
      </c>
    </row>
    <row r="25" spans="3:16" x14ac:dyDescent="0.3">
      <c r="C25">
        <v>1</v>
      </c>
      <c r="D25" s="63" t="s">
        <v>46</v>
      </c>
      <c r="E25" s="65">
        <f t="shared" si="0"/>
        <v>154.19248352165727</v>
      </c>
      <c r="F25" s="66">
        <f t="shared" si="2"/>
        <v>154.19248352165727</v>
      </c>
      <c r="G25" s="66">
        <f t="shared" si="2"/>
        <v>154.19248352165727</v>
      </c>
      <c r="H25" s="66">
        <f t="shared" si="2"/>
        <v>154.19248352165727</v>
      </c>
      <c r="I25" s="66">
        <f>222.72*1</f>
        <v>222.72</v>
      </c>
      <c r="J25" s="66">
        <f t="shared" si="3"/>
        <v>222.72</v>
      </c>
      <c r="K25" s="66">
        <f t="shared" si="3"/>
        <v>222.72</v>
      </c>
      <c r="L25" s="66">
        <f t="shared" si="3"/>
        <v>222.72</v>
      </c>
      <c r="M25" s="66">
        <f t="shared" si="3"/>
        <v>222.72</v>
      </c>
      <c r="N25" s="66">
        <f t="shared" si="3"/>
        <v>222.72</v>
      </c>
      <c r="O25" s="66">
        <f t="shared" si="3"/>
        <v>222.72</v>
      </c>
      <c r="P25" s="66">
        <f t="shared" si="3"/>
        <v>222.72</v>
      </c>
    </row>
    <row r="26" spans="3:16" x14ac:dyDescent="0.3">
      <c r="C26">
        <v>38</v>
      </c>
      <c r="D26" s="63" t="s">
        <v>48</v>
      </c>
      <c r="E26" s="65">
        <f t="shared" si="0"/>
        <v>5859.3143738229764</v>
      </c>
      <c r="F26" s="66">
        <f t="shared" si="2"/>
        <v>5859.3143738229764</v>
      </c>
      <c r="G26" s="66">
        <f t="shared" si="2"/>
        <v>5859.3143738229764</v>
      </c>
      <c r="H26" s="66">
        <f t="shared" si="2"/>
        <v>5859.3143738229764</v>
      </c>
      <c r="I26" s="66">
        <f>222.72*38</f>
        <v>8463.36</v>
      </c>
      <c r="J26" s="66">
        <f t="shared" si="3"/>
        <v>8463.36</v>
      </c>
      <c r="K26" s="66">
        <f t="shared" si="3"/>
        <v>8463.36</v>
      </c>
      <c r="L26" s="66">
        <f t="shared" si="3"/>
        <v>8463.36</v>
      </c>
      <c r="M26" s="66">
        <f t="shared" si="3"/>
        <v>8463.36</v>
      </c>
      <c r="N26" s="66">
        <f t="shared" si="3"/>
        <v>8463.36</v>
      </c>
      <c r="O26" s="66">
        <f t="shared" si="3"/>
        <v>8463.36</v>
      </c>
      <c r="P26" s="66">
        <f t="shared" si="3"/>
        <v>8463.36</v>
      </c>
    </row>
    <row r="27" spans="3:16" x14ac:dyDescent="0.3">
      <c r="C27">
        <v>8</v>
      </c>
      <c r="D27" s="63" t="s">
        <v>45</v>
      </c>
      <c r="E27" s="65">
        <f t="shared" si="0"/>
        <v>1233.5398681732581</v>
      </c>
      <c r="F27" s="66">
        <f t="shared" si="2"/>
        <v>1233.5398681732581</v>
      </c>
      <c r="G27" s="66">
        <f t="shared" si="2"/>
        <v>1233.5398681732581</v>
      </c>
      <c r="H27" s="66">
        <f t="shared" si="2"/>
        <v>1233.5398681732581</v>
      </c>
      <c r="I27" s="66">
        <f>222.72*8</f>
        <v>1781.76</v>
      </c>
      <c r="J27" s="66">
        <f t="shared" si="3"/>
        <v>1781.76</v>
      </c>
      <c r="K27" s="66">
        <f t="shared" si="3"/>
        <v>1781.76</v>
      </c>
      <c r="L27" s="66">
        <f t="shared" si="3"/>
        <v>1781.76</v>
      </c>
      <c r="M27" s="66">
        <f t="shared" si="3"/>
        <v>1781.76</v>
      </c>
      <c r="N27" s="66">
        <f t="shared" si="3"/>
        <v>1781.76</v>
      </c>
      <c r="O27" s="66">
        <f t="shared" si="3"/>
        <v>1781.76</v>
      </c>
      <c r="P27" s="66">
        <f t="shared" si="3"/>
        <v>1781.76</v>
      </c>
    </row>
    <row r="28" spans="3:16" x14ac:dyDescent="0.3">
      <c r="C28">
        <v>1</v>
      </c>
      <c r="D28" s="63" t="s">
        <v>39</v>
      </c>
      <c r="E28" s="65">
        <f t="shared" si="0"/>
        <v>154.19248352165727</v>
      </c>
      <c r="F28" s="66">
        <f t="shared" si="2"/>
        <v>154.19248352165727</v>
      </c>
      <c r="G28" s="66">
        <f t="shared" si="2"/>
        <v>154.19248352165727</v>
      </c>
      <c r="H28" s="66">
        <f t="shared" si="2"/>
        <v>154.19248352165727</v>
      </c>
      <c r="I28" s="66">
        <f>222.72*1</f>
        <v>222.72</v>
      </c>
      <c r="J28" s="66">
        <f t="shared" si="3"/>
        <v>222.72</v>
      </c>
      <c r="K28" s="66">
        <f t="shared" si="3"/>
        <v>222.72</v>
      </c>
      <c r="L28" s="66">
        <f t="shared" si="3"/>
        <v>222.72</v>
      </c>
      <c r="M28" s="66">
        <f t="shared" si="3"/>
        <v>222.72</v>
      </c>
      <c r="N28" s="66">
        <f t="shared" si="3"/>
        <v>222.72</v>
      </c>
      <c r="O28" s="66">
        <f t="shared" si="3"/>
        <v>222.72</v>
      </c>
      <c r="P28" s="66">
        <f t="shared" si="3"/>
        <v>222.72</v>
      </c>
    </row>
    <row r="29" spans="3:16" x14ac:dyDescent="0.3">
      <c r="C29">
        <v>1</v>
      </c>
      <c r="D29" s="63" t="s">
        <v>52</v>
      </c>
      <c r="E29" s="65">
        <f t="shared" si="0"/>
        <v>154.19248352165727</v>
      </c>
      <c r="F29" s="66">
        <f t="shared" si="2"/>
        <v>154.19248352165727</v>
      </c>
      <c r="G29" s="66">
        <f t="shared" si="2"/>
        <v>154.19248352165727</v>
      </c>
      <c r="H29" s="66">
        <f t="shared" si="2"/>
        <v>154.19248352165727</v>
      </c>
      <c r="I29" s="66">
        <f>222.72*1</f>
        <v>222.72</v>
      </c>
      <c r="J29" s="66">
        <f t="shared" si="3"/>
        <v>222.72</v>
      </c>
      <c r="K29" s="66">
        <f t="shared" si="3"/>
        <v>222.72</v>
      </c>
      <c r="L29" s="66">
        <f t="shared" si="3"/>
        <v>222.72</v>
      </c>
      <c r="M29" s="66">
        <f t="shared" si="3"/>
        <v>222.72</v>
      </c>
      <c r="N29" s="66">
        <f t="shared" si="3"/>
        <v>222.72</v>
      </c>
      <c r="O29" s="66">
        <f t="shared" si="3"/>
        <v>222.72</v>
      </c>
      <c r="P29" s="66">
        <f t="shared" si="3"/>
        <v>222.72</v>
      </c>
    </row>
    <row r="30" spans="3:16" x14ac:dyDescent="0.3">
      <c r="C30">
        <v>36</v>
      </c>
      <c r="D30" s="63" t="s">
        <v>54</v>
      </c>
      <c r="E30" s="65">
        <f t="shared" si="0"/>
        <v>5550.9294067796618</v>
      </c>
      <c r="F30" s="66">
        <f t="shared" si="2"/>
        <v>5550.9294067796618</v>
      </c>
      <c r="G30" s="66">
        <f t="shared" si="2"/>
        <v>5550.9294067796618</v>
      </c>
      <c r="H30" s="66">
        <f t="shared" si="2"/>
        <v>5550.9294067796618</v>
      </c>
      <c r="I30" s="66">
        <f>222.72*36</f>
        <v>8017.92</v>
      </c>
      <c r="J30" s="66">
        <f t="shared" si="3"/>
        <v>8017.92</v>
      </c>
      <c r="K30" s="66">
        <f t="shared" si="3"/>
        <v>8017.92</v>
      </c>
      <c r="L30" s="66">
        <f t="shared" si="3"/>
        <v>8017.92</v>
      </c>
      <c r="M30" s="66">
        <f t="shared" si="3"/>
        <v>8017.92</v>
      </c>
      <c r="N30" s="66">
        <f t="shared" si="3"/>
        <v>8017.92</v>
      </c>
      <c r="O30" s="66">
        <f t="shared" si="3"/>
        <v>8017.92</v>
      </c>
      <c r="P30" s="66">
        <f t="shared" si="3"/>
        <v>8017.92</v>
      </c>
    </row>
    <row r="31" spans="3:16" x14ac:dyDescent="0.3">
      <c r="C31">
        <v>2</v>
      </c>
      <c r="D31" s="63" t="s">
        <v>56</v>
      </c>
      <c r="E31" s="65">
        <f t="shared" si="0"/>
        <v>308.38496704331453</v>
      </c>
      <c r="F31" s="66">
        <f t="shared" si="2"/>
        <v>308.38496704331453</v>
      </c>
      <c r="G31" s="66">
        <f t="shared" si="2"/>
        <v>308.38496704331453</v>
      </c>
      <c r="H31" s="66">
        <f t="shared" si="2"/>
        <v>308.38496704331453</v>
      </c>
      <c r="I31" s="66">
        <f>222.72*2</f>
        <v>445.44</v>
      </c>
      <c r="J31" s="66">
        <f t="shared" si="3"/>
        <v>445.44</v>
      </c>
      <c r="K31" s="66">
        <f t="shared" si="3"/>
        <v>445.44</v>
      </c>
      <c r="L31" s="66">
        <f t="shared" si="3"/>
        <v>445.44</v>
      </c>
      <c r="M31" s="66">
        <f t="shared" si="3"/>
        <v>445.44</v>
      </c>
      <c r="N31" s="66">
        <f t="shared" si="3"/>
        <v>445.44</v>
      </c>
      <c r="O31" s="66">
        <f t="shared" si="3"/>
        <v>445.44</v>
      </c>
      <c r="P31" s="66">
        <f t="shared" si="3"/>
        <v>445.44</v>
      </c>
    </row>
    <row r="32" spans="3:16" x14ac:dyDescent="0.3">
      <c r="C32">
        <v>8</v>
      </c>
      <c r="D32" s="63" t="s">
        <v>58</v>
      </c>
      <c r="E32" s="65">
        <f t="shared" si="0"/>
        <v>1233.5398681732581</v>
      </c>
      <c r="F32" s="66">
        <f t="shared" si="2"/>
        <v>1233.5398681732581</v>
      </c>
      <c r="G32" s="66">
        <f t="shared" si="2"/>
        <v>1233.5398681732581</v>
      </c>
      <c r="H32" s="66">
        <f t="shared" si="2"/>
        <v>1233.5398681732581</v>
      </c>
      <c r="I32" s="66">
        <f>222.72*8</f>
        <v>1781.76</v>
      </c>
      <c r="J32" s="66">
        <f t="shared" si="3"/>
        <v>1781.76</v>
      </c>
      <c r="K32" s="66">
        <f t="shared" si="3"/>
        <v>1781.76</v>
      </c>
      <c r="L32" s="66">
        <f t="shared" si="3"/>
        <v>1781.76</v>
      </c>
      <c r="M32" s="66">
        <f t="shared" si="3"/>
        <v>1781.76</v>
      </c>
      <c r="N32" s="66">
        <f t="shared" si="3"/>
        <v>1781.76</v>
      </c>
      <c r="O32" s="66">
        <f t="shared" si="3"/>
        <v>1781.76</v>
      </c>
      <c r="P32" s="66">
        <f t="shared" si="3"/>
        <v>1781.76</v>
      </c>
    </row>
    <row r="33" spans="3:16" x14ac:dyDescent="0.3">
      <c r="C33">
        <v>108</v>
      </c>
      <c r="D33" s="68" t="s">
        <v>23</v>
      </c>
      <c r="E33" s="69">
        <v>24054.03</v>
      </c>
      <c r="F33" s="69">
        <f>E33</f>
        <v>24054.03</v>
      </c>
      <c r="G33" s="70">
        <f>E33</f>
        <v>24054.03</v>
      </c>
      <c r="H33" s="69">
        <f t="shared" si="2"/>
        <v>24054.03</v>
      </c>
      <c r="I33" s="69">
        <f t="shared" ref="I33" si="4">G33</f>
        <v>24054.03</v>
      </c>
      <c r="J33" s="69">
        <f t="shared" si="3"/>
        <v>24054.03</v>
      </c>
      <c r="K33" s="69">
        <f t="shared" ref="K33" si="5">I33</f>
        <v>24054.03</v>
      </c>
      <c r="L33" s="69">
        <f t="shared" si="3"/>
        <v>24054.03</v>
      </c>
      <c r="M33" s="69">
        <f t="shared" ref="M33" si="6">K33</f>
        <v>24054.03</v>
      </c>
      <c r="N33" s="69">
        <f t="shared" si="3"/>
        <v>24054.03</v>
      </c>
      <c r="O33" s="69">
        <f t="shared" ref="O33" si="7">M33</f>
        <v>24054.03</v>
      </c>
      <c r="P33" s="69">
        <f t="shared" si="3"/>
        <v>24054.03</v>
      </c>
    </row>
    <row r="34" spans="3:16" x14ac:dyDescent="0.3">
      <c r="J34" s="10"/>
      <c r="K34" s="10"/>
      <c r="L34" s="10"/>
      <c r="M34" s="10"/>
      <c r="N34" s="10"/>
    </row>
    <row r="35" spans="3:16" ht="15" customHeight="1" x14ac:dyDescent="0.3">
      <c r="J35" s="10"/>
      <c r="K35" s="10"/>
      <c r="L35" s="10"/>
      <c r="M35" s="10"/>
      <c r="N35" s="10"/>
    </row>
    <row r="36" spans="3:16" x14ac:dyDescent="0.3">
      <c r="J36" s="10"/>
      <c r="K36" s="10"/>
      <c r="L36" s="10"/>
      <c r="M36" s="10"/>
      <c r="N36" s="10"/>
    </row>
    <row r="37" spans="3:16" x14ac:dyDescent="0.3">
      <c r="J37" s="10"/>
    </row>
    <row r="38" spans="3:16" x14ac:dyDescent="0.3">
      <c r="J38" s="10"/>
    </row>
  </sheetData>
  <mergeCells count="1">
    <mergeCell ref="E21:P21"/>
  </mergeCells>
  <conditionalFormatting sqref="C10:C11 C15:C16">
    <cfRule type="expression" dxfId="56" priority="6">
      <formula>#REF!="Vencido"</formula>
    </cfRule>
  </conditionalFormatting>
  <conditionalFormatting sqref="C8:F8">
    <cfRule type="expression" dxfId="55" priority="7">
      <formula>#REF!="Vencido"</formula>
    </cfRule>
  </conditionalFormatting>
  <conditionalFormatting sqref="D10">
    <cfRule type="expression" dxfId="54" priority="1">
      <formula>#REF!="Vencido"</formula>
    </cfRule>
  </conditionalFormatting>
  <conditionalFormatting sqref="E9">
    <cfRule type="expression" dxfId="53" priority="5">
      <formula>#REF!="Vencido"</formula>
    </cfRule>
  </conditionalFormatting>
  <conditionalFormatting sqref="E13">
    <cfRule type="expression" dxfId="52" priority="2">
      <formula>#REF!="Vencido"</formula>
    </cfRule>
  </conditionalFormatting>
  <conditionalFormatting sqref="F9">
    <cfRule type="expression" dxfId="51" priority="4">
      <formula>#REF!="Vencido"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6399-CFFA-49F3-B910-7B85830CFDF8}">
  <sheetPr>
    <tabColor theme="5"/>
  </sheetPr>
  <dimension ref="A1:CA161"/>
  <sheetViews>
    <sheetView topLeftCell="D50" zoomScale="70" zoomScaleNormal="70" workbookViewId="0">
      <selection activeCell="L67" sqref="L67"/>
    </sheetView>
  </sheetViews>
  <sheetFormatPr baseColWidth="10" defaultColWidth="11" defaultRowHeight="14" x14ac:dyDescent="0.3"/>
  <cols>
    <col min="1" max="1" width="3.33203125" style="17" customWidth="1"/>
    <col min="2" max="2" width="2.5" customWidth="1"/>
    <col min="3" max="3" width="7.33203125" hidden="1" customWidth="1"/>
    <col min="4" max="4" width="5.33203125" customWidth="1"/>
    <col min="5" max="5" width="14.08203125" customWidth="1"/>
    <col min="6" max="6" width="13.33203125" bestFit="1" customWidth="1"/>
    <col min="9" max="9" width="14.33203125" customWidth="1"/>
    <col min="11" max="11" width="10.83203125" customWidth="1"/>
    <col min="12" max="12" width="13.33203125" bestFit="1" customWidth="1"/>
    <col min="15" max="15" width="12" customWidth="1"/>
    <col min="17" max="17" width="14.08203125" bestFit="1" customWidth="1"/>
    <col min="19" max="19" width="22.5" bestFit="1" customWidth="1"/>
    <col min="20" max="20" width="11.33203125" bestFit="1" customWidth="1"/>
    <col min="21" max="21" width="4.75" bestFit="1" customWidth="1"/>
    <col min="22" max="22" width="7.83203125" customWidth="1"/>
    <col min="24" max="25" width="19.58203125" bestFit="1" customWidth="1"/>
    <col min="37" max="38" width="12.33203125" bestFit="1" customWidth="1"/>
    <col min="46" max="46" width="23.33203125" bestFit="1" customWidth="1"/>
  </cols>
  <sheetData>
    <row r="1" spans="1:79" s="18" customFormat="1" ht="38.5" customHeight="1" thickBot="1" x14ac:dyDescent="0.35">
      <c r="A1" s="17"/>
      <c r="B1" s="19" t="s">
        <v>602</v>
      </c>
      <c r="C1" s="19"/>
      <c r="D1" s="19"/>
      <c r="E1" s="19"/>
      <c r="F1" s="20"/>
      <c r="G1" s="20"/>
      <c r="I1" s="71"/>
      <c r="J1" s="72"/>
      <c r="K1" s="73"/>
      <c r="M1" s="74"/>
      <c r="N1" s="74"/>
      <c r="O1" s="75"/>
      <c r="P1" s="73"/>
    </row>
    <row r="3" spans="1:79" x14ac:dyDescent="0.3">
      <c r="Q3" s="77">
        <v>8</v>
      </c>
      <c r="AG3" t="s">
        <v>603</v>
      </c>
      <c r="AH3" t="s">
        <v>604</v>
      </c>
    </row>
    <row r="4" spans="1:79" ht="26.15" customHeight="1" x14ac:dyDescent="0.3">
      <c r="E4" s="3" t="s">
        <v>605</v>
      </c>
      <c r="F4" s="4">
        <f>SUBTOTAL(9,Impuestos3225[Depreciación Anual])</f>
        <v>3357513.4488879126</v>
      </c>
      <c r="H4" s="3" t="s">
        <v>606</v>
      </c>
      <c r="I4" s="4">
        <f>SUMIFS(Impuestos3225[Depreciación Anual],Impuestos3225[Motorización],"EV")</f>
        <v>2163851.5047177584</v>
      </c>
      <c r="J4" s="76"/>
      <c r="K4" s="3" t="s">
        <v>607</v>
      </c>
      <c r="L4" s="4">
        <f>SUMIFS(Impuestos3225[Depreciación Anual],Impuestos3225[Motorización],"CI")</f>
        <v>1193661.9441701493</v>
      </c>
      <c r="M4" s="76"/>
      <c r="N4" s="3" t="s">
        <v>608</v>
      </c>
      <c r="O4" s="4">
        <f>I4/12</f>
        <v>180320.95872647988</v>
      </c>
      <c r="Q4" s="30">
        <f>F4/12</f>
        <v>279792.78740732605</v>
      </c>
      <c r="AF4" t="s">
        <v>115</v>
      </c>
      <c r="AG4">
        <v>309970.75</v>
      </c>
      <c r="AH4">
        <v>3690.12</v>
      </c>
    </row>
    <row r="6" spans="1:79" ht="32" x14ac:dyDescent="0.3">
      <c r="D6" s="31" t="s">
        <v>253</v>
      </c>
      <c r="E6" s="31" t="s">
        <v>24</v>
      </c>
      <c r="F6" s="31" t="s">
        <v>28</v>
      </c>
      <c r="G6" s="31" t="s">
        <v>25</v>
      </c>
      <c r="H6" s="31" t="s">
        <v>272</v>
      </c>
      <c r="I6" s="31" t="s">
        <v>609</v>
      </c>
      <c r="J6" s="78" t="s">
        <v>610</v>
      </c>
      <c r="K6" s="31" t="s">
        <v>611</v>
      </c>
      <c r="L6" s="31" t="s">
        <v>612</v>
      </c>
      <c r="M6" s="31" t="s">
        <v>613</v>
      </c>
      <c r="N6" s="31" t="s">
        <v>614</v>
      </c>
      <c r="O6" s="31" t="s">
        <v>615</v>
      </c>
      <c r="P6" s="31" t="s">
        <v>616</v>
      </c>
      <c r="Q6" s="31" t="s">
        <v>617</v>
      </c>
      <c r="R6" s="31" t="s">
        <v>618</v>
      </c>
      <c r="S6" s="31" t="s">
        <v>31</v>
      </c>
      <c r="T6" s="123" t="s">
        <v>619</v>
      </c>
      <c r="U6" s="123" t="s">
        <v>620</v>
      </c>
      <c r="V6" s="123" t="s">
        <v>621</v>
      </c>
      <c r="X6" s="11" t="s">
        <v>601</v>
      </c>
      <c r="Y6" s="79" t="s">
        <v>31</v>
      </c>
      <c r="Z6" s="79" t="s">
        <v>11</v>
      </c>
      <c r="AA6" s="79" t="s">
        <v>12</v>
      </c>
      <c r="AB6" s="79" t="s">
        <v>13</v>
      </c>
      <c r="AC6" s="79" t="s">
        <v>14</v>
      </c>
      <c r="AD6" s="79" t="s">
        <v>15</v>
      </c>
      <c r="AE6" s="79" t="s">
        <v>16</v>
      </c>
      <c r="AF6" s="79" t="s">
        <v>17</v>
      </c>
      <c r="AG6" s="79" t="s">
        <v>18</v>
      </c>
      <c r="AH6" s="79" t="s">
        <v>19</v>
      </c>
      <c r="AI6" s="79" t="s">
        <v>20</v>
      </c>
      <c r="AJ6" s="79" t="s">
        <v>21</v>
      </c>
      <c r="AK6" s="79" t="s">
        <v>22</v>
      </c>
      <c r="AL6" s="79" t="s">
        <v>23</v>
      </c>
      <c r="AR6" s="21" t="s">
        <v>271</v>
      </c>
      <c r="AS6" s="21" t="s">
        <v>272</v>
      </c>
      <c r="AT6" s="21" t="s">
        <v>31</v>
      </c>
      <c r="AU6" s="89" t="s">
        <v>622</v>
      </c>
      <c r="AV6" s="89" t="s">
        <v>623</v>
      </c>
      <c r="AW6" s="89" t="s">
        <v>624</v>
      </c>
      <c r="AX6" s="89" t="s">
        <v>625</v>
      </c>
      <c r="AY6" s="89" t="s">
        <v>626</v>
      </c>
      <c r="AZ6" s="89" t="s">
        <v>627</v>
      </c>
      <c r="BA6" s="89" t="s">
        <v>628</v>
      </c>
      <c r="BB6" s="89" t="s">
        <v>629</v>
      </c>
      <c r="BC6" s="89" t="s">
        <v>630</v>
      </c>
      <c r="BD6" s="90" t="s">
        <v>631</v>
      </c>
      <c r="BE6" s="89" t="s">
        <v>273</v>
      </c>
      <c r="BF6" s="89" t="s">
        <v>632</v>
      </c>
      <c r="BG6" s="91" t="s">
        <v>274</v>
      </c>
      <c r="BH6" s="91" t="s">
        <v>275</v>
      </c>
      <c r="BI6" s="91" t="s">
        <v>633</v>
      </c>
      <c r="BJ6" s="89" t="s">
        <v>634</v>
      </c>
      <c r="BK6" s="89" t="s">
        <v>635</v>
      </c>
      <c r="BL6" s="89" t="s">
        <v>636</v>
      </c>
      <c r="BM6" s="89" t="s">
        <v>637</v>
      </c>
      <c r="BN6" s="89" t="s">
        <v>638</v>
      </c>
      <c r="BO6" s="92" t="s">
        <v>639</v>
      </c>
      <c r="BP6" s="93" t="s">
        <v>640</v>
      </c>
      <c r="BQ6" s="94" t="s">
        <v>641</v>
      </c>
      <c r="BR6" s="92" t="s">
        <v>642</v>
      </c>
      <c r="BS6" s="92" t="s">
        <v>643</v>
      </c>
      <c r="BT6" s="92" t="s">
        <v>644</v>
      </c>
      <c r="BU6" s="92" t="s">
        <v>645</v>
      </c>
      <c r="BV6" s="92" t="s">
        <v>646</v>
      </c>
      <c r="BW6" s="95" t="s">
        <v>647</v>
      </c>
      <c r="BX6" s="96" t="s">
        <v>648</v>
      </c>
      <c r="BY6" s="97" t="s">
        <v>649</v>
      </c>
      <c r="BZ6" s="97" t="s">
        <v>650</v>
      </c>
      <c r="CA6" s="96" t="s">
        <v>651</v>
      </c>
    </row>
    <row r="7" spans="1:79" x14ac:dyDescent="0.3">
      <c r="C7" s="40" t="str">
        <f>Impuestos3225[[#This Row],[Familia]]</f>
        <v>Pick Up CI 4x2 Toyota</v>
      </c>
      <c r="D7" s="7">
        <f t="shared" ref="D7:D70" si="0">ROW(A1)</f>
        <v>1</v>
      </c>
      <c r="E7" s="24" t="s">
        <v>219</v>
      </c>
      <c r="F7" s="24" t="s">
        <v>179</v>
      </c>
      <c r="G7" s="25" t="s">
        <v>652</v>
      </c>
      <c r="H7" s="24">
        <v>2500</v>
      </c>
      <c r="I7" s="80">
        <v>39872</v>
      </c>
      <c r="J7" s="8">
        <v>6</v>
      </c>
      <c r="K7" s="10">
        <v>15.1999</v>
      </c>
      <c r="L7" s="81">
        <v>49355.39</v>
      </c>
      <c r="M7" s="82">
        <f>Impuestos3225[[#This Row],[Valor Adquisición (S/)]]*Impuestos3225[[#This Row],[Tasa  % ]]/100</f>
        <v>7501.9699246099999</v>
      </c>
      <c r="N7" s="81">
        <f>Impuestos3225[[#This Row],[Depreciación Anual]]/12</f>
        <v>625.16416038416662</v>
      </c>
      <c r="O7" s="83">
        <f ca="1">ROUNDDOWN((TODAY()-Impuestos3225[[#This Row],[Fecha de Activación Ingreso]])/365, 0)</f>
        <v>16</v>
      </c>
      <c r="P7" s="81">
        <f ca="1">MIN(Impuestos3225[[#This Row],[Depreciación Anual]] * Impuestos3225[[#This Row],[Años Transcurridos]], Impuestos3225[[#This Row],[Valor Adquisición (S/)]])</f>
        <v>49355.39</v>
      </c>
      <c r="Q7" s="81">
        <f ca="1">MAX(Impuestos3225[[#This Row],[Valor Adquisición (S/)]]-Impuestos3225[[#This Row],[Depreciación Acumulada]], 0)</f>
        <v>0</v>
      </c>
      <c r="R7" s="81" t="str">
        <f ca="1">IF(Impuestos3225[[#This Row],[Valor Adquisición (S/)]]="","", IF(Impuestos3225[[#This Row],[Valor Neto Actual]]=0,"Veh. Ya no deprecia",""))</f>
        <v>Veh. Ya no deprecia</v>
      </c>
      <c r="S7" s="81" t="s">
        <v>221</v>
      </c>
      <c r="T7" s="81">
        <f>IFERROR(VLOOKUP(Impuestos3225[[#This Row],[Placa Vehiculo]],$AR$6:$CA$159,26,0),"")</f>
        <v>49355.39</v>
      </c>
      <c r="U7" s="81" t="str">
        <f>IF(Impuestos3225[[#This Row],[Buscar Monto]]=Impuestos3225[[#This Row],[Valor Adquisición (S/)]],"ok","mal")</f>
        <v>ok</v>
      </c>
      <c r="V7" s="81"/>
      <c r="X7">
        <v>1</v>
      </c>
      <c r="Y7" t="s">
        <v>32</v>
      </c>
      <c r="Z7" s="84">
        <f>IFERROR(SUMIFS(Impuestos3225[Depreciación Mensual],Impuestos3225[Familia],Y7,Impuestos3225[Motorización],"EV"),"")</f>
        <v>8367.6268704599988</v>
      </c>
      <c r="AA7" s="84">
        <f>Z7</f>
        <v>8367.6268704599988</v>
      </c>
      <c r="AB7" s="84">
        <f t="shared" ref="AB7:AK7" si="1">AA7</f>
        <v>8367.6268704599988</v>
      </c>
      <c r="AC7" s="84">
        <f t="shared" si="1"/>
        <v>8367.6268704599988</v>
      </c>
      <c r="AD7" s="84">
        <f t="shared" si="1"/>
        <v>8367.6268704599988</v>
      </c>
      <c r="AE7" s="84">
        <f t="shared" si="1"/>
        <v>8367.6268704599988</v>
      </c>
      <c r="AF7" s="84">
        <f t="shared" si="1"/>
        <v>8367.6268704599988</v>
      </c>
      <c r="AG7" s="84">
        <f t="shared" si="1"/>
        <v>8367.6268704599988</v>
      </c>
      <c r="AH7" s="84">
        <f t="shared" si="1"/>
        <v>8367.6268704599988</v>
      </c>
      <c r="AI7" s="84">
        <f t="shared" si="1"/>
        <v>8367.6268704599988</v>
      </c>
      <c r="AJ7" s="84">
        <f t="shared" si="1"/>
        <v>8367.6268704599988</v>
      </c>
      <c r="AK7" s="84">
        <f t="shared" si="1"/>
        <v>8367.6268704599988</v>
      </c>
      <c r="AL7" s="84">
        <f>SUM(Z7:AK7)</f>
        <v>100411.52244551996</v>
      </c>
      <c r="AR7" s="21" t="str">
        <f>CONCATENATE(MID(BE7,1,3),"-",MID(BE7,4,3))</f>
        <v>B4J-799</v>
      </c>
      <c r="AS7" s="21">
        <f>BM7</f>
        <v>2500</v>
      </c>
      <c r="AT7" s="21" t="s">
        <v>221</v>
      </c>
      <c r="AU7" s="98">
        <v>34</v>
      </c>
      <c r="AV7" s="99">
        <v>3341110</v>
      </c>
      <c r="AW7" s="99">
        <v>340036</v>
      </c>
      <c r="AX7" s="100">
        <v>343101000031</v>
      </c>
      <c r="AY7" s="101" t="s">
        <v>653</v>
      </c>
      <c r="AZ7" s="101" t="s">
        <v>654</v>
      </c>
      <c r="BA7" s="101"/>
      <c r="BB7" s="101">
        <v>3735</v>
      </c>
      <c r="BC7" s="102">
        <v>3685</v>
      </c>
      <c r="BD7" s="102">
        <v>202201862</v>
      </c>
      <c r="BE7" s="101" t="s">
        <v>655</v>
      </c>
      <c r="BF7" s="101" t="s">
        <v>656</v>
      </c>
      <c r="BG7" s="103" t="s">
        <v>652</v>
      </c>
      <c r="BH7" s="103" t="s">
        <v>657</v>
      </c>
      <c r="BI7" s="103" t="s">
        <v>658</v>
      </c>
      <c r="BJ7" s="101"/>
      <c r="BK7" s="104">
        <v>9411030</v>
      </c>
      <c r="BL7" s="104">
        <v>411030001</v>
      </c>
      <c r="BM7" s="104">
        <v>2500</v>
      </c>
      <c r="BN7" s="105">
        <v>39872</v>
      </c>
      <c r="BO7" s="98">
        <v>6</v>
      </c>
      <c r="BP7" s="98">
        <v>15.1999</v>
      </c>
      <c r="BQ7" s="106">
        <v>49355.39</v>
      </c>
      <c r="BR7" s="107"/>
      <c r="BS7" s="106"/>
      <c r="BT7" s="106">
        <v>49355.390000000007</v>
      </c>
      <c r="BU7" s="108">
        <v>0</v>
      </c>
      <c r="BV7" s="108">
        <v>0</v>
      </c>
      <c r="BW7" s="109">
        <v>0</v>
      </c>
      <c r="BX7" s="110">
        <v>49355.390000000007</v>
      </c>
      <c r="BY7" s="110"/>
      <c r="BZ7" s="110"/>
      <c r="CA7" s="108">
        <v>-7.2759576141834259E-12</v>
      </c>
    </row>
    <row r="8" spans="1:79" x14ac:dyDescent="0.3">
      <c r="C8" s="40" t="str">
        <f>Impuestos3225[[#This Row],[Familia]]</f>
        <v>Pick Up CI 4x2 Toyota</v>
      </c>
      <c r="D8" s="7">
        <f t="shared" si="0"/>
        <v>2</v>
      </c>
      <c r="E8" s="24" t="s">
        <v>237</v>
      </c>
      <c r="F8" s="24" t="s">
        <v>179</v>
      </c>
      <c r="G8" s="25" t="s">
        <v>652</v>
      </c>
      <c r="H8" s="24">
        <v>2430</v>
      </c>
      <c r="I8" s="80">
        <v>41481</v>
      </c>
      <c r="J8" s="8">
        <v>6</v>
      </c>
      <c r="K8" s="10">
        <v>16.666699999999999</v>
      </c>
      <c r="L8" s="81">
        <v>56306.79</v>
      </c>
      <c r="M8" s="82">
        <f>Impuestos3225[[#This Row],[Valor Adquisición (S/)]]*Impuestos3225[[#This Row],[Tasa  % ]]/100</f>
        <v>9384.4837689300002</v>
      </c>
      <c r="N8" s="81">
        <f>Impuestos3225[[#This Row],[Depreciación Anual]]/12</f>
        <v>782.04031407750006</v>
      </c>
      <c r="O8" s="83">
        <f ca="1">ROUNDDOWN((TODAY()-Impuestos3225[[#This Row],[Fecha de Activación Ingreso]])/365, 0)</f>
        <v>12</v>
      </c>
      <c r="P8" s="81">
        <f ca="1">MIN(Impuestos3225[[#This Row],[Depreciación Anual]] * Impuestos3225[[#This Row],[Años Transcurridos]], Impuestos3225[[#This Row],[Valor Adquisición (S/)]])</f>
        <v>56306.79</v>
      </c>
      <c r="Q8" s="81">
        <f ca="1">MAX(Impuestos3225[[#This Row],[Valor Adquisición (S/)]]-Impuestos3225[[#This Row],[Depreciación Acumulada]], 0)</f>
        <v>0</v>
      </c>
      <c r="R8" s="81" t="str">
        <f ca="1">IF(Impuestos3225[[#This Row],[Valor Adquisición (S/)]]="","", IF(Impuestos3225[[#This Row],[Valor Neto Actual]]=0,"Veh. Ya no deprecia",""))</f>
        <v>Veh. Ya no deprecia</v>
      </c>
      <c r="S8" s="81" t="s">
        <v>221</v>
      </c>
      <c r="T8" s="81">
        <f>IFERROR(VLOOKUP(Impuestos3225[[#This Row],[Placa Vehiculo]],$AR$6:$CA$159,26,0),"")</f>
        <v>56306.79</v>
      </c>
      <c r="U8" s="81" t="str">
        <f>IF(Impuestos3225[[#This Row],[Buscar Monto]]=Impuestos3225[[#This Row],[Valor Adquisición (S/)]],"ok","mal")</f>
        <v>ok</v>
      </c>
      <c r="V8" s="81"/>
      <c r="X8">
        <v>12</v>
      </c>
      <c r="Y8" t="s">
        <v>40</v>
      </c>
      <c r="Z8" s="84">
        <f>IFERROR(SUMIFS(Impuestos3225[Depreciación Mensual],Impuestos3225[Familia],Y8,Impuestos3225[Motorización],"EV"),"")</f>
        <v>35002.479997485003</v>
      </c>
      <c r="AA8" s="84">
        <f t="shared" ref="AA8:AA9" si="2">Z8</f>
        <v>35002.479997485003</v>
      </c>
      <c r="AB8" s="84">
        <f t="shared" ref="AB8:AK9" si="3">AA8</f>
        <v>35002.479997485003</v>
      </c>
      <c r="AC8" s="84">
        <f t="shared" si="3"/>
        <v>35002.479997485003</v>
      </c>
      <c r="AD8" s="84">
        <f t="shared" si="3"/>
        <v>35002.479997485003</v>
      </c>
      <c r="AE8" s="84">
        <f t="shared" si="3"/>
        <v>35002.479997485003</v>
      </c>
      <c r="AF8" s="84">
        <f t="shared" si="3"/>
        <v>35002.479997485003</v>
      </c>
      <c r="AG8" s="84">
        <f t="shared" si="3"/>
        <v>35002.479997485003</v>
      </c>
      <c r="AH8" s="84">
        <f t="shared" si="3"/>
        <v>35002.479997485003</v>
      </c>
      <c r="AI8" s="84">
        <f t="shared" si="3"/>
        <v>35002.479997485003</v>
      </c>
      <c r="AJ8" s="84">
        <f t="shared" si="3"/>
        <v>35002.479997485003</v>
      </c>
      <c r="AK8" s="84">
        <f t="shared" si="3"/>
        <v>35002.479997485003</v>
      </c>
      <c r="AL8" s="84">
        <f t="shared" ref="AL8:AL11" si="4">SUM(Z8:AK8)</f>
        <v>420029.75996982004</v>
      </c>
      <c r="AR8" s="21" t="str">
        <f t="shared" ref="AR8:AR71" si="5">CONCATENATE(MID(BE8,1,3),"-",MID(BE8,4,3))</f>
        <v>F1H-807</v>
      </c>
      <c r="AS8" s="21">
        <f t="shared" ref="AS8:AS71" si="6">BM8</f>
        <v>2430</v>
      </c>
      <c r="AT8" s="21" t="s">
        <v>221</v>
      </c>
      <c r="AU8" s="98">
        <v>34</v>
      </c>
      <c r="AV8" s="99">
        <v>3341110</v>
      </c>
      <c r="AW8" s="99">
        <v>340082</v>
      </c>
      <c r="AX8" s="100">
        <v>343001000039</v>
      </c>
      <c r="AY8" s="101" t="s">
        <v>653</v>
      </c>
      <c r="AZ8" s="101" t="s">
        <v>659</v>
      </c>
      <c r="BA8" s="101"/>
      <c r="BB8" s="101">
        <v>2339</v>
      </c>
      <c r="BC8" s="102">
        <v>3686</v>
      </c>
      <c r="BD8" s="102">
        <v>202203752</v>
      </c>
      <c r="BE8" s="101" t="s">
        <v>660</v>
      </c>
      <c r="BF8" s="101"/>
      <c r="BG8" s="103" t="s">
        <v>652</v>
      </c>
      <c r="BH8" s="103" t="s">
        <v>657</v>
      </c>
      <c r="BI8" s="103" t="s">
        <v>661</v>
      </c>
      <c r="BJ8" s="101"/>
      <c r="BK8" s="104">
        <v>9411030</v>
      </c>
      <c r="BL8" s="104">
        <v>411030001</v>
      </c>
      <c r="BM8" s="104">
        <v>2430</v>
      </c>
      <c r="BN8" s="105">
        <v>41481</v>
      </c>
      <c r="BO8" s="98">
        <v>6</v>
      </c>
      <c r="BP8" s="98">
        <v>16.666699999999999</v>
      </c>
      <c r="BQ8" s="106">
        <v>56306.79</v>
      </c>
      <c r="BR8" s="107"/>
      <c r="BS8" s="106"/>
      <c r="BT8" s="106">
        <v>56306.789999999994</v>
      </c>
      <c r="BU8" s="108">
        <v>0</v>
      </c>
      <c r="BV8" s="108">
        <v>0</v>
      </c>
      <c r="BW8" s="109">
        <v>0</v>
      </c>
      <c r="BX8" s="110">
        <v>56306.789999999994</v>
      </c>
      <c r="BY8" s="110"/>
      <c r="BZ8" s="110"/>
      <c r="CA8" s="108">
        <v>7.2759576141834259E-12</v>
      </c>
    </row>
    <row r="9" spans="1:79" x14ac:dyDescent="0.3">
      <c r="C9" s="40" t="str">
        <f>Impuestos3225[[#This Row],[Familia]]</f>
        <v>Sedan CI Toyota</v>
      </c>
      <c r="D9" s="7">
        <f t="shared" si="0"/>
        <v>3</v>
      </c>
      <c r="E9" s="24" t="s">
        <v>214</v>
      </c>
      <c r="F9" s="24" t="s">
        <v>179</v>
      </c>
      <c r="G9" s="25" t="s">
        <v>652</v>
      </c>
      <c r="H9" s="24">
        <v>4235</v>
      </c>
      <c r="I9" s="80">
        <v>42150</v>
      </c>
      <c r="J9" s="8">
        <v>6</v>
      </c>
      <c r="K9" s="10">
        <v>16.666699999999999</v>
      </c>
      <c r="L9" s="81">
        <v>59014.48</v>
      </c>
      <c r="M9" s="82">
        <f>Impuestos3225[[#This Row],[Valor Adquisición (S/)]]*Impuestos3225[[#This Row],[Tasa  % ]]/100</f>
        <v>9835.7663381599996</v>
      </c>
      <c r="N9" s="81">
        <f>Impuestos3225[[#This Row],[Depreciación Anual]]/12</f>
        <v>819.64719484666659</v>
      </c>
      <c r="O9" s="83">
        <f ca="1">ROUNDDOWN((TODAY()-Impuestos3225[[#This Row],[Fecha de Activación Ingreso]])/365, 0)</f>
        <v>10</v>
      </c>
      <c r="P9" s="81">
        <f ca="1">MIN(Impuestos3225[[#This Row],[Depreciación Anual]] * Impuestos3225[[#This Row],[Años Transcurridos]], Impuestos3225[[#This Row],[Valor Adquisición (S/)]])</f>
        <v>59014.48</v>
      </c>
      <c r="Q9" s="81">
        <f ca="1">MAX(Impuestos3225[[#This Row],[Valor Adquisición (S/)]]-Impuestos3225[[#This Row],[Depreciación Acumulada]], 0)</f>
        <v>0</v>
      </c>
      <c r="R9" s="81" t="str">
        <f ca="1">IF(Impuestos3225[[#This Row],[Valor Adquisición (S/)]]="","", IF(Impuestos3225[[#This Row],[Valor Neto Actual]]=0,"Veh. Ya no deprecia",""))</f>
        <v>Veh. Ya no deprecia</v>
      </c>
      <c r="S9" s="81" t="s">
        <v>217</v>
      </c>
      <c r="T9" s="81">
        <f>IFERROR(VLOOKUP(Impuestos3225[[#This Row],[Placa Vehiculo]],$AR$6:$CA$159,26,0),"")</f>
        <v>59014.48</v>
      </c>
      <c r="U9" s="81" t="str">
        <f>IF(Impuestos3225[[#This Row],[Buscar Monto]]=Impuestos3225[[#This Row],[Valor Adquisición (S/)]],"ok","mal")</f>
        <v>ok</v>
      </c>
      <c r="V9" s="81"/>
      <c r="X9">
        <v>1</v>
      </c>
      <c r="Y9" t="s">
        <v>46</v>
      </c>
      <c r="Z9" s="84">
        <f>IFERROR(SUMIFS(Impuestos3225[Depreciación Mensual],Impuestos3225[Familia],Y9,Impuestos3225[Motorización],"EV"),"")</f>
        <v>0</v>
      </c>
      <c r="AA9" s="84">
        <f t="shared" si="2"/>
        <v>0</v>
      </c>
      <c r="AB9" s="84">
        <f t="shared" si="3"/>
        <v>0</v>
      </c>
      <c r="AC9" s="84">
        <f t="shared" si="3"/>
        <v>0</v>
      </c>
      <c r="AD9" s="84">
        <f t="shared" si="3"/>
        <v>0</v>
      </c>
      <c r="AE9" s="84">
        <f t="shared" si="3"/>
        <v>0</v>
      </c>
      <c r="AF9" s="84">
        <f t="shared" si="3"/>
        <v>0</v>
      </c>
      <c r="AG9" s="85">
        <f>$AH$4</f>
        <v>3690.12</v>
      </c>
      <c r="AH9" s="85">
        <f t="shared" ref="AH9:AK9" si="7">$AH$4</f>
        <v>3690.12</v>
      </c>
      <c r="AI9" s="85">
        <f t="shared" si="7"/>
        <v>3690.12</v>
      </c>
      <c r="AJ9" s="85">
        <f t="shared" si="7"/>
        <v>3690.12</v>
      </c>
      <c r="AK9" s="85">
        <f t="shared" si="7"/>
        <v>3690.12</v>
      </c>
      <c r="AL9" s="84">
        <f t="shared" si="4"/>
        <v>18450.599999999999</v>
      </c>
      <c r="AM9" s="16"/>
      <c r="AR9" s="21" t="str">
        <f t="shared" si="5"/>
        <v>AHL-505</v>
      </c>
      <c r="AS9" s="21">
        <f t="shared" si="6"/>
        <v>4235</v>
      </c>
      <c r="AT9" s="21" t="s">
        <v>217</v>
      </c>
      <c r="AU9" s="98">
        <v>34</v>
      </c>
      <c r="AV9" s="99">
        <v>3341110</v>
      </c>
      <c r="AW9" s="99">
        <v>340085</v>
      </c>
      <c r="AX9" s="100">
        <v>343001000042</v>
      </c>
      <c r="AY9" s="101" t="s">
        <v>653</v>
      </c>
      <c r="AZ9" s="101" t="s">
        <v>662</v>
      </c>
      <c r="BA9" s="101"/>
      <c r="BB9" s="101"/>
      <c r="BC9" s="102">
        <v>3358</v>
      </c>
      <c r="BD9" s="102">
        <v>202203751</v>
      </c>
      <c r="BE9" s="101" t="s">
        <v>663</v>
      </c>
      <c r="BF9" s="101"/>
      <c r="BG9" s="103" t="s">
        <v>652</v>
      </c>
      <c r="BH9" s="103" t="s">
        <v>664</v>
      </c>
      <c r="BI9" s="103" t="s">
        <v>665</v>
      </c>
      <c r="BJ9" s="101"/>
      <c r="BK9" s="111">
        <v>9111040</v>
      </c>
      <c r="BL9" s="111">
        <v>111040001</v>
      </c>
      <c r="BM9" s="104">
        <v>4235</v>
      </c>
      <c r="BN9" s="105">
        <v>42150</v>
      </c>
      <c r="BO9" s="98">
        <v>6</v>
      </c>
      <c r="BP9" s="98">
        <v>16.666699999999999</v>
      </c>
      <c r="BQ9" s="106">
        <v>59014.48</v>
      </c>
      <c r="BR9" s="107"/>
      <c r="BS9" s="106"/>
      <c r="BT9" s="106">
        <v>59014.48</v>
      </c>
      <c r="BU9" s="108">
        <v>0</v>
      </c>
      <c r="BV9" s="108">
        <v>0</v>
      </c>
      <c r="BW9" s="109">
        <v>0</v>
      </c>
      <c r="BX9" s="110">
        <v>59014.48</v>
      </c>
      <c r="BY9" s="110"/>
      <c r="BZ9" s="110"/>
      <c r="CA9" s="108">
        <v>0</v>
      </c>
    </row>
    <row r="10" spans="1:79" x14ac:dyDescent="0.3">
      <c r="C10" s="40" t="str">
        <f>Impuestos3225[[#This Row],[Familia]]</f>
        <v>Sedan CI Toyota</v>
      </c>
      <c r="D10" s="7">
        <f t="shared" si="0"/>
        <v>4</v>
      </c>
      <c r="E10" s="24" t="s">
        <v>218</v>
      </c>
      <c r="F10" s="24" t="s">
        <v>179</v>
      </c>
      <c r="G10" s="25" t="s">
        <v>652</v>
      </c>
      <c r="H10" s="24">
        <v>2500</v>
      </c>
      <c r="I10" s="80">
        <v>42150</v>
      </c>
      <c r="J10" s="8">
        <v>6</v>
      </c>
      <c r="K10" s="10">
        <v>16.666699999999999</v>
      </c>
      <c r="L10" s="81">
        <v>59014.48</v>
      </c>
      <c r="M10" s="82">
        <f>Impuestos3225[[#This Row],[Valor Adquisición (S/)]]*Impuestos3225[[#This Row],[Tasa  % ]]/100</f>
        <v>9835.7663381599996</v>
      </c>
      <c r="N10" s="81">
        <f>Impuestos3225[[#This Row],[Depreciación Anual]]/12</f>
        <v>819.64719484666659</v>
      </c>
      <c r="O10" s="83">
        <f ca="1">ROUNDDOWN((TODAY()-Impuestos3225[[#This Row],[Fecha de Activación Ingreso]])/365, 0)</f>
        <v>10</v>
      </c>
      <c r="P10" s="81">
        <f ca="1">MIN(Impuestos3225[[#This Row],[Depreciación Anual]] * Impuestos3225[[#This Row],[Años Transcurridos]], Impuestos3225[[#This Row],[Valor Adquisición (S/)]])</f>
        <v>59014.48</v>
      </c>
      <c r="Q10" s="81">
        <f ca="1">MAX(Impuestos3225[[#This Row],[Valor Adquisición (S/)]]-Impuestos3225[[#This Row],[Depreciación Acumulada]], 0)</f>
        <v>0</v>
      </c>
      <c r="R10" s="81" t="str">
        <f ca="1">IF(Impuestos3225[[#This Row],[Valor Adquisición (S/)]]="","", IF(Impuestos3225[[#This Row],[Valor Neto Actual]]=0,"Veh. Ya no deprecia",""))</f>
        <v>Veh. Ya no deprecia</v>
      </c>
      <c r="S10" s="81" t="s">
        <v>217</v>
      </c>
      <c r="T10" s="81">
        <f>IFERROR(VLOOKUP(Impuestos3225[[#This Row],[Placa Vehiculo]],$AR$6:$CA$159,26,0),"")</f>
        <v>59014.48</v>
      </c>
      <c r="U10" s="81" t="str">
        <f>IF(Impuestos3225[[#This Row],[Buscar Monto]]=Impuestos3225[[#This Row],[Valor Adquisición (S/)]],"ok","mal")</f>
        <v>ok</v>
      </c>
      <c r="V10" s="81"/>
      <c r="Y10" t="s">
        <v>666</v>
      </c>
      <c r="AG10">
        <f>$AA$22</f>
        <v>732.28</v>
      </c>
      <c r="AH10">
        <f t="shared" ref="AH10:AK10" si="8">$AA$22</f>
        <v>732.28</v>
      </c>
      <c r="AI10">
        <f t="shared" si="8"/>
        <v>732.28</v>
      </c>
      <c r="AJ10">
        <f t="shared" si="8"/>
        <v>732.28</v>
      </c>
      <c r="AK10">
        <f t="shared" si="8"/>
        <v>732.28</v>
      </c>
      <c r="AL10" s="84">
        <f t="shared" si="4"/>
        <v>3661.3999999999996</v>
      </c>
      <c r="AR10" s="21" t="str">
        <f t="shared" si="5"/>
        <v>AHP-031</v>
      </c>
      <c r="AS10" s="21">
        <f t="shared" si="6"/>
        <v>2500</v>
      </c>
      <c r="AT10" s="21" t="s">
        <v>217</v>
      </c>
      <c r="AU10" s="98">
        <v>34</v>
      </c>
      <c r="AV10" s="99">
        <v>3341110</v>
      </c>
      <c r="AW10" s="99">
        <v>340086</v>
      </c>
      <c r="AX10" s="100">
        <v>343001000043</v>
      </c>
      <c r="AY10" s="101" t="s">
        <v>653</v>
      </c>
      <c r="AZ10" s="101" t="s">
        <v>662</v>
      </c>
      <c r="BA10" s="101"/>
      <c r="BB10" s="101"/>
      <c r="BC10" s="102" t="s">
        <v>667</v>
      </c>
      <c r="BD10" s="102">
        <v>202201860</v>
      </c>
      <c r="BE10" s="101" t="s">
        <v>668</v>
      </c>
      <c r="BF10" s="101"/>
      <c r="BG10" s="103" t="s">
        <v>652</v>
      </c>
      <c r="BH10" s="103" t="s">
        <v>664</v>
      </c>
      <c r="BI10" s="103" t="s">
        <v>669</v>
      </c>
      <c r="BJ10" s="101"/>
      <c r="BK10" s="104">
        <v>9411030</v>
      </c>
      <c r="BL10" s="104">
        <v>411030001</v>
      </c>
      <c r="BM10" s="104">
        <v>2500</v>
      </c>
      <c r="BN10" s="105">
        <v>42150</v>
      </c>
      <c r="BO10" s="98">
        <v>6</v>
      </c>
      <c r="BP10" s="98">
        <v>16.666699999999999</v>
      </c>
      <c r="BQ10" s="106">
        <v>59014.48</v>
      </c>
      <c r="BR10" s="107"/>
      <c r="BS10" s="106"/>
      <c r="BT10" s="106">
        <v>59014.48</v>
      </c>
      <c r="BU10" s="108">
        <v>0</v>
      </c>
      <c r="BV10" s="108">
        <v>0</v>
      </c>
      <c r="BW10" s="109">
        <v>0</v>
      </c>
      <c r="BX10" s="110">
        <v>59014.48</v>
      </c>
      <c r="BY10" s="110"/>
      <c r="BZ10" s="110"/>
      <c r="CA10" s="108">
        <v>0</v>
      </c>
    </row>
    <row r="11" spans="1:79" x14ac:dyDescent="0.3">
      <c r="C11" s="40" t="str">
        <f>Impuestos3225[[#This Row],[Familia]]</f>
        <v>Pick Up CI 4x4 Toyota</v>
      </c>
      <c r="D11" s="7">
        <f t="shared" si="0"/>
        <v>5</v>
      </c>
      <c r="E11" s="24" t="s">
        <v>245</v>
      </c>
      <c r="F11" s="24" t="s">
        <v>179</v>
      </c>
      <c r="G11" s="25" t="s">
        <v>652</v>
      </c>
      <c r="H11" s="24">
        <v>3000</v>
      </c>
      <c r="I11" s="80">
        <v>42150</v>
      </c>
      <c r="J11" s="8">
        <v>6</v>
      </c>
      <c r="K11" s="10">
        <v>16.666699999999999</v>
      </c>
      <c r="L11" s="81">
        <v>84516.22</v>
      </c>
      <c r="M11" s="82">
        <f>Impuestos3225[[#This Row],[Valor Adquisición (S/)]]*Impuestos3225[[#This Row],[Tasa  % ]]/100</f>
        <v>14086.06483874</v>
      </c>
      <c r="N11" s="81">
        <f>Impuestos3225[[#This Row],[Depreciación Anual]]/12</f>
        <v>1173.8387365616666</v>
      </c>
      <c r="O11" s="83">
        <f ca="1">ROUNDDOWN((TODAY()-Impuestos3225[[#This Row],[Fecha de Activación Ingreso]])/365, 0)</f>
        <v>10</v>
      </c>
      <c r="P11" s="81">
        <f ca="1">MIN(Impuestos3225[[#This Row],[Depreciación Anual]] * Impuestos3225[[#This Row],[Años Transcurridos]], Impuestos3225[[#This Row],[Valor Adquisición (S/)]])</f>
        <v>84516.22</v>
      </c>
      <c r="Q11" s="81">
        <f ca="1">MAX(Impuestos3225[[#This Row],[Valor Adquisición (S/)]]-Impuestos3225[[#This Row],[Depreciación Acumulada]], 0)</f>
        <v>0</v>
      </c>
      <c r="R11" s="81" t="str">
        <f ca="1">IF(Impuestos3225[[#This Row],[Valor Adquisición (S/)]]="","", IF(Impuestos3225[[#This Row],[Valor Neto Actual]]=0,"Veh. Ya no deprecia",""))</f>
        <v>Veh. Ya no deprecia</v>
      </c>
      <c r="S11" s="81" t="s">
        <v>240</v>
      </c>
      <c r="T11" s="81">
        <f>IFERROR(VLOOKUP(Impuestos3225[[#This Row],[Placa Vehiculo]],$AR$6:$CA$159,26,0),"")</f>
        <v>84516.22</v>
      </c>
      <c r="U11" s="81" t="str">
        <f>IF(Impuestos3225[[#This Row],[Buscar Monto]]=Impuestos3225[[#This Row],[Valor Adquisición (S/)]],"ok","mal")</f>
        <v>ok</v>
      </c>
      <c r="V11" s="81"/>
      <c r="Y11" t="s">
        <v>670</v>
      </c>
      <c r="AG11">
        <f>$AA$23</f>
        <v>331.69</v>
      </c>
      <c r="AH11">
        <f t="shared" ref="AH11:AK11" si="9">$AA$23</f>
        <v>331.69</v>
      </c>
      <c r="AI11">
        <f t="shared" si="9"/>
        <v>331.69</v>
      </c>
      <c r="AJ11">
        <f t="shared" si="9"/>
        <v>331.69</v>
      </c>
      <c r="AK11">
        <f t="shared" si="9"/>
        <v>331.69</v>
      </c>
      <c r="AL11" s="84">
        <f t="shared" si="4"/>
        <v>1658.45</v>
      </c>
      <c r="AR11" s="21" t="str">
        <f t="shared" si="5"/>
        <v>AHL-676</v>
      </c>
      <c r="AS11" s="21">
        <f t="shared" si="6"/>
        <v>3000</v>
      </c>
      <c r="AT11" s="21" t="s">
        <v>240</v>
      </c>
      <c r="AU11" s="98">
        <v>34</v>
      </c>
      <c r="AV11" s="99">
        <v>3341110</v>
      </c>
      <c r="AW11" s="99">
        <v>340087</v>
      </c>
      <c r="AX11" s="100">
        <v>343001000044</v>
      </c>
      <c r="AY11" s="101" t="s">
        <v>653</v>
      </c>
      <c r="AZ11" s="101" t="s">
        <v>671</v>
      </c>
      <c r="BA11" s="101"/>
      <c r="BB11" s="101"/>
      <c r="BC11" s="102">
        <v>3354</v>
      </c>
      <c r="BD11" s="102">
        <v>202205086</v>
      </c>
      <c r="BE11" s="101" t="s">
        <v>508</v>
      </c>
      <c r="BF11" s="101"/>
      <c r="BG11" s="103" t="s">
        <v>652</v>
      </c>
      <c r="BH11" s="103" t="s">
        <v>672</v>
      </c>
      <c r="BI11" s="103" t="s">
        <v>509</v>
      </c>
      <c r="BJ11" s="101"/>
      <c r="BK11" s="104">
        <v>9511030</v>
      </c>
      <c r="BL11" s="104">
        <v>511030001</v>
      </c>
      <c r="BM11" s="104">
        <v>3000</v>
      </c>
      <c r="BN11" s="105">
        <v>42150</v>
      </c>
      <c r="BO11" s="98">
        <v>6</v>
      </c>
      <c r="BP11" s="98">
        <v>16.666699999999999</v>
      </c>
      <c r="BQ11" s="106">
        <v>84516.22</v>
      </c>
      <c r="BR11" s="107"/>
      <c r="BS11" s="106"/>
      <c r="BT11" s="106">
        <v>84516.22</v>
      </c>
      <c r="BU11" s="108">
        <v>0</v>
      </c>
      <c r="BV11" s="108">
        <v>0</v>
      </c>
      <c r="BW11" s="109">
        <v>0</v>
      </c>
      <c r="BX11" s="110">
        <v>84516.22</v>
      </c>
      <c r="BY11" s="110"/>
      <c r="BZ11" s="110"/>
      <c r="CA11" s="108">
        <v>0</v>
      </c>
    </row>
    <row r="12" spans="1:79" x14ac:dyDescent="0.3">
      <c r="C12" s="40" t="str">
        <f>Impuestos3225[[#This Row],[Familia]]</f>
        <v>Pick Up CI 4x4 Toyota</v>
      </c>
      <c r="D12" s="7">
        <f t="shared" si="0"/>
        <v>6</v>
      </c>
      <c r="E12" s="24" t="s">
        <v>238</v>
      </c>
      <c r="F12" s="24" t="s">
        <v>179</v>
      </c>
      <c r="G12" s="25" t="s">
        <v>652</v>
      </c>
      <c r="H12" s="24">
        <v>1000</v>
      </c>
      <c r="I12" s="80">
        <v>42493</v>
      </c>
      <c r="J12" s="8">
        <v>6</v>
      </c>
      <c r="K12" s="10">
        <v>16.666699999999999</v>
      </c>
      <c r="L12" s="81">
        <v>114583.74</v>
      </c>
      <c r="M12" s="82">
        <f>Impuestos3225[[#This Row],[Valor Adquisición (S/)]]*Impuestos3225[[#This Row],[Tasa  % ]]/100</f>
        <v>19097.328194579997</v>
      </c>
      <c r="N12" s="81">
        <f>Impuestos3225[[#This Row],[Depreciación Anual]]/12</f>
        <v>1591.4440162149997</v>
      </c>
      <c r="O12" s="83">
        <f ca="1">ROUNDDOWN((TODAY()-Impuestos3225[[#This Row],[Fecha de Activación Ingreso]])/365, 0)</f>
        <v>9</v>
      </c>
      <c r="P12" s="81">
        <f ca="1">MIN(Impuestos3225[[#This Row],[Depreciación Anual]] * Impuestos3225[[#This Row],[Años Transcurridos]], Impuestos3225[[#This Row],[Valor Adquisición (S/)]])</f>
        <v>114583.74</v>
      </c>
      <c r="Q12" s="81">
        <f ca="1">MAX(Impuestos3225[[#This Row],[Valor Adquisición (S/)]]-Impuestos3225[[#This Row],[Depreciación Acumulada]], 0)</f>
        <v>0</v>
      </c>
      <c r="R12" s="81" t="str">
        <f ca="1">IF(Impuestos3225[[#This Row],[Valor Adquisición (S/)]]="","", IF(Impuestos3225[[#This Row],[Valor Neto Actual]]=0,"Veh. Ya no deprecia",""))</f>
        <v>Veh. Ya no deprecia</v>
      </c>
      <c r="S12" s="81" t="s">
        <v>240</v>
      </c>
      <c r="T12" s="81">
        <f>IFERROR(VLOOKUP(Impuestos3225[[#This Row],[Placa Vehiculo]],$AR$6:$CA$159,26,0),"")</f>
        <v>114583.74</v>
      </c>
      <c r="U12" s="81" t="str">
        <f>IF(Impuestos3225[[#This Row],[Buscar Monto]]=Impuestos3225[[#This Row],[Valor Adquisición (S/)]],"ok","mal")</f>
        <v>ok</v>
      </c>
      <c r="V12" s="81"/>
      <c r="X12">
        <v>38</v>
      </c>
      <c r="Y12" t="s">
        <v>48</v>
      </c>
      <c r="Z12" s="84">
        <f>IFERROR(SUMIFS(Impuestos3225[Depreciación Mensual],Impuestos3225[Familia],Y12,Impuestos3225[Motorización],"EV"),"")</f>
        <v>54510.297037267519</v>
      </c>
      <c r="AA12" s="84">
        <f t="shared" ref="AA12:AK12" si="10">Z12</f>
        <v>54510.297037267519</v>
      </c>
      <c r="AB12" s="84">
        <f t="shared" si="10"/>
        <v>54510.297037267519</v>
      </c>
      <c r="AC12" s="84">
        <f t="shared" si="10"/>
        <v>54510.297037267519</v>
      </c>
      <c r="AD12" s="84">
        <f t="shared" si="10"/>
        <v>54510.297037267519</v>
      </c>
      <c r="AE12" s="84">
        <f t="shared" si="10"/>
        <v>54510.297037267519</v>
      </c>
      <c r="AF12" s="84">
        <f t="shared" si="10"/>
        <v>54510.297037267519</v>
      </c>
      <c r="AG12" s="84">
        <f t="shared" si="10"/>
        <v>54510.297037267519</v>
      </c>
      <c r="AH12" s="84">
        <f t="shared" si="10"/>
        <v>54510.297037267519</v>
      </c>
      <c r="AI12" s="84">
        <f t="shared" si="10"/>
        <v>54510.297037267519</v>
      </c>
      <c r="AJ12" s="84">
        <f t="shared" si="10"/>
        <v>54510.297037267519</v>
      </c>
      <c r="AK12" s="84">
        <f t="shared" si="10"/>
        <v>54510.297037267519</v>
      </c>
      <c r="AL12" s="84">
        <f t="shared" ref="AL12:AL19" si="11">SUM(Z12:AK12)</f>
        <v>654123.56444721017</v>
      </c>
      <c r="AR12" s="21" t="str">
        <f t="shared" si="5"/>
        <v>AMI-916</v>
      </c>
      <c r="AS12" s="21">
        <f t="shared" si="6"/>
        <v>1000</v>
      </c>
      <c r="AT12" s="21" t="s">
        <v>240</v>
      </c>
      <c r="AU12" s="98">
        <v>34</v>
      </c>
      <c r="AV12" s="99">
        <v>3341110</v>
      </c>
      <c r="AW12" s="99">
        <v>340089</v>
      </c>
      <c r="AX12" s="100">
        <v>343001000046</v>
      </c>
      <c r="AY12" s="101" t="s">
        <v>653</v>
      </c>
      <c r="AZ12" s="101" t="s">
        <v>673</v>
      </c>
      <c r="BA12" s="101"/>
      <c r="BB12" s="101"/>
      <c r="BC12" s="102">
        <v>3691</v>
      </c>
      <c r="BD12" s="102">
        <v>202201871</v>
      </c>
      <c r="BE12" s="101" t="s">
        <v>515</v>
      </c>
      <c r="BF12" s="101"/>
      <c r="BG12" s="103" t="s">
        <v>652</v>
      </c>
      <c r="BH12" s="103" t="s">
        <v>674</v>
      </c>
      <c r="BI12" s="103" t="s">
        <v>675</v>
      </c>
      <c r="BJ12" s="101"/>
      <c r="BK12" s="104">
        <v>9411030</v>
      </c>
      <c r="BL12" s="104">
        <v>411030001</v>
      </c>
      <c r="BM12" s="104">
        <v>1000</v>
      </c>
      <c r="BN12" s="105">
        <v>42493</v>
      </c>
      <c r="BO12" s="98">
        <v>6</v>
      </c>
      <c r="BP12" s="98">
        <v>16.666699999999999</v>
      </c>
      <c r="BQ12" s="106">
        <v>114583.74</v>
      </c>
      <c r="BR12" s="107"/>
      <c r="BS12" s="106"/>
      <c r="BT12" s="106">
        <v>114583.74</v>
      </c>
      <c r="BU12" s="108">
        <v>0</v>
      </c>
      <c r="BV12" s="108">
        <v>0</v>
      </c>
      <c r="BW12" s="109">
        <v>0</v>
      </c>
      <c r="BX12" s="110">
        <v>114583.74</v>
      </c>
      <c r="BY12" s="110"/>
      <c r="BZ12" s="110"/>
      <c r="CA12" s="108">
        <v>0</v>
      </c>
    </row>
    <row r="13" spans="1:79" x14ac:dyDescent="0.3">
      <c r="C13" s="40" t="str">
        <f>Impuestos3225[[#This Row],[Familia]]</f>
        <v>Camión Grúa CI Volvo</v>
      </c>
      <c r="D13" s="7">
        <f t="shared" si="0"/>
        <v>7</v>
      </c>
      <c r="E13" s="24" t="s">
        <v>247</v>
      </c>
      <c r="F13" s="24" t="s">
        <v>179</v>
      </c>
      <c r="G13" s="25" t="s">
        <v>676</v>
      </c>
      <c r="H13" s="24">
        <v>2710</v>
      </c>
      <c r="I13" s="80">
        <v>44980</v>
      </c>
      <c r="J13" s="8">
        <v>12</v>
      </c>
      <c r="K13" s="10">
        <v>8.3330000000000002</v>
      </c>
      <c r="L13" s="81">
        <v>945622</v>
      </c>
      <c r="M13" s="82">
        <f>Impuestos3225[[#This Row],[Valor Adquisición (S/)]]*Impuestos3225[[#This Row],[Tasa  % ]]/100</f>
        <v>78798.681259999998</v>
      </c>
      <c r="N13" s="81">
        <f>Impuestos3225[[#This Row],[Depreciación Anual]]/12</f>
        <v>6566.5567716666665</v>
      </c>
      <c r="O13" s="83">
        <f ca="1">ROUNDDOWN((TODAY()-Impuestos3225[[#This Row],[Fecha de Activación Ingreso]])/365, 0)</f>
        <v>2</v>
      </c>
      <c r="P13" s="81">
        <f ca="1">MIN(Impuestos3225[[#This Row],[Depreciación Anual]] * Impuestos3225[[#This Row],[Años Transcurridos]], Impuestos3225[[#This Row],[Valor Adquisición (S/)]])</f>
        <v>157597.36252</v>
      </c>
      <c r="Q13" s="81">
        <f ca="1">MAX(Impuestos3225[[#This Row],[Valor Adquisición (S/)]]-Impuestos3225[[#This Row],[Depreciación Acumulada]], 0)</f>
        <v>788024.63748000003</v>
      </c>
      <c r="R13" s="81" t="str">
        <f ca="1">IF(Impuestos3225[[#This Row],[Valor Adquisición (S/)]]="","", IF(Impuestos3225[[#This Row],[Valor Neto Actual]]=0,"Veh. Ya no deprecia",""))</f>
        <v/>
      </c>
      <c r="S13" s="81" t="s">
        <v>250</v>
      </c>
      <c r="T13" s="81">
        <f>IFERROR(VLOOKUP(Impuestos3225[[#This Row],[Placa Vehiculo]],$AR$6:$CA$159,26,0),"")</f>
        <v>945622</v>
      </c>
      <c r="U13" s="81" t="str">
        <f>IF(Impuestos3225[[#This Row],[Buscar Monto]]=Impuestos3225[[#This Row],[Valor Adquisición (S/)]],"ok","mal")</f>
        <v>ok</v>
      </c>
      <c r="V13" s="81"/>
      <c r="X13">
        <v>8</v>
      </c>
      <c r="Y13" t="s">
        <v>45</v>
      </c>
      <c r="Z13" s="84">
        <f>IFERROR(SUMIFS(Impuestos3225[Depreciación Mensual],Impuestos3225[Familia],Y13,Impuestos3225[Motorización],"EV"),"")</f>
        <v>15159.063888539997</v>
      </c>
      <c r="AA13" s="84">
        <f t="shared" ref="AA13:AK13" si="12">Z13</f>
        <v>15159.063888539997</v>
      </c>
      <c r="AB13" s="84">
        <f t="shared" si="12"/>
        <v>15159.063888539997</v>
      </c>
      <c r="AC13" s="84">
        <f t="shared" si="12"/>
        <v>15159.063888539997</v>
      </c>
      <c r="AD13" s="84">
        <f t="shared" si="12"/>
        <v>15159.063888539997</v>
      </c>
      <c r="AE13" s="84">
        <f t="shared" si="12"/>
        <v>15159.063888539997</v>
      </c>
      <c r="AF13" s="84">
        <f t="shared" si="12"/>
        <v>15159.063888539997</v>
      </c>
      <c r="AG13" s="84">
        <f t="shared" si="12"/>
        <v>15159.063888539997</v>
      </c>
      <c r="AH13" s="84">
        <f t="shared" si="12"/>
        <v>15159.063888539997</v>
      </c>
      <c r="AI13" s="84">
        <f t="shared" si="12"/>
        <v>15159.063888539997</v>
      </c>
      <c r="AJ13" s="84">
        <f t="shared" si="12"/>
        <v>15159.063888539997</v>
      </c>
      <c r="AK13" s="84">
        <f t="shared" si="12"/>
        <v>15159.063888539997</v>
      </c>
      <c r="AL13" s="84">
        <f t="shared" si="11"/>
        <v>181908.76666247996</v>
      </c>
      <c r="AR13" s="21" t="str">
        <f t="shared" si="5"/>
        <v>BTB-903</v>
      </c>
      <c r="AS13" s="21">
        <f t="shared" si="6"/>
        <v>2710</v>
      </c>
      <c r="AT13" s="21" t="s">
        <v>250</v>
      </c>
      <c r="AU13" s="98">
        <v>34</v>
      </c>
      <c r="AV13" s="112">
        <v>3341110</v>
      </c>
      <c r="AW13" s="99">
        <v>340112</v>
      </c>
      <c r="AX13" s="100">
        <v>343001000069</v>
      </c>
      <c r="AY13" s="101" t="s">
        <v>653</v>
      </c>
      <c r="AZ13" s="101" t="s">
        <v>677</v>
      </c>
      <c r="BA13" s="101"/>
      <c r="BB13" s="101"/>
      <c r="BC13" s="101"/>
      <c r="BD13" s="101">
        <v>202302004</v>
      </c>
      <c r="BE13" s="101" t="s">
        <v>678</v>
      </c>
      <c r="BF13" s="101"/>
      <c r="BG13" s="103" t="s">
        <v>676</v>
      </c>
      <c r="BH13" s="103" t="s">
        <v>249</v>
      </c>
      <c r="BI13" s="113" t="s">
        <v>679</v>
      </c>
      <c r="BJ13" s="101" t="s">
        <v>680</v>
      </c>
      <c r="BK13" s="104">
        <v>9311090</v>
      </c>
      <c r="BL13" s="104">
        <v>311094002</v>
      </c>
      <c r="BM13" s="104">
        <v>2710</v>
      </c>
      <c r="BN13" s="105">
        <v>44980</v>
      </c>
      <c r="BO13" s="98">
        <v>12</v>
      </c>
      <c r="BP13" s="98">
        <v>8.3330000000000002</v>
      </c>
      <c r="BQ13" s="114">
        <v>945622</v>
      </c>
      <c r="BR13" s="107"/>
      <c r="BS13" s="114"/>
      <c r="BT13" s="106">
        <v>144464.31999999998</v>
      </c>
      <c r="BU13" s="108">
        <v>6566.56</v>
      </c>
      <c r="BV13" s="108">
        <v>6566.56</v>
      </c>
      <c r="BW13" s="109">
        <v>39399.360000000001</v>
      </c>
      <c r="BX13" s="110">
        <v>183863.67999999999</v>
      </c>
      <c r="BY13" s="110"/>
      <c r="BZ13" s="110"/>
      <c r="CA13" s="108">
        <v>761758.32000000007</v>
      </c>
    </row>
    <row r="14" spans="1:79" x14ac:dyDescent="0.3">
      <c r="C14" s="40" t="str">
        <f>Impuestos3225[[#This Row],[Familia]]</f>
        <v>Camión Grúa CI Volvo</v>
      </c>
      <c r="D14" s="7">
        <f t="shared" si="0"/>
        <v>8</v>
      </c>
      <c r="E14" s="24" t="s">
        <v>251</v>
      </c>
      <c r="F14" s="24" t="s">
        <v>179</v>
      </c>
      <c r="G14" s="25" t="s">
        <v>676</v>
      </c>
      <c r="H14" s="24">
        <v>2710</v>
      </c>
      <c r="I14" s="80">
        <v>44985</v>
      </c>
      <c r="J14" s="8">
        <v>12</v>
      </c>
      <c r="K14" s="10">
        <v>8.3330000000000002</v>
      </c>
      <c r="L14" s="81">
        <v>945622</v>
      </c>
      <c r="M14" s="82">
        <f>Impuestos3225[[#This Row],[Valor Adquisición (S/)]]*Impuestos3225[[#This Row],[Tasa  % ]]/100</f>
        <v>78798.681259999998</v>
      </c>
      <c r="N14" s="81">
        <f>Impuestos3225[[#This Row],[Depreciación Anual]]/12</f>
        <v>6566.5567716666665</v>
      </c>
      <c r="O14" s="83">
        <f ca="1">ROUNDDOWN((TODAY()-Impuestos3225[[#This Row],[Fecha de Activación Ingreso]])/365, 0)</f>
        <v>2</v>
      </c>
      <c r="P14" s="81">
        <f ca="1">MIN(Impuestos3225[[#This Row],[Depreciación Anual]] * Impuestos3225[[#This Row],[Años Transcurridos]], Impuestos3225[[#This Row],[Valor Adquisición (S/)]])</f>
        <v>157597.36252</v>
      </c>
      <c r="Q14" s="81">
        <f ca="1">MAX(Impuestos3225[[#This Row],[Valor Adquisición (S/)]]-Impuestos3225[[#This Row],[Depreciación Acumulada]], 0)</f>
        <v>788024.63748000003</v>
      </c>
      <c r="R14" s="81" t="str">
        <f ca="1">IF(Impuestos3225[[#This Row],[Valor Adquisición (S/)]]="","", IF(Impuestos3225[[#This Row],[Valor Neto Actual]]=0,"Veh. Ya no deprecia",""))</f>
        <v/>
      </c>
      <c r="S14" s="81" t="s">
        <v>250</v>
      </c>
      <c r="T14" s="81">
        <f>IFERROR(VLOOKUP(Impuestos3225[[#This Row],[Placa Vehiculo]],$AR$6:$CA$159,26,0),"")</f>
        <v>945622</v>
      </c>
      <c r="U14" s="81" t="str">
        <f>IF(Impuestos3225[[#This Row],[Buscar Monto]]=Impuestos3225[[#This Row],[Valor Adquisición (S/)]],"ok","mal")</f>
        <v>ok</v>
      </c>
      <c r="V14" s="81"/>
      <c r="X14">
        <v>1</v>
      </c>
      <c r="Y14" t="s">
        <v>39</v>
      </c>
      <c r="Z14" s="84">
        <f>IFERROR(SUMIFS(Impuestos3225[Depreciación Mensual],Impuestos3225[Familia],Y14,Impuestos3225[Motorización],"EV"),"")</f>
        <v>2331.9425490075</v>
      </c>
      <c r="AA14" s="84">
        <f t="shared" ref="AA14:AK14" si="13">Z14</f>
        <v>2331.9425490075</v>
      </c>
      <c r="AB14" s="84">
        <f t="shared" si="13"/>
        <v>2331.9425490075</v>
      </c>
      <c r="AC14" s="84">
        <f t="shared" si="13"/>
        <v>2331.9425490075</v>
      </c>
      <c r="AD14" s="84">
        <f t="shared" si="13"/>
        <v>2331.9425490075</v>
      </c>
      <c r="AE14" s="84">
        <f t="shared" si="13"/>
        <v>2331.9425490075</v>
      </c>
      <c r="AF14" s="84">
        <f t="shared" si="13"/>
        <v>2331.9425490075</v>
      </c>
      <c r="AG14" s="84">
        <f t="shared" si="13"/>
        <v>2331.9425490075</v>
      </c>
      <c r="AH14" s="84">
        <f t="shared" si="13"/>
        <v>2331.9425490075</v>
      </c>
      <c r="AI14" s="84">
        <f t="shared" si="13"/>
        <v>2331.9425490075</v>
      </c>
      <c r="AJ14" s="84">
        <f t="shared" si="13"/>
        <v>2331.9425490075</v>
      </c>
      <c r="AK14" s="84">
        <f t="shared" si="13"/>
        <v>2331.9425490075</v>
      </c>
      <c r="AL14" s="84">
        <f t="shared" si="11"/>
        <v>27983.310588090008</v>
      </c>
      <c r="AR14" s="21" t="str">
        <f t="shared" si="5"/>
        <v>BTD-712</v>
      </c>
      <c r="AS14" s="21">
        <f t="shared" si="6"/>
        <v>2710</v>
      </c>
      <c r="AT14" s="21" t="s">
        <v>250</v>
      </c>
      <c r="AU14" s="98">
        <v>34</v>
      </c>
      <c r="AV14" s="112">
        <v>3341110</v>
      </c>
      <c r="AW14" s="99">
        <v>340113</v>
      </c>
      <c r="AX14" s="100">
        <v>343001000070</v>
      </c>
      <c r="AY14" s="101" t="s">
        <v>653</v>
      </c>
      <c r="AZ14" s="101" t="s">
        <v>681</v>
      </c>
      <c r="BA14" s="101"/>
      <c r="BB14" s="101"/>
      <c r="BC14" s="101"/>
      <c r="BD14" s="101">
        <v>202302005</v>
      </c>
      <c r="BE14" s="101" t="s">
        <v>682</v>
      </c>
      <c r="BF14" s="101"/>
      <c r="BG14" s="103" t="s">
        <v>676</v>
      </c>
      <c r="BH14" s="103" t="s">
        <v>249</v>
      </c>
      <c r="BI14" s="113" t="s">
        <v>683</v>
      </c>
      <c r="BJ14" s="101" t="s">
        <v>684</v>
      </c>
      <c r="BK14" s="104">
        <v>9311090</v>
      </c>
      <c r="BL14" s="104">
        <v>311094002</v>
      </c>
      <c r="BM14" s="104">
        <v>2710</v>
      </c>
      <c r="BN14" s="105">
        <v>44985</v>
      </c>
      <c r="BO14" s="98">
        <v>12</v>
      </c>
      <c r="BP14" s="98">
        <v>8.3330000000000002</v>
      </c>
      <c r="BQ14" s="114">
        <v>945622</v>
      </c>
      <c r="BR14" s="107"/>
      <c r="BS14" s="114"/>
      <c r="BT14" s="106">
        <v>144464.31999999998</v>
      </c>
      <c r="BU14" s="108">
        <v>6566.56</v>
      </c>
      <c r="BV14" s="108">
        <v>6566.56</v>
      </c>
      <c r="BW14" s="109">
        <v>39399.360000000001</v>
      </c>
      <c r="BX14" s="110">
        <v>183863.67999999999</v>
      </c>
      <c r="BY14" s="110"/>
      <c r="BZ14" s="110"/>
      <c r="CA14" s="108">
        <v>761758.32000000007</v>
      </c>
    </row>
    <row r="15" spans="1:79" x14ac:dyDescent="0.3">
      <c r="C15" s="40" t="str">
        <f>Impuestos3225[[#This Row],[Familia]]</f>
        <v>Camión Grúa CI Hino</v>
      </c>
      <c r="D15" s="7">
        <f t="shared" si="0"/>
        <v>9</v>
      </c>
      <c r="E15" s="24" t="s">
        <v>197</v>
      </c>
      <c r="F15" s="24" t="s">
        <v>179</v>
      </c>
      <c r="G15" s="25" t="s">
        <v>685</v>
      </c>
      <c r="H15" s="24">
        <v>2710</v>
      </c>
      <c r="I15" s="80">
        <v>44992</v>
      </c>
      <c r="J15" s="8">
        <v>12</v>
      </c>
      <c r="K15" s="10">
        <v>8.3330000000000002</v>
      </c>
      <c r="L15" s="81">
        <v>716600.9</v>
      </c>
      <c r="M15" s="82">
        <f>Impuestos3225[[#This Row],[Valor Adquisición (S/)]]*Impuestos3225[[#This Row],[Tasa  % ]]/100</f>
        <v>59714.352997000002</v>
      </c>
      <c r="N15" s="81">
        <f>Impuestos3225[[#This Row],[Depreciación Anual]]/12</f>
        <v>4976.1960830833332</v>
      </c>
      <c r="O15" s="83">
        <f ca="1">ROUNDDOWN((TODAY()-Impuestos3225[[#This Row],[Fecha de Activación Ingreso]])/365, 0)</f>
        <v>2</v>
      </c>
      <c r="P15" s="81">
        <f ca="1">MIN(Impuestos3225[[#This Row],[Depreciación Anual]] * Impuestos3225[[#This Row],[Años Transcurridos]], Impuestos3225[[#This Row],[Valor Adquisición (S/)]])</f>
        <v>119428.705994</v>
      </c>
      <c r="Q15" s="81">
        <f ca="1">MAX(Impuestos3225[[#This Row],[Valor Adquisición (S/)]]-Impuestos3225[[#This Row],[Depreciación Acumulada]], 0)</f>
        <v>597172.19400600006</v>
      </c>
      <c r="R15" s="81" t="str">
        <f ca="1">IF(Impuestos3225[[#This Row],[Valor Adquisición (S/)]]="","", IF(Impuestos3225[[#This Row],[Valor Neto Actual]]=0,"Veh. Ya no deprecia",""))</f>
        <v/>
      </c>
      <c r="S15" s="81" t="s">
        <v>200</v>
      </c>
      <c r="T15" s="81">
        <f>IFERROR(VLOOKUP(Impuestos3225[[#This Row],[Placa Vehiculo]],$AR$6:$CA$159,26,0),"")</f>
        <v>716600.9</v>
      </c>
      <c r="U15" s="81" t="str">
        <f>IF(Impuestos3225[[#This Row],[Buscar Monto]]=Impuestos3225[[#This Row],[Valor Adquisición (S/)]],"ok","mal")</f>
        <v>ok</v>
      </c>
      <c r="V15" s="81"/>
      <c r="X15">
        <v>1</v>
      </c>
      <c r="Y15" t="s">
        <v>52</v>
      </c>
      <c r="Z15" s="84">
        <f>IFERROR(SUMIFS(Impuestos3225[Depreciación Mensual],Impuestos3225[Familia],Y15,Impuestos3225[Motorización],"EV"),"")</f>
        <v>2734.7992890075002</v>
      </c>
      <c r="AA15" s="84">
        <f t="shared" ref="AA15:AK15" si="14">Z15</f>
        <v>2734.7992890075002</v>
      </c>
      <c r="AB15" s="84">
        <f t="shared" si="14"/>
        <v>2734.7992890075002</v>
      </c>
      <c r="AC15" s="84">
        <f t="shared" si="14"/>
        <v>2734.7992890075002</v>
      </c>
      <c r="AD15" s="84">
        <f t="shared" si="14"/>
        <v>2734.7992890075002</v>
      </c>
      <c r="AE15" s="84">
        <f t="shared" si="14"/>
        <v>2734.7992890075002</v>
      </c>
      <c r="AF15" s="84">
        <f t="shared" si="14"/>
        <v>2734.7992890075002</v>
      </c>
      <c r="AG15" s="84">
        <f t="shared" si="14"/>
        <v>2734.7992890075002</v>
      </c>
      <c r="AH15" s="84">
        <f t="shared" si="14"/>
        <v>2734.7992890075002</v>
      </c>
      <c r="AI15" s="84">
        <f t="shared" si="14"/>
        <v>2734.7992890075002</v>
      </c>
      <c r="AJ15" s="84">
        <f t="shared" si="14"/>
        <v>2734.7992890075002</v>
      </c>
      <c r="AK15" s="84">
        <f t="shared" si="14"/>
        <v>2734.7992890075002</v>
      </c>
      <c r="AL15" s="84">
        <f t="shared" si="11"/>
        <v>32817.591468090002</v>
      </c>
      <c r="AR15" s="21" t="str">
        <f t="shared" si="5"/>
        <v>BTJ-860</v>
      </c>
      <c r="AS15" s="21">
        <f t="shared" si="6"/>
        <v>2710</v>
      </c>
      <c r="AT15" s="21" t="s">
        <v>200</v>
      </c>
      <c r="AU15" s="98">
        <v>34</v>
      </c>
      <c r="AV15" s="112">
        <v>3341110</v>
      </c>
      <c r="AW15" s="99">
        <v>340114</v>
      </c>
      <c r="AX15" s="100">
        <v>343001000071</v>
      </c>
      <c r="AY15" s="101" t="s">
        <v>653</v>
      </c>
      <c r="AZ15" s="101" t="s">
        <v>686</v>
      </c>
      <c r="BA15" s="101"/>
      <c r="BB15" s="101"/>
      <c r="BC15" s="101"/>
      <c r="BD15" s="101">
        <v>202303002</v>
      </c>
      <c r="BE15" s="101" t="s">
        <v>353</v>
      </c>
      <c r="BF15" s="101"/>
      <c r="BG15" s="103" t="s">
        <v>685</v>
      </c>
      <c r="BH15" s="103" t="s">
        <v>199</v>
      </c>
      <c r="BI15" s="113" t="s">
        <v>354</v>
      </c>
      <c r="BJ15" s="101" t="s">
        <v>687</v>
      </c>
      <c r="BK15" s="104">
        <v>9311090</v>
      </c>
      <c r="BL15" s="104">
        <v>311094002</v>
      </c>
      <c r="BM15" s="104">
        <v>2710</v>
      </c>
      <c r="BN15" s="105">
        <v>44992</v>
      </c>
      <c r="BO15" s="98">
        <v>12</v>
      </c>
      <c r="BP15" s="98">
        <v>8.3330000000000002</v>
      </c>
      <c r="BQ15" s="114">
        <v>716600.9</v>
      </c>
      <c r="BR15" s="107"/>
      <c r="BS15" s="114"/>
      <c r="BT15" s="106">
        <v>104500.19999999998</v>
      </c>
      <c r="BU15" s="108">
        <v>4976.2</v>
      </c>
      <c r="BV15" s="108">
        <v>4976.2</v>
      </c>
      <c r="BW15" s="109">
        <v>29857.200000000001</v>
      </c>
      <c r="BX15" s="110">
        <v>134357.4</v>
      </c>
      <c r="BY15" s="110"/>
      <c r="BZ15" s="110"/>
      <c r="CA15" s="108">
        <v>582243.5</v>
      </c>
    </row>
    <row r="16" spans="1:79" x14ac:dyDescent="0.3">
      <c r="C16" s="40" t="str">
        <f>Impuestos3225[[#This Row],[Familia]]</f>
        <v>Pick Up EV 4x2 JAC</v>
      </c>
      <c r="D16" s="7">
        <f t="shared" si="0"/>
        <v>10</v>
      </c>
      <c r="E16" s="24" t="s">
        <v>135</v>
      </c>
      <c r="F16" s="24" t="s">
        <v>37</v>
      </c>
      <c r="G16" s="25" t="s">
        <v>688</v>
      </c>
      <c r="H16" s="24">
        <v>3201</v>
      </c>
      <c r="I16" s="80">
        <v>45077</v>
      </c>
      <c r="J16" s="8">
        <v>7</v>
      </c>
      <c r="K16" s="10">
        <v>14.2857</v>
      </c>
      <c r="L16" s="81">
        <v>119698.68000000001</v>
      </c>
      <c r="M16" s="82">
        <f>Impuestos3225[[#This Row],[Valor Adquisición (S/)]]*Impuestos3225[[#This Row],[Tasa  % ]]/100</f>
        <v>17099.794328760003</v>
      </c>
      <c r="N16" s="81">
        <f>Impuestos3225[[#This Row],[Depreciación Anual]]/12</f>
        <v>1424.9828607300003</v>
      </c>
      <c r="O16" s="83">
        <f ca="1">ROUNDDOWN((TODAY()-Impuestos3225[[#This Row],[Fecha de Activación Ingreso]])/365, 0)</f>
        <v>2</v>
      </c>
      <c r="P16" s="81">
        <f ca="1">MIN(Impuestos3225[[#This Row],[Depreciación Anual]] * Impuestos3225[[#This Row],[Años Transcurridos]], Impuestos3225[[#This Row],[Valor Adquisición (S/)]])</f>
        <v>34199.588657520006</v>
      </c>
      <c r="Q16" s="81">
        <f ca="1">MAX(Impuestos3225[[#This Row],[Valor Adquisición (S/)]]-Impuestos3225[[#This Row],[Depreciación Acumulada]], 0)</f>
        <v>85499.091342480009</v>
      </c>
      <c r="R16" s="81" t="str">
        <f ca="1">IF(Impuestos3225[[#This Row],[Valor Adquisición (S/)]]="","", IF(Impuestos3225[[#This Row],[Valor Neto Actual]]=0,"Veh. Ya no deprecia",""))</f>
        <v/>
      </c>
      <c r="S16" s="81" t="s">
        <v>48</v>
      </c>
      <c r="T16" s="81">
        <f>IFERROR(VLOOKUP(Impuestos3225[[#This Row],[Placa Vehiculo]],$AR$6:$CA$159,26,0),"")</f>
        <v>119698.68000000001</v>
      </c>
      <c r="U16" s="81" t="str">
        <f>IF(Impuestos3225[[#This Row],[Buscar Monto]]=Impuestos3225[[#This Row],[Valor Adquisición (S/)]],"ok","mal")</f>
        <v>ok</v>
      </c>
      <c r="V16" s="81"/>
      <c r="X16">
        <v>36</v>
      </c>
      <c r="Y16" t="s">
        <v>54</v>
      </c>
      <c r="Z16" s="84">
        <f>IFERROR(SUMIFS(Impuestos3225[Depreciación Mensual],Impuestos3225[Familia],Y16,Impuestos3225[Motorización],"EV"),"")</f>
        <v>49384.825734172504</v>
      </c>
      <c r="AA16" s="84">
        <f t="shared" ref="AA16:AK16" si="15">Z16</f>
        <v>49384.825734172504</v>
      </c>
      <c r="AB16" s="84">
        <f t="shared" si="15"/>
        <v>49384.825734172504</v>
      </c>
      <c r="AC16" s="84">
        <f t="shared" si="15"/>
        <v>49384.825734172504</v>
      </c>
      <c r="AD16" s="84">
        <f t="shared" si="15"/>
        <v>49384.825734172504</v>
      </c>
      <c r="AE16" s="84">
        <f t="shared" si="15"/>
        <v>49384.825734172504</v>
      </c>
      <c r="AF16" s="84">
        <f t="shared" si="15"/>
        <v>49384.825734172504</v>
      </c>
      <c r="AG16" s="84">
        <f t="shared" si="15"/>
        <v>49384.825734172504</v>
      </c>
      <c r="AH16" s="84">
        <f t="shared" si="15"/>
        <v>49384.825734172504</v>
      </c>
      <c r="AI16" s="84">
        <f t="shared" si="15"/>
        <v>49384.825734172504</v>
      </c>
      <c r="AJ16" s="84">
        <f t="shared" si="15"/>
        <v>49384.825734172504</v>
      </c>
      <c r="AK16" s="84">
        <f t="shared" si="15"/>
        <v>49384.825734172504</v>
      </c>
      <c r="AL16" s="84">
        <f t="shared" si="11"/>
        <v>592617.9088100699</v>
      </c>
      <c r="AR16" s="21" t="str">
        <f t="shared" si="5"/>
        <v>BUR-944</v>
      </c>
      <c r="AS16" s="21">
        <f t="shared" si="6"/>
        <v>3201</v>
      </c>
      <c r="AT16" s="21" t="s">
        <v>48</v>
      </c>
      <c r="AU16" s="98">
        <v>34</v>
      </c>
      <c r="AV16" s="112">
        <v>3341110</v>
      </c>
      <c r="AW16" s="99">
        <v>340115</v>
      </c>
      <c r="AX16" s="100">
        <v>343001000072</v>
      </c>
      <c r="AY16" s="101" t="s">
        <v>653</v>
      </c>
      <c r="AZ16" s="101" t="s">
        <v>689</v>
      </c>
      <c r="BA16" s="101"/>
      <c r="BB16" s="101"/>
      <c r="BC16" s="101"/>
      <c r="BD16" s="115">
        <v>202305001</v>
      </c>
      <c r="BE16" s="101" t="s">
        <v>475</v>
      </c>
      <c r="BF16" s="101"/>
      <c r="BG16" s="103" t="s">
        <v>688</v>
      </c>
      <c r="BH16" s="103" t="s">
        <v>690</v>
      </c>
      <c r="BI16" s="113" t="s">
        <v>477</v>
      </c>
      <c r="BJ16" s="101" t="s">
        <v>476</v>
      </c>
      <c r="BK16" s="104">
        <v>9311090</v>
      </c>
      <c r="BL16" s="104">
        <v>311094001</v>
      </c>
      <c r="BM16" s="104">
        <v>3201</v>
      </c>
      <c r="BN16" s="105">
        <v>45077</v>
      </c>
      <c r="BO16" s="98">
        <v>7</v>
      </c>
      <c r="BP16" s="116">
        <v>14.2857</v>
      </c>
      <c r="BQ16" s="114">
        <v>119698.68000000001</v>
      </c>
      <c r="BR16" s="107"/>
      <c r="BS16" s="114"/>
      <c r="BT16" s="106">
        <v>27074.619999999995</v>
      </c>
      <c r="BU16" s="108">
        <v>1424.98</v>
      </c>
      <c r="BV16" s="108">
        <v>1424.98</v>
      </c>
      <c r="BW16" s="109">
        <v>8549.8799999999992</v>
      </c>
      <c r="BX16" s="110">
        <v>35624.499999999993</v>
      </c>
      <c r="BY16" s="110"/>
      <c r="BZ16" s="110"/>
      <c r="CA16" s="108">
        <v>84074.180000000022</v>
      </c>
    </row>
    <row r="17" spans="3:79" x14ac:dyDescent="0.3">
      <c r="C17" s="40" t="str">
        <f>Impuestos3225[[#This Row],[Familia]]</f>
        <v>Pick Up EV 4x2 JAC</v>
      </c>
      <c r="D17" s="7">
        <f t="shared" si="0"/>
        <v>11</v>
      </c>
      <c r="E17" s="24" t="s">
        <v>142</v>
      </c>
      <c r="F17" s="24" t="s">
        <v>37</v>
      </c>
      <c r="G17" s="25" t="s">
        <v>688</v>
      </c>
      <c r="H17" s="24">
        <v>3201</v>
      </c>
      <c r="I17" s="80">
        <v>45077</v>
      </c>
      <c r="J17" s="8">
        <v>7</v>
      </c>
      <c r="K17" s="10">
        <v>14.2857</v>
      </c>
      <c r="L17" s="81">
        <v>119698.68000000001</v>
      </c>
      <c r="M17" s="82">
        <f>Impuestos3225[[#This Row],[Valor Adquisición (S/)]]*Impuestos3225[[#This Row],[Tasa  % ]]/100</f>
        <v>17099.794328760003</v>
      </c>
      <c r="N17" s="81">
        <f>Impuestos3225[[#This Row],[Depreciación Anual]]/12</f>
        <v>1424.9828607300003</v>
      </c>
      <c r="O17" s="83">
        <f ca="1">ROUNDDOWN((TODAY()-Impuestos3225[[#This Row],[Fecha de Activación Ingreso]])/365, 0)</f>
        <v>2</v>
      </c>
      <c r="P17" s="81">
        <f ca="1">MIN(Impuestos3225[[#This Row],[Depreciación Anual]] * Impuestos3225[[#This Row],[Años Transcurridos]], Impuestos3225[[#This Row],[Valor Adquisición (S/)]])</f>
        <v>34199.588657520006</v>
      </c>
      <c r="Q17" s="81">
        <f ca="1">MAX(Impuestos3225[[#This Row],[Valor Adquisición (S/)]]-Impuestos3225[[#This Row],[Depreciación Acumulada]], 0)</f>
        <v>85499.091342480009</v>
      </c>
      <c r="R17" s="81" t="str">
        <f ca="1">IF(Impuestos3225[[#This Row],[Valor Adquisición (S/)]]="","", IF(Impuestos3225[[#This Row],[Valor Neto Actual]]=0,"Veh. Ya no deprecia",""))</f>
        <v/>
      </c>
      <c r="S17" s="81" t="s">
        <v>48</v>
      </c>
      <c r="T17" s="81">
        <f>IFERROR(VLOOKUP(Impuestos3225[[#This Row],[Placa Vehiculo]],$AR$6:$CA$159,26,0),"")</f>
        <v>119698.68000000001</v>
      </c>
      <c r="U17" s="81" t="str">
        <f>IF(Impuestos3225[[#This Row],[Buscar Monto]]=Impuestos3225[[#This Row],[Valor Adquisición (S/)]],"ok","mal")</f>
        <v>ok</v>
      </c>
      <c r="V17" s="81"/>
      <c r="X17">
        <v>2</v>
      </c>
      <c r="Y17" t="s">
        <v>56</v>
      </c>
      <c r="Z17" s="84">
        <f>IFERROR(SUMIFS(Impuestos3225[Depreciación Mensual],Impuestos3225[Familia],Y17,Impuestos3225[Motorización],"EV"),"")</f>
        <v>2482.1834701950002</v>
      </c>
      <c r="AA17" s="84">
        <f t="shared" ref="AA17:AK17" si="16">Z17</f>
        <v>2482.1834701950002</v>
      </c>
      <c r="AB17" s="84">
        <f t="shared" si="16"/>
        <v>2482.1834701950002</v>
      </c>
      <c r="AC17" s="84">
        <f t="shared" si="16"/>
        <v>2482.1834701950002</v>
      </c>
      <c r="AD17" s="84">
        <f t="shared" si="16"/>
        <v>2482.1834701950002</v>
      </c>
      <c r="AE17" s="84">
        <f t="shared" si="16"/>
        <v>2482.1834701950002</v>
      </c>
      <c r="AF17" s="84">
        <f t="shared" si="16"/>
        <v>2482.1834701950002</v>
      </c>
      <c r="AG17" s="84">
        <f t="shared" si="16"/>
        <v>2482.1834701950002</v>
      </c>
      <c r="AH17" s="84">
        <f t="shared" si="16"/>
        <v>2482.1834701950002</v>
      </c>
      <c r="AI17" s="84">
        <f t="shared" si="16"/>
        <v>2482.1834701950002</v>
      </c>
      <c r="AJ17" s="84">
        <f t="shared" si="16"/>
        <v>2482.1834701950002</v>
      </c>
      <c r="AK17" s="84">
        <f t="shared" si="16"/>
        <v>2482.1834701950002</v>
      </c>
      <c r="AL17" s="84">
        <f t="shared" si="11"/>
        <v>29786.201642339995</v>
      </c>
      <c r="AR17" s="21" t="str">
        <f t="shared" si="5"/>
        <v>BUS-777</v>
      </c>
      <c r="AS17" s="21">
        <f t="shared" si="6"/>
        <v>3201</v>
      </c>
      <c r="AT17" s="21" t="s">
        <v>48</v>
      </c>
      <c r="AU17" s="98">
        <v>34</v>
      </c>
      <c r="AV17" s="112">
        <v>3341110</v>
      </c>
      <c r="AW17" s="99">
        <v>340116</v>
      </c>
      <c r="AX17" s="100">
        <v>343001000073</v>
      </c>
      <c r="AY17" s="101" t="s">
        <v>653</v>
      </c>
      <c r="AZ17" s="101" t="s">
        <v>689</v>
      </c>
      <c r="BA17" s="101"/>
      <c r="BB17" s="101"/>
      <c r="BC17" s="101"/>
      <c r="BD17" s="115">
        <v>202305002</v>
      </c>
      <c r="BE17" s="101" t="s">
        <v>453</v>
      </c>
      <c r="BF17" s="101"/>
      <c r="BG17" s="103" t="s">
        <v>688</v>
      </c>
      <c r="BH17" s="103" t="s">
        <v>690</v>
      </c>
      <c r="BI17" s="113" t="s">
        <v>455</v>
      </c>
      <c r="BJ17" s="101" t="s">
        <v>454</v>
      </c>
      <c r="BK17" s="104">
        <v>9311090</v>
      </c>
      <c r="BL17" s="104">
        <v>311094001</v>
      </c>
      <c r="BM17" s="104">
        <v>3201</v>
      </c>
      <c r="BN17" s="105">
        <v>45077</v>
      </c>
      <c r="BO17" s="98">
        <v>7</v>
      </c>
      <c r="BP17" s="116">
        <v>14.2857</v>
      </c>
      <c r="BQ17" s="114">
        <v>119698.68000000001</v>
      </c>
      <c r="BR17" s="107"/>
      <c r="BS17" s="114"/>
      <c r="BT17" s="106">
        <v>27074.619999999995</v>
      </c>
      <c r="BU17" s="108">
        <v>1424.98</v>
      </c>
      <c r="BV17" s="108">
        <v>1424.98</v>
      </c>
      <c r="BW17" s="109">
        <v>8549.8799999999992</v>
      </c>
      <c r="BX17" s="110">
        <v>35624.499999999993</v>
      </c>
      <c r="BY17" s="110"/>
      <c r="BZ17" s="110"/>
      <c r="CA17" s="108">
        <v>84074.180000000022</v>
      </c>
    </row>
    <row r="18" spans="3:79" x14ac:dyDescent="0.3">
      <c r="C18" s="40" t="str">
        <f>Impuestos3225[[#This Row],[Familia]]</f>
        <v>Pick Up EV 4x2 JAC</v>
      </c>
      <c r="D18" s="7">
        <f t="shared" si="0"/>
        <v>12</v>
      </c>
      <c r="E18" s="24" t="s">
        <v>150</v>
      </c>
      <c r="F18" s="24" t="s">
        <v>37</v>
      </c>
      <c r="G18" s="25" t="s">
        <v>688</v>
      </c>
      <c r="H18" s="24">
        <v>3201</v>
      </c>
      <c r="I18" s="80">
        <v>45077</v>
      </c>
      <c r="J18" s="8">
        <v>7</v>
      </c>
      <c r="K18" s="10">
        <v>14.2857</v>
      </c>
      <c r="L18" s="81">
        <v>119698.68000000001</v>
      </c>
      <c r="M18" s="82">
        <f>Impuestos3225[[#This Row],[Valor Adquisición (S/)]]*Impuestos3225[[#This Row],[Tasa  % ]]/100</f>
        <v>17099.794328760003</v>
      </c>
      <c r="N18" s="81">
        <f>Impuestos3225[[#This Row],[Depreciación Anual]]/12</f>
        <v>1424.9828607300003</v>
      </c>
      <c r="O18" s="83">
        <f ca="1">ROUNDDOWN((TODAY()-Impuestos3225[[#This Row],[Fecha de Activación Ingreso]])/365, 0)</f>
        <v>2</v>
      </c>
      <c r="P18" s="81">
        <f ca="1">MIN(Impuestos3225[[#This Row],[Depreciación Anual]] * Impuestos3225[[#This Row],[Años Transcurridos]], Impuestos3225[[#This Row],[Valor Adquisición (S/)]])</f>
        <v>34199.588657520006</v>
      </c>
      <c r="Q18" s="81">
        <f ca="1">MAX(Impuestos3225[[#This Row],[Valor Adquisición (S/)]]-Impuestos3225[[#This Row],[Depreciación Acumulada]], 0)</f>
        <v>85499.091342480009</v>
      </c>
      <c r="R18" s="81" t="str">
        <f ca="1">IF(Impuestos3225[[#This Row],[Valor Adquisición (S/)]]="","", IF(Impuestos3225[[#This Row],[Valor Neto Actual]]=0,"Veh. Ya no deprecia",""))</f>
        <v/>
      </c>
      <c r="S18" s="81" t="s">
        <v>48</v>
      </c>
      <c r="T18" s="81">
        <f>IFERROR(VLOOKUP(Impuestos3225[[#This Row],[Placa Vehiculo]],$AR$6:$CA$159,26,0),"")</f>
        <v>119698.68000000001</v>
      </c>
      <c r="U18" s="81" t="str">
        <f>IF(Impuestos3225[[#This Row],[Buscar Monto]]=Impuestos3225[[#This Row],[Valor Adquisición (S/)]],"ok","mal")</f>
        <v>ok</v>
      </c>
      <c r="V18" s="81"/>
      <c r="X18" s="15">
        <v>6</v>
      </c>
      <c r="Y18" t="s">
        <v>58</v>
      </c>
      <c r="Z18" s="84">
        <f t="shared" ref="Z18" si="17">IFERROR((VLOOKUP(Y18,$C$6:$N$161,12,0))*X18,"")</f>
        <v>7760.8043820450021</v>
      </c>
      <c r="AA18" s="84">
        <f t="shared" ref="AA18:AK18" si="18">Z18</f>
        <v>7760.8043820450021</v>
      </c>
      <c r="AB18" s="84">
        <f t="shared" si="18"/>
        <v>7760.8043820450021</v>
      </c>
      <c r="AC18" s="84">
        <f t="shared" si="18"/>
        <v>7760.8043820450021</v>
      </c>
      <c r="AD18" s="84">
        <f t="shared" si="18"/>
        <v>7760.8043820450021</v>
      </c>
      <c r="AE18" s="84">
        <f t="shared" si="18"/>
        <v>7760.8043820450021</v>
      </c>
      <c r="AF18" s="84">
        <f t="shared" si="18"/>
        <v>7760.8043820450021</v>
      </c>
      <c r="AG18" s="84">
        <f t="shared" si="18"/>
        <v>7760.8043820450021</v>
      </c>
      <c r="AH18" s="84">
        <f t="shared" si="18"/>
        <v>7760.8043820450021</v>
      </c>
      <c r="AI18" s="84">
        <f t="shared" si="18"/>
        <v>7760.8043820450021</v>
      </c>
      <c r="AJ18" s="84">
        <f t="shared" si="18"/>
        <v>7760.8043820450021</v>
      </c>
      <c r="AK18" s="84">
        <f t="shared" si="18"/>
        <v>7760.8043820450021</v>
      </c>
      <c r="AL18" s="84">
        <f t="shared" si="11"/>
        <v>93129.652584540017</v>
      </c>
      <c r="AR18" s="21" t="str">
        <f t="shared" si="5"/>
        <v>BUS-862</v>
      </c>
      <c r="AS18" s="21">
        <f t="shared" si="6"/>
        <v>3201</v>
      </c>
      <c r="AT18" s="21" t="s">
        <v>48</v>
      </c>
      <c r="AU18" s="98">
        <v>34</v>
      </c>
      <c r="AV18" s="112">
        <v>3341110</v>
      </c>
      <c r="AW18" s="99">
        <v>340117</v>
      </c>
      <c r="AX18" s="100">
        <v>343001000074</v>
      </c>
      <c r="AY18" s="101" t="s">
        <v>653</v>
      </c>
      <c r="AZ18" s="101" t="s">
        <v>689</v>
      </c>
      <c r="BA18" s="101"/>
      <c r="BB18" s="101"/>
      <c r="BC18" s="101"/>
      <c r="BD18" s="115">
        <v>202305003</v>
      </c>
      <c r="BE18" s="101" t="s">
        <v>435</v>
      </c>
      <c r="BF18" s="101"/>
      <c r="BG18" s="103" t="s">
        <v>688</v>
      </c>
      <c r="BH18" s="103" t="s">
        <v>690</v>
      </c>
      <c r="BI18" s="113" t="s">
        <v>437</v>
      </c>
      <c r="BJ18" s="101" t="s">
        <v>436</v>
      </c>
      <c r="BK18" s="104">
        <v>9311090</v>
      </c>
      <c r="BL18" s="104">
        <v>311094001</v>
      </c>
      <c r="BM18" s="104">
        <v>3201</v>
      </c>
      <c r="BN18" s="105">
        <v>45077</v>
      </c>
      <c r="BO18" s="98">
        <v>7</v>
      </c>
      <c r="BP18" s="116">
        <v>14.2857</v>
      </c>
      <c r="BQ18" s="114">
        <v>119698.68000000001</v>
      </c>
      <c r="BR18" s="107"/>
      <c r="BS18" s="114"/>
      <c r="BT18" s="106">
        <v>27074.619999999995</v>
      </c>
      <c r="BU18" s="108">
        <v>1424.98</v>
      </c>
      <c r="BV18" s="108">
        <v>1424.98</v>
      </c>
      <c r="BW18" s="109">
        <v>8549.8799999999992</v>
      </c>
      <c r="BX18" s="110">
        <v>35624.499999999993</v>
      </c>
      <c r="BY18" s="110"/>
      <c r="BZ18" s="110"/>
      <c r="CA18" s="108">
        <v>84074.180000000022</v>
      </c>
    </row>
    <row r="19" spans="3:79" x14ac:dyDescent="0.3">
      <c r="C19" s="40" t="str">
        <f>Impuestos3225[[#This Row],[Familia]]</f>
        <v>Pick Up EV 4x2 JAC</v>
      </c>
      <c r="D19" s="7">
        <f t="shared" si="0"/>
        <v>13</v>
      </c>
      <c r="E19" s="24" t="s">
        <v>145</v>
      </c>
      <c r="F19" s="24" t="s">
        <v>37</v>
      </c>
      <c r="G19" s="25" t="s">
        <v>688</v>
      </c>
      <c r="H19" s="24">
        <v>3201</v>
      </c>
      <c r="I19" s="80">
        <v>45077</v>
      </c>
      <c r="J19" s="8">
        <v>7</v>
      </c>
      <c r="K19" s="10">
        <v>14.2857</v>
      </c>
      <c r="L19" s="81">
        <v>119698.68000000001</v>
      </c>
      <c r="M19" s="82">
        <f>Impuestos3225[[#This Row],[Valor Adquisición (S/)]]*Impuestos3225[[#This Row],[Tasa  % ]]/100</f>
        <v>17099.794328760003</v>
      </c>
      <c r="N19" s="81">
        <f>Impuestos3225[[#This Row],[Depreciación Anual]]/12</f>
        <v>1424.9828607300003</v>
      </c>
      <c r="O19" s="83">
        <f ca="1">ROUNDDOWN((TODAY()-Impuestos3225[[#This Row],[Fecha de Activación Ingreso]])/365, 0)</f>
        <v>2</v>
      </c>
      <c r="P19" s="81">
        <f ca="1">MIN(Impuestos3225[[#This Row],[Depreciación Anual]] * Impuestos3225[[#This Row],[Años Transcurridos]], Impuestos3225[[#This Row],[Valor Adquisición (S/)]])</f>
        <v>34199.588657520006</v>
      </c>
      <c r="Q19" s="81">
        <f ca="1">MAX(Impuestos3225[[#This Row],[Valor Adquisición (S/)]]-Impuestos3225[[#This Row],[Depreciación Acumulada]], 0)</f>
        <v>85499.091342480009</v>
      </c>
      <c r="R19" s="81" t="str">
        <f ca="1">IF(Impuestos3225[[#This Row],[Valor Adquisición (S/)]]="","", IF(Impuestos3225[[#This Row],[Valor Neto Actual]]=0,"Veh. Ya no deprecia",""))</f>
        <v/>
      </c>
      <c r="S19" s="81" t="s">
        <v>48</v>
      </c>
      <c r="T19" s="81">
        <f>IFERROR(VLOOKUP(Impuestos3225[[#This Row],[Placa Vehiculo]],$AR$6:$CA$159,26,0),"")</f>
        <v>119698.68000000001</v>
      </c>
      <c r="U19" s="81" t="str">
        <f>IF(Impuestos3225[[#This Row],[Buscar Monto]]=Impuestos3225[[#This Row],[Valor Adquisición (S/)]],"ok","mal")</f>
        <v>ok</v>
      </c>
      <c r="V19" s="81"/>
      <c r="X19">
        <v>108</v>
      </c>
      <c r="Y19" s="15" t="s">
        <v>23</v>
      </c>
      <c r="Z19" s="40">
        <f t="shared" ref="Z19:AK19" si="19">SUM(Z7:Z18)</f>
        <v>177734.02321818002</v>
      </c>
      <c r="AA19" s="40">
        <f t="shared" si="19"/>
        <v>177734.02321818002</v>
      </c>
      <c r="AB19" s="40">
        <f t="shared" si="19"/>
        <v>177734.02321818002</v>
      </c>
      <c r="AC19" s="40">
        <f t="shared" si="19"/>
        <v>177734.02321818002</v>
      </c>
      <c r="AD19" s="40">
        <f t="shared" si="19"/>
        <v>177734.02321818002</v>
      </c>
      <c r="AE19" s="40">
        <f t="shared" si="19"/>
        <v>177734.02321818002</v>
      </c>
      <c r="AF19" s="40">
        <f t="shared" si="19"/>
        <v>177734.02321818002</v>
      </c>
      <c r="AG19" s="40">
        <f t="shared" si="19"/>
        <v>182488.11321818002</v>
      </c>
      <c r="AH19" s="40">
        <f t="shared" si="19"/>
        <v>182488.11321818002</v>
      </c>
      <c r="AI19" s="40">
        <f t="shared" si="19"/>
        <v>182488.11321818002</v>
      </c>
      <c r="AJ19" s="40">
        <f t="shared" si="19"/>
        <v>182488.11321818002</v>
      </c>
      <c r="AK19" s="40">
        <f t="shared" si="19"/>
        <v>182488.11321818002</v>
      </c>
      <c r="AL19" s="86">
        <f t="shared" si="11"/>
        <v>2156578.7286181599</v>
      </c>
      <c r="AR19" s="21" t="str">
        <f t="shared" si="5"/>
        <v>BUS-782</v>
      </c>
      <c r="AS19" s="21">
        <f t="shared" si="6"/>
        <v>3201</v>
      </c>
      <c r="AT19" s="21" t="s">
        <v>48</v>
      </c>
      <c r="AU19" s="98">
        <v>34</v>
      </c>
      <c r="AV19" s="112">
        <v>3341110</v>
      </c>
      <c r="AW19" s="99">
        <v>340118</v>
      </c>
      <c r="AX19" s="100">
        <v>343001000075</v>
      </c>
      <c r="AY19" s="101" t="s">
        <v>653</v>
      </c>
      <c r="AZ19" s="101" t="s">
        <v>689</v>
      </c>
      <c r="BA19" s="101"/>
      <c r="BB19" s="101"/>
      <c r="BC19" s="101"/>
      <c r="BD19" s="115">
        <v>202305004</v>
      </c>
      <c r="BE19" s="101" t="s">
        <v>444</v>
      </c>
      <c r="BF19" s="101"/>
      <c r="BG19" s="103" t="s">
        <v>688</v>
      </c>
      <c r="BH19" s="103" t="s">
        <v>690</v>
      </c>
      <c r="BI19" s="113" t="s">
        <v>446</v>
      </c>
      <c r="BJ19" s="101" t="s">
        <v>445</v>
      </c>
      <c r="BK19" s="104">
        <v>9311090</v>
      </c>
      <c r="BL19" s="104">
        <v>311094001</v>
      </c>
      <c r="BM19" s="104">
        <v>3201</v>
      </c>
      <c r="BN19" s="105">
        <v>45077</v>
      </c>
      <c r="BO19" s="98">
        <v>7</v>
      </c>
      <c r="BP19" s="116">
        <v>14.2857</v>
      </c>
      <c r="BQ19" s="114">
        <v>119698.68000000001</v>
      </c>
      <c r="BR19" s="107"/>
      <c r="BS19" s="114"/>
      <c r="BT19" s="106">
        <v>27074.619999999995</v>
      </c>
      <c r="BU19" s="108">
        <v>1424.98</v>
      </c>
      <c r="BV19" s="108">
        <v>1424.98</v>
      </c>
      <c r="BW19" s="109">
        <v>8549.8799999999992</v>
      </c>
      <c r="BX19" s="110">
        <v>35624.499999999993</v>
      </c>
      <c r="BY19" s="110"/>
      <c r="BZ19" s="110"/>
      <c r="CA19" s="108">
        <v>84074.180000000022</v>
      </c>
    </row>
    <row r="20" spans="3:79" x14ac:dyDescent="0.3">
      <c r="C20" s="40" t="str">
        <f>Impuestos3225[[#This Row],[Familia]]</f>
        <v>Pick Up EV 4x2 JAC</v>
      </c>
      <c r="D20" s="7">
        <f t="shared" si="0"/>
        <v>14</v>
      </c>
      <c r="E20" s="24" t="s">
        <v>152</v>
      </c>
      <c r="F20" s="24" t="s">
        <v>37</v>
      </c>
      <c r="G20" s="25" t="s">
        <v>688</v>
      </c>
      <c r="H20" s="24">
        <v>3201</v>
      </c>
      <c r="I20" s="80">
        <v>45077</v>
      </c>
      <c r="J20" s="8">
        <v>7</v>
      </c>
      <c r="K20" s="10">
        <v>14.2857</v>
      </c>
      <c r="L20" s="81">
        <v>119698.68000000001</v>
      </c>
      <c r="M20" s="82">
        <f>Impuestos3225[[#This Row],[Valor Adquisición (S/)]]*Impuestos3225[[#This Row],[Tasa  % ]]/100</f>
        <v>17099.794328760003</v>
      </c>
      <c r="N20" s="81">
        <f>Impuestos3225[[#This Row],[Depreciación Anual]]/12</f>
        <v>1424.9828607300003</v>
      </c>
      <c r="O20" s="83">
        <f ca="1">ROUNDDOWN((TODAY()-Impuestos3225[[#This Row],[Fecha de Activación Ingreso]])/365, 0)</f>
        <v>2</v>
      </c>
      <c r="P20" s="81">
        <f ca="1">MIN(Impuestos3225[[#This Row],[Depreciación Anual]] * Impuestos3225[[#This Row],[Años Transcurridos]], Impuestos3225[[#This Row],[Valor Adquisición (S/)]])</f>
        <v>34199.588657520006</v>
      </c>
      <c r="Q20" s="81">
        <f ca="1">MAX(Impuestos3225[[#This Row],[Valor Adquisición (S/)]]-Impuestos3225[[#This Row],[Depreciación Acumulada]], 0)</f>
        <v>85499.091342480009</v>
      </c>
      <c r="R20" s="81" t="str">
        <f ca="1">IF(Impuestos3225[[#This Row],[Valor Adquisición (S/)]]="","", IF(Impuestos3225[[#This Row],[Valor Neto Actual]]=0,"Veh. Ya no deprecia",""))</f>
        <v/>
      </c>
      <c r="S20" s="81" t="s">
        <v>48</v>
      </c>
      <c r="T20" s="81">
        <f>IFERROR(VLOOKUP(Impuestos3225[[#This Row],[Placa Vehiculo]],$AR$6:$CA$159,26,0),"")</f>
        <v>119698.68000000001</v>
      </c>
      <c r="U20" s="81" t="str">
        <f>IF(Impuestos3225[[#This Row],[Buscar Monto]]=Impuestos3225[[#This Row],[Valor Adquisición (S/)]],"ok","mal")</f>
        <v>ok</v>
      </c>
      <c r="V20" s="81"/>
      <c r="Z20" s="87"/>
      <c r="AR20" s="21" t="str">
        <f t="shared" si="5"/>
        <v>BUS-718</v>
      </c>
      <c r="AS20" s="21">
        <f t="shared" si="6"/>
        <v>3201</v>
      </c>
      <c r="AT20" s="21" t="s">
        <v>48</v>
      </c>
      <c r="AU20" s="98">
        <v>34</v>
      </c>
      <c r="AV20" s="112">
        <v>3341110</v>
      </c>
      <c r="AW20" s="99">
        <v>340119</v>
      </c>
      <c r="AX20" s="100">
        <v>343001000076</v>
      </c>
      <c r="AY20" s="101" t="s">
        <v>653</v>
      </c>
      <c r="AZ20" s="101" t="s">
        <v>689</v>
      </c>
      <c r="BA20" s="101"/>
      <c r="BB20" s="101"/>
      <c r="BC20" s="101"/>
      <c r="BD20" s="115">
        <v>202305005</v>
      </c>
      <c r="BE20" s="101" t="s">
        <v>466</v>
      </c>
      <c r="BF20" s="101"/>
      <c r="BG20" s="103" t="s">
        <v>688</v>
      </c>
      <c r="BH20" s="103" t="s">
        <v>690</v>
      </c>
      <c r="BI20" s="113" t="s">
        <v>468</v>
      </c>
      <c r="BJ20" s="101" t="s">
        <v>467</v>
      </c>
      <c r="BK20" s="104">
        <v>9311090</v>
      </c>
      <c r="BL20" s="104">
        <v>311094001</v>
      </c>
      <c r="BM20" s="104">
        <v>3201</v>
      </c>
      <c r="BN20" s="105">
        <v>45077</v>
      </c>
      <c r="BO20" s="98">
        <v>7</v>
      </c>
      <c r="BP20" s="116">
        <v>14.2857</v>
      </c>
      <c r="BQ20" s="114">
        <v>119698.68000000001</v>
      </c>
      <c r="BR20" s="107"/>
      <c r="BS20" s="114"/>
      <c r="BT20" s="106">
        <v>27074.619999999995</v>
      </c>
      <c r="BU20" s="108">
        <v>1424.98</v>
      </c>
      <c r="BV20" s="108">
        <v>1424.98</v>
      </c>
      <c r="BW20" s="109">
        <v>8549.8799999999992</v>
      </c>
      <c r="BX20" s="110">
        <v>35624.499999999993</v>
      </c>
      <c r="BY20" s="110"/>
      <c r="BZ20" s="110"/>
      <c r="CA20" s="108">
        <v>84074.180000000022</v>
      </c>
    </row>
    <row r="21" spans="3:79" x14ac:dyDescent="0.3">
      <c r="C21" s="40" t="str">
        <f>Impuestos3225[[#This Row],[Familia]]</f>
        <v>Pick Up EV 4x2 JAC</v>
      </c>
      <c r="D21" s="7">
        <f t="shared" si="0"/>
        <v>15</v>
      </c>
      <c r="E21" s="24" t="s">
        <v>134</v>
      </c>
      <c r="F21" s="24" t="s">
        <v>37</v>
      </c>
      <c r="G21" s="25" t="s">
        <v>688</v>
      </c>
      <c r="H21" s="24">
        <v>3201</v>
      </c>
      <c r="I21" s="80">
        <v>45077</v>
      </c>
      <c r="J21" s="8">
        <v>7</v>
      </c>
      <c r="K21" s="10">
        <v>14.2857</v>
      </c>
      <c r="L21" s="81">
        <v>119698.68000000001</v>
      </c>
      <c r="M21" s="82">
        <f>Impuestos3225[[#This Row],[Valor Adquisición (S/)]]*Impuestos3225[[#This Row],[Tasa  % ]]/100</f>
        <v>17099.794328760003</v>
      </c>
      <c r="N21" s="81">
        <f>Impuestos3225[[#This Row],[Depreciación Anual]]/12</f>
        <v>1424.9828607300003</v>
      </c>
      <c r="O21" s="83">
        <f ca="1">ROUNDDOWN((TODAY()-Impuestos3225[[#This Row],[Fecha de Activación Ingreso]])/365, 0)</f>
        <v>2</v>
      </c>
      <c r="P21" s="81">
        <f ca="1">MIN(Impuestos3225[[#This Row],[Depreciación Anual]] * Impuestos3225[[#This Row],[Años Transcurridos]], Impuestos3225[[#This Row],[Valor Adquisición (S/)]])</f>
        <v>34199.588657520006</v>
      </c>
      <c r="Q21" s="81">
        <f ca="1">MAX(Impuestos3225[[#This Row],[Valor Adquisición (S/)]]-Impuestos3225[[#This Row],[Depreciación Acumulada]], 0)</f>
        <v>85499.091342480009</v>
      </c>
      <c r="R21" s="81" t="str">
        <f ca="1">IF(Impuestos3225[[#This Row],[Valor Adquisición (S/)]]="","", IF(Impuestos3225[[#This Row],[Valor Neto Actual]]=0,"Veh. Ya no deprecia",""))</f>
        <v/>
      </c>
      <c r="S21" s="81" t="s">
        <v>48</v>
      </c>
      <c r="T21" s="81">
        <f>IFERROR(VLOOKUP(Impuestos3225[[#This Row],[Placa Vehiculo]],$AR$6:$CA$159,26,0),"")</f>
        <v>119698.68000000001</v>
      </c>
      <c r="U21" s="81" t="str">
        <f>IF(Impuestos3225[[#This Row],[Buscar Monto]]=Impuestos3225[[#This Row],[Valor Adquisición (S/)]],"ok","mal")</f>
        <v>ok</v>
      </c>
      <c r="V21" s="81"/>
      <c r="Z21" t="s">
        <v>691</v>
      </c>
      <c r="AA21" t="s">
        <v>692</v>
      </c>
      <c r="AR21" s="21" t="str">
        <f t="shared" si="5"/>
        <v>BUR-928</v>
      </c>
      <c r="AS21" s="21">
        <f t="shared" si="6"/>
        <v>3201</v>
      </c>
      <c r="AT21" s="21" t="s">
        <v>48</v>
      </c>
      <c r="AU21" s="98">
        <v>34</v>
      </c>
      <c r="AV21" s="112">
        <v>3341110</v>
      </c>
      <c r="AW21" s="99">
        <v>340120</v>
      </c>
      <c r="AX21" s="100">
        <v>343001000077</v>
      </c>
      <c r="AY21" s="101" t="s">
        <v>653</v>
      </c>
      <c r="AZ21" s="101" t="s">
        <v>689</v>
      </c>
      <c r="BA21" s="101"/>
      <c r="BB21" s="101"/>
      <c r="BC21" s="101"/>
      <c r="BD21" s="115">
        <v>202305006</v>
      </c>
      <c r="BE21" s="101" t="s">
        <v>484</v>
      </c>
      <c r="BF21" s="101"/>
      <c r="BG21" s="103" t="s">
        <v>688</v>
      </c>
      <c r="BH21" s="103" t="s">
        <v>690</v>
      </c>
      <c r="BI21" s="113" t="s">
        <v>486</v>
      </c>
      <c r="BJ21" s="101" t="s">
        <v>485</v>
      </c>
      <c r="BK21" s="104">
        <v>9311090</v>
      </c>
      <c r="BL21" s="104">
        <v>311094001</v>
      </c>
      <c r="BM21" s="104">
        <v>3201</v>
      </c>
      <c r="BN21" s="105">
        <v>45077</v>
      </c>
      <c r="BO21" s="98">
        <v>7</v>
      </c>
      <c r="BP21" s="116">
        <v>14.2857</v>
      </c>
      <c r="BQ21" s="114">
        <v>119698.68000000001</v>
      </c>
      <c r="BR21" s="107"/>
      <c r="BS21" s="114"/>
      <c r="BT21" s="106">
        <v>27074.619999999995</v>
      </c>
      <c r="BU21" s="108">
        <v>1424.98</v>
      </c>
      <c r="BV21" s="108">
        <v>1424.98</v>
      </c>
      <c r="BW21" s="109">
        <v>8549.8799999999992</v>
      </c>
      <c r="BX21" s="110">
        <v>35624.499999999993</v>
      </c>
      <c r="BY21" s="110"/>
      <c r="BZ21" s="110"/>
      <c r="CA21" s="108">
        <v>84074.180000000022</v>
      </c>
    </row>
    <row r="22" spans="3:79" x14ac:dyDescent="0.3">
      <c r="C22" s="40" t="str">
        <f>Impuestos3225[[#This Row],[Familia]]</f>
        <v>Pick Up EV 4x2 JAC</v>
      </c>
      <c r="D22" s="7">
        <f t="shared" si="0"/>
        <v>16</v>
      </c>
      <c r="E22" s="24" t="s">
        <v>138</v>
      </c>
      <c r="F22" s="24" t="s">
        <v>37</v>
      </c>
      <c r="G22" s="25" t="s">
        <v>688</v>
      </c>
      <c r="H22" s="24">
        <v>3201</v>
      </c>
      <c r="I22" s="80">
        <v>45077</v>
      </c>
      <c r="J22" s="8">
        <v>7</v>
      </c>
      <c r="K22" s="10">
        <v>14.2857</v>
      </c>
      <c r="L22" s="81">
        <v>119698.68000000001</v>
      </c>
      <c r="M22" s="82">
        <f>Impuestos3225[[#This Row],[Valor Adquisición (S/)]]*Impuestos3225[[#This Row],[Tasa  % ]]/100</f>
        <v>17099.794328760003</v>
      </c>
      <c r="N22" s="81">
        <f>Impuestos3225[[#This Row],[Depreciación Anual]]/12</f>
        <v>1424.9828607300003</v>
      </c>
      <c r="O22" s="83">
        <f ca="1">ROUNDDOWN((TODAY()-Impuestos3225[[#This Row],[Fecha de Activación Ingreso]])/365, 0)</f>
        <v>2</v>
      </c>
      <c r="P22" s="81">
        <f ca="1">MIN(Impuestos3225[[#This Row],[Depreciación Anual]] * Impuestos3225[[#This Row],[Años Transcurridos]], Impuestos3225[[#This Row],[Valor Adquisición (S/)]])</f>
        <v>34199.588657520006</v>
      </c>
      <c r="Q22" s="81">
        <f ca="1">MAX(Impuestos3225[[#This Row],[Valor Adquisición (S/)]]-Impuestos3225[[#This Row],[Depreciación Acumulada]], 0)</f>
        <v>85499.091342480009</v>
      </c>
      <c r="R22" s="81" t="str">
        <f ca="1">IF(Impuestos3225[[#This Row],[Valor Adquisición (S/)]]="","", IF(Impuestos3225[[#This Row],[Valor Neto Actual]]=0,"Veh. Ya no deprecia",""))</f>
        <v/>
      </c>
      <c r="S22" s="81" t="s">
        <v>48</v>
      </c>
      <c r="T22" s="81">
        <f>IFERROR(VLOOKUP(Impuestos3225[[#This Row],[Placa Vehiculo]],$AR$6:$CA$159,26,0),"")</f>
        <v>119698.68000000001</v>
      </c>
      <c r="U22" s="81" t="str">
        <f>IF(Impuestos3225[[#This Row],[Buscar Monto]]=Impuestos3225[[#This Row],[Valor Adquisición (S/)]],"ok","mal")</f>
        <v>ok</v>
      </c>
      <c r="V22" s="81"/>
      <c r="Y22" t="s">
        <v>666</v>
      </c>
      <c r="Z22" s="87">
        <v>61511.34</v>
      </c>
      <c r="AA22">
        <v>732.28</v>
      </c>
      <c r="AR22" s="21" t="str">
        <f t="shared" si="5"/>
        <v>BUR-921</v>
      </c>
      <c r="AS22" s="21">
        <f t="shared" si="6"/>
        <v>3201</v>
      </c>
      <c r="AT22" s="21" t="s">
        <v>48</v>
      </c>
      <c r="AU22" s="98">
        <v>34</v>
      </c>
      <c r="AV22" s="112">
        <v>3341110</v>
      </c>
      <c r="AW22" s="99">
        <v>340121</v>
      </c>
      <c r="AX22" s="100">
        <v>343001000078</v>
      </c>
      <c r="AY22" s="101" t="s">
        <v>653</v>
      </c>
      <c r="AZ22" s="101" t="s">
        <v>689</v>
      </c>
      <c r="BA22" s="101"/>
      <c r="BB22" s="101"/>
      <c r="BC22" s="101"/>
      <c r="BD22" s="101">
        <v>202305007</v>
      </c>
      <c r="BE22" s="101" t="s">
        <v>481</v>
      </c>
      <c r="BF22" s="101"/>
      <c r="BG22" s="103" t="s">
        <v>688</v>
      </c>
      <c r="BH22" s="103" t="s">
        <v>690</v>
      </c>
      <c r="BI22" s="113" t="s">
        <v>483</v>
      </c>
      <c r="BJ22" s="101" t="s">
        <v>482</v>
      </c>
      <c r="BK22" s="104">
        <v>9311090</v>
      </c>
      <c r="BL22" s="104">
        <v>311094001</v>
      </c>
      <c r="BM22" s="104">
        <v>3201</v>
      </c>
      <c r="BN22" s="105">
        <v>45077</v>
      </c>
      <c r="BO22" s="98">
        <v>7</v>
      </c>
      <c r="BP22" s="116">
        <v>14.2857</v>
      </c>
      <c r="BQ22" s="114">
        <v>119698.68000000001</v>
      </c>
      <c r="BR22" s="107"/>
      <c r="BS22" s="114"/>
      <c r="BT22" s="106">
        <v>27074.619999999995</v>
      </c>
      <c r="BU22" s="108">
        <v>1424.98</v>
      </c>
      <c r="BV22" s="108">
        <v>1424.98</v>
      </c>
      <c r="BW22" s="109">
        <v>8549.8799999999992</v>
      </c>
      <c r="BX22" s="110">
        <v>35624.499999999993</v>
      </c>
      <c r="BY22" s="110"/>
      <c r="BZ22" s="110"/>
      <c r="CA22" s="108">
        <v>84074.180000000022</v>
      </c>
    </row>
    <row r="23" spans="3:79" x14ac:dyDescent="0.3">
      <c r="C23" s="40" t="str">
        <f>Impuestos3225[[#This Row],[Familia]]</f>
        <v>Pick Up EV 4x2 JAC</v>
      </c>
      <c r="D23" s="7">
        <f t="shared" si="0"/>
        <v>17</v>
      </c>
      <c r="E23" s="24" t="s">
        <v>147</v>
      </c>
      <c r="F23" s="24" t="s">
        <v>37</v>
      </c>
      <c r="G23" s="25" t="s">
        <v>688</v>
      </c>
      <c r="H23" s="24">
        <v>3201</v>
      </c>
      <c r="I23" s="80">
        <v>45077</v>
      </c>
      <c r="J23" s="8">
        <v>7</v>
      </c>
      <c r="K23" s="10">
        <v>14.2857</v>
      </c>
      <c r="L23" s="81">
        <v>119698.68000000001</v>
      </c>
      <c r="M23" s="82">
        <f>Impuestos3225[[#This Row],[Valor Adquisición (S/)]]*Impuestos3225[[#This Row],[Tasa  % ]]/100</f>
        <v>17099.794328760003</v>
      </c>
      <c r="N23" s="81">
        <f>Impuestos3225[[#This Row],[Depreciación Anual]]/12</f>
        <v>1424.9828607300003</v>
      </c>
      <c r="O23" s="83">
        <f ca="1">ROUNDDOWN((TODAY()-Impuestos3225[[#This Row],[Fecha de Activación Ingreso]])/365, 0)</f>
        <v>2</v>
      </c>
      <c r="P23" s="81">
        <f ca="1">MIN(Impuestos3225[[#This Row],[Depreciación Anual]] * Impuestos3225[[#This Row],[Años Transcurridos]], Impuestos3225[[#This Row],[Valor Adquisición (S/)]])</f>
        <v>34199.588657520006</v>
      </c>
      <c r="Q23" s="81">
        <f ca="1">MAX(Impuestos3225[[#This Row],[Valor Adquisición (S/)]]-Impuestos3225[[#This Row],[Depreciación Acumulada]], 0)</f>
        <v>85499.091342480009</v>
      </c>
      <c r="R23" s="81" t="str">
        <f ca="1">IF(Impuestos3225[[#This Row],[Valor Adquisición (S/)]]="","", IF(Impuestos3225[[#This Row],[Valor Neto Actual]]=0,"Veh. Ya no deprecia",""))</f>
        <v/>
      </c>
      <c r="S23" s="81" t="s">
        <v>48</v>
      </c>
      <c r="T23" s="81">
        <f>IFERROR(VLOOKUP(Impuestos3225[[#This Row],[Placa Vehiculo]],$AR$6:$CA$159,26,0),"")</f>
        <v>119698.68000000001</v>
      </c>
      <c r="U23" s="81" t="str">
        <f>IF(Impuestos3225[[#This Row],[Buscar Monto]]=Impuestos3225[[#This Row],[Valor Adquisición (S/)]],"ok","mal")</f>
        <v>ok</v>
      </c>
      <c r="V23" s="81"/>
      <c r="Y23" t="s">
        <v>670</v>
      </c>
      <c r="Z23" s="87">
        <v>27862.26</v>
      </c>
      <c r="AA23">
        <v>331.69</v>
      </c>
      <c r="AR23" s="21" t="str">
        <f t="shared" si="5"/>
        <v>BUS-802</v>
      </c>
      <c r="AS23" s="21">
        <f t="shared" si="6"/>
        <v>3201</v>
      </c>
      <c r="AT23" s="21" t="s">
        <v>48</v>
      </c>
      <c r="AU23" s="98">
        <v>34</v>
      </c>
      <c r="AV23" s="112">
        <v>3341110</v>
      </c>
      <c r="AW23" s="99">
        <v>340122</v>
      </c>
      <c r="AX23" s="100">
        <v>343001000079</v>
      </c>
      <c r="AY23" s="101" t="s">
        <v>653</v>
      </c>
      <c r="AZ23" s="101" t="s">
        <v>689</v>
      </c>
      <c r="BA23" s="101"/>
      <c r="BB23" s="101"/>
      <c r="BC23" s="101"/>
      <c r="BD23" s="101">
        <v>202305009</v>
      </c>
      <c r="BE23" s="101" t="s">
        <v>438</v>
      </c>
      <c r="BF23" s="101"/>
      <c r="BG23" s="103" t="s">
        <v>688</v>
      </c>
      <c r="BH23" s="103" t="s">
        <v>690</v>
      </c>
      <c r="BI23" s="113" t="s">
        <v>440</v>
      </c>
      <c r="BJ23" s="101" t="s">
        <v>439</v>
      </c>
      <c r="BK23" s="104">
        <v>9311090</v>
      </c>
      <c r="BL23" s="104">
        <v>311094001</v>
      </c>
      <c r="BM23" s="104">
        <v>3201</v>
      </c>
      <c r="BN23" s="105">
        <v>45077</v>
      </c>
      <c r="BO23" s="98">
        <v>7</v>
      </c>
      <c r="BP23" s="116">
        <v>14.2857</v>
      </c>
      <c r="BQ23" s="114">
        <v>119698.68000000001</v>
      </c>
      <c r="BR23" s="107"/>
      <c r="BS23" s="114"/>
      <c r="BT23" s="106">
        <v>27074.619999999995</v>
      </c>
      <c r="BU23" s="108">
        <v>1424.98</v>
      </c>
      <c r="BV23" s="108">
        <v>1424.98</v>
      </c>
      <c r="BW23" s="109">
        <v>8549.8799999999992</v>
      </c>
      <c r="BX23" s="110">
        <v>35624.499999999993</v>
      </c>
      <c r="BY23" s="110"/>
      <c r="BZ23" s="110"/>
      <c r="CA23" s="108">
        <v>84074.180000000022</v>
      </c>
    </row>
    <row r="24" spans="3:79" x14ac:dyDescent="0.3">
      <c r="C24" s="40" t="str">
        <f>Impuestos3225[[#This Row],[Familia]]</f>
        <v>Pick Up EV 4x2 JAC</v>
      </c>
      <c r="D24" s="7">
        <f t="shared" si="0"/>
        <v>18</v>
      </c>
      <c r="E24" s="24" t="s">
        <v>148</v>
      </c>
      <c r="F24" s="24" t="s">
        <v>37</v>
      </c>
      <c r="G24" s="25" t="s">
        <v>688</v>
      </c>
      <c r="H24" s="24">
        <v>3201</v>
      </c>
      <c r="I24" s="80">
        <v>45077</v>
      </c>
      <c r="J24" s="8">
        <v>7</v>
      </c>
      <c r="K24" s="10">
        <v>14.2857</v>
      </c>
      <c r="L24" s="81">
        <v>119698.68000000001</v>
      </c>
      <c r="M24" s="82">
        <f>Impuestos3225[[#This Row],[Valor Adquisición (S/)]]*Impuestos3225[[#This Row],[Tasa  % ]]/100</f>
        <v>17099.794328760003</v>
      </c>
      <c r="N24" s="81">
        <f>Impuestos3225[[#This Row],[Depreciación Anual]]/12</f>
        <v>1424.9828607300003</v>
      </c>
      <c r="O24" s="83">
        <f ca="1">ROUNDDOWN((TODAY()-Impuestos3225[[#This Row],[Fecha de Activación Ingreso]])/365, 0)</f>
        <v>2</v>
      </c>
      <c r="P24" s="81">
        <f ca="1">MIN(Impuestos3225[[#This Row],[Depreciación Anual]] * Impuestos3225[[#This Row],[Años Transcurridos]], Impuestos3225[[#This Row],[Valor Adquisición (S/)]])</f>
        <v>34199.588657520006</v>
      </c>
      <c r="Q24" s="81">
        <f ca="1">MAX(Impuestos3225[[#This Row],[Valor Adquisición (S/)]]-Impuestos3225[[#This Row],[Depreciación Acumulada]], 0)</f>
        <v>85499.091342480009</v>
      </c>
      <c r="R24" s="81" t="str">
        <f ca="1">IF(Impuestos3225[[#This Row],[Valor Adquisición (S/)]]="","", IF(Impuestos3225[[#This Row],[Valor Neto Actual]]=0,"Veh. Ya no deprecia",""))</f>
        <v/>
      </c>
      <c r="S24" s="81" t="s">
        <v>48</v>
      </c>
      <c r="T24" s="81">
        <f>IFERROR(VLOOKUP(Impuestos3225[[#This Row],[Placa Vehiculo]],$AR$6:$CA$159,26,0),"")</f>
        <v>119698.68000000001</v>
      </c>
      <c r="U24" s="81" t="str">
        <f>IF(Impuestos3225[[#This Row],[Buscar Monto]]=Impuestos3225[[#This Row],[Valor Adquisición (S/)]],"ok","mal")</f>
        <v>ok</v>
      </c>
      <c r="V24" s="81"/>
      <c r="Z24" s="87"/>
      <c r="AR24" s="21" t="str">
        <f t="shared" si="5"/>
        <v>BUS-727</v>
      </c>
      <c r="AS24" s="21">
        <f t="shared" si="6"/>
        <v>3201</v>
      </c>
      <c r="AT24" s="21" t="s">
        <v>48</v>
      </c>
      <c r="AU24" s="98">
        <v>34</v>
      </c>
      <c r="AV24" s="112">
        <v>3341110</v>
      </c>
      <c r="AW24" s="99">
        <v>340123</v>
      </c>
      <c r="AX24" s="100">
        <v>343001000080</v>
      </c>
      <c r="AY24" s="101" t="s">
        <v>653</v>
      </c>
      <c r="AZ24" s="101" t="s">
        <v>689</v>
      </c>
      <c r="BA24" s="101"/>
      <c r="BB24" s="101"/>
      <c r="BC24" s="101"/>
      <c r="BD24" s="101">
        <v>202305008</v>
      </c>
      <c r="BE24" s="101" t="s">
        <v>462</v>
      </c>
      <c r="BF24" s="101"/>
      <c r="BG24" s="103" t="s">
        <v>688</v>
      </c>
      <c r="BH24" s="103" t="s">
        <v>690</v>
      </c>
      <c r="BI24" s="113" t="s">
        <v>464</v>
      </c>
      <c r="BJ24" s="101" t="s">
        <v>463</v>
      </c>
      <c r="BK24" s="104">
        <v>9311090</v>
      </c>
      <c r="BL24" s="104">
        <v>311094001</v>
      </c>
      <c r="BM24" s="104">
        <v>3201</v>
      </c>
      <c r="BN24" s="105">
        <v>45077</v>
      </c>
      <c r="BO24" s="98">
        <v>7</v>
      </c>
      <c r="BP24" s="116">
        <v>14.2857</v>
      </c>
      <c r="BQ24" s="114">
        <v>119698.68000000001</v>
      </c>
      <c r="BR24" s="107"/>
      <c r="BS24" s="114"/>
      <c r="BT24" s="106">
        <v>27074.619999999995</v>
      </c>
      <c r="BU24" s="108">
        <v>1424.98</v>
      </c>
      <c r="BV24" s="108">
        <v>1424.98</v>
      </c>
      <c r="BW24" s="109">
        <v>8549.8799999999992</v>
      </c>
      <c r="BX24" s="110">
        <v>35624.499999999993</v>
      </c>
      <c r="BY24" s="110"/>
      <c r="BZ24" s="110"/>
      <c r="CA24" s="108">
        <v>84074.180000000022</v>
      </c>
    </row>
    <row r="25" spans="3:79" x14ac:dyDescent="0.3">
      <c r="C25" s="40" t="str">
        <f>Impuestos3225[[#This Row],[Familia]]</f>
        <v>Pick Up EV 4x2 JAC</v>
      </c>
      <c r="D25" s="7">
        <f t="shared" si="0"/>
        <v>19</v>
      </c>
      <c r="E25" s="24" t="s">
        <v>140</v>
      </c>
      <c r="F25" s="24" t="s">
        <v>37</v>
      </c>
      <c r="G25" s="25" t="s">
        <v>688</v>
      </c>
      <c r="H25" s="24">
        <v>3201</v>
      </c>
      <c r="I25" s="80">
        <v>45077</v>
      </c>
      <c r="J25" s="8">
        <v>7</v>
      </c>
      <c r="K25" s="10">
        <v>14.2857</v>
      </c>
      <c r="L25" s="81">
        <v>119698.68000000001</v>
      </c>
      <c r="M25" s="82">
        <f>Impuestos3225[[#This Row],[Valor Adquisición (S/)]]*Impuestos3225[[#This Row],[Tasa  % ]]/100</f>
        <v>17099.794328760003</v>
      </c>
      <c r="N25" s="81">
        <f>Impuestos3225[[#This Row],[Depreciación Anual]]/12</f>
        <v>1424.9828607300003</v>
      </c>
      <c r="O25" s="83">
        <f ca="1">ROUNDDOWN((TODAY()-Impuestos3225[[#This Row],[Fecha de Activación Ingreso]])/365, 0)</f>
        <v>2</v>
      </c>
      <c r="P25" s="81">
        <f ca="1">MIN(Impuestos3225[[#This Row],[Depreciación Anual]] * Impuestos3225[[#This Row],[Años Transcurridos]], Impuestos3225[[#This Row],[Valor Adquisición (S/)]])</f>
        <v>34199.588657520006</v>
      </c>
      <c r="Q25" s="81">
        <f ca="1">MAX(Impuestos3225[[#This Row],[Valor Adquisición (S/)]]-Impuestos3225[[#This Row],[Depreciación Acumulada]], 0)</f>
        <v>85499.091342480009</v>
      </c>
      <c r="R25" s="81" t="str">
        <f ca="1">IF(Impuestos3225[[#This Row],[Valor Adquisición (S/)]]="","", IF(Impuestos3225[[#This Row],[Valor Neto Actual]]=0,"Veh. Ya no deprecia",""))</f>
        <v/>
      </c>
      <c r="S25" s="81" t="s">
        <v>48</v>
      </c>
      <c r="T25" s="81">
        <f>IFERROR(VLOOKUP(Impuestos3225[[#This Row],[Placa Vehiculo]],$AR$6:$CA$159,26,0),"")</f>
        <v>119698.68000000001</v>
      </c>
      <c r="U25" s="81" t="str">
        <f>IF(Impuestos3225[[#This Row],[Buscar Monto]]=Impuestos3225[[#This Row],[Valor Adquisición (S/)]],"ok","mal")</f>
        <v>ok</v>
      </c>
      <c r="V25" s="81"/>
      <c r="Z25" s="87"/>
      <c r="AR25" s="21" t="str">
        <f t="shared" si="5"/>
        <v>BUR-945</v>
      </c>
      <c r="AS25" s="21">
        <f t="shared" si="6"/>
        <v>3201</v>
      </c>
      <c r="AT25" s="21" t="s">
        <v>48</v>
      </c>
      <c r="AU25" s="98">
        <v>34</v>
      </c>
      <c r="AV25" s="112">
        <v>3341110</v>
      </c>
      <c r="AW25" s="99">
        <v>340124</v>
      </c>
      <c r="AX25" s="100">
        <v>343001000081</v>
      </c>
      <c r="AY25" s="101" t="s">
        <v>653</v>
      </c>
      <c r="AZ25" s="101" t="s">
        <v>689</v>
      </c>
      <c r="BA25" s="101"/>
      <c r="BB25" s="101"/>
      <c r="BC25" s="101"/>
      <c r="BD25" s="101">
        <v>202305010</v>
      </c>
      <c r="BE25" s="101" t="s">
        <v>478</v>
      </c>
      <c r="BF25" s="101"/>
      <c r="BG25" s="103" t="s">
        <v>688</v>
      </c>
      <c r="BH25" s="103" t="s">
        <v>690</v>
      </c>
      <c r="BI25" s="113" t="s">
        <v>480</v>
      </c>
      <c r="BJ25" s="101" t="s">
        <v>479</v>
      </c>
      <c r="BK25" s="104">
        <v>9311090</v>
      </c>
      <c r="BL25" s="104">
        <v>311094001</v>
      </c>
      <c r="BM25" s="104">
        <v>3201</v>
      </c>
      <c r="BN25" s="105">
        <v>45077</v>
      </c>
      <c r="BO25" s="98">
        <v>7</v>
      </c>
      <c r="BP25" s="116">
        <v>14.2857</v>
      </c>
      <c r="BQ25" s="114">
        <v>119698.68000000001</v>
      </c>
      <c r="BR25" s="107"/>
      <c r="BS25" s="114"/>
      <c r="BT25" s="106">
        <v>27074.619999999995</v>
      </c>
      <c r="BU25" s="108">
        <v>1424.98</v>
      </c>
      <c r="BV25" s="108">
        <v>1424.98</v>
      </c>
      <c r="BW25" s="109">
        <v>8549.8799999999992</v>
      </c>
      <c r="BX25" s="110">
        <v>35624.499999999993</v>
      </c>
      <c r="BY25" s="110"/>
      <c r="BZ25" s="110"/>
      <c r="CA25" s="108">
        <v>84074.180000000022</v>
      </c>
    </row>
    <row r="26" spans="3:79" x14ac:dyDescent="0.3">
      <c r="C26" s="40" t="str">
        <f>Impuestos3225[[#This Row],[Familia]]</f>
        <v>Pick Up EV 4x2 JAC</v>
      </c>
      <c r="D26" s="7">
        <f t="shared" si="0"/>
        <v>20</v>
      </c>
      <c r="E26" s="24" t="s">
        <v>144</v>
      </c>
      <c r="F26" s="24" t="s">
        <v>37</v>
      </c>
      <c r="G26" s="25" t="s">
        <v>688</v>
      </c>
      <c r="H26" s="24">
        <v>3201</v>
      </c>
      <c r="I26" s="80">
        <v>45077</v>
      </c>
      <c r="J26" s="8">
        <v>7</v>
      </c>
      <c r="K26" s="10">
        <v>14.2857</v>
      </c>
      <c r="L26" s="81">
        <v>119698.68000000001</v>
      </c>
      <c r="M26" s="82">
        <f>Impuestos3225[[#This Row],[Valor Adquisición (S/)]]*Impuestos3225[[#This Row],[Tasa  % ]]/100</f>
        <v>17099.794328760003</v>
      </c>
      <c r="N26" s="81">
        <f>Impuestos3225[[#This Row],[Depreciación Anual]]/12</f>
        <v>1424.9828607300003</v>
      </c>
      <c r="O26" s="83">
        <f ca="1">ROUNDDOWN((TODAY()-Impuestos3225[[#This Row],[Fecha de Activación Ingreso]])/365, 0)</f>
        <v>2</v>
      </c>
      <c r="P26" s="81">
        <f ca="1">MIN(Impuestos3225[[#This Row],[Depreciación Anual]] * Impuestos3225[[#This Row],[Años Transcurridos]], Impuestos3225[[#This Row],[Valor Adquisición (S/)]])</f>
        <v>34199.588657520006</v>
      </c>
      <c r="Q26" s="81">
        <f ca="1">MAX(Impuestos3225[[#This Row],[Valor Adquisición (S/)]]-Impuestos3225[[#This Row],[Depreciación Acumulada]], 0)</f>
        <v>85499.091342480009</v>
      </c>
      <c r="R26" s="81" t="str">
        <f ca="1">IF(Impuestos3225[[#This Row],[Valor Adquisición (S/)]]="","", IF(Impuestos3225[[#This Row],[Valor Neto Actual]]=0,"Veh. Ya no deprecia",""))</f>
        <v/>
      </c>
      <c r="S26" s="81" t="s">
        <v>48</v>
      </c>
      <c r="T26" s="81">
        <f>IFERROR(VLOOKUP(Impuestos3225[[#This Row],[Placa Vehiculo]],$AR$6:$CA$159,26,0),"")</f>
        <v>119698.68000000001</v>
      </c>
      <c r="U26" s="81" t="str">
        <f>IF(Impuestos3225[[#This Row],[Buscar Monto]]=Impuestos3225[[#This Row],[Valor Adquisición (S/)]],"ok","mal")</f>
        <v>ok</v>
      </c>
      <c r="V26" s="81"/>
      <c r="Z26" s="87"/>
      <c r="AR26" s="21" t="str">
        <f t="shared" si="5"/>
        <v>BUS-779</v>
      </c>
      <c r="AS26" s="21">
        <f t="shared" si="6"/>
        <v>3201</v>
      </c>
      <c r="AT26" s="21" t="s">
        <v>48</v>
      </c>
      <c r="AU26" s="98">
        <v>34</v>
      </c>
      <c r="AV26" s="112">
        <v>3341110</v>
      </c>
      <c r="AW26" s="99">
        <v>340125</v>
      </c>
      <c r="AX26" s="100">
        <v>343001000082</v>
      </c>
      <c r="AY26" s="101" t="s">
        <v>653</v>
      </c>
      <c r="AZ26" s="101" t="s">
        <v>689</v>
      </c>
      <c r="BA26" s="101"/>
      <c r="BB26" s="101"/>
      <c r="BC26" s="101"/>
      <c r="BD26" s="101">
        <v>202305011</v>
      </c>
      <c r="BE26" s="101" t="s">
        <v>447</v>
      </c>
      <c r="BF26" s="101"/>
      <c r="BG26" s="103" t="s">
        <v>688</v>
      </c>
      <c r="BH26" s="103" t="s">
        <v>690</v>
      </c>
      <c r="BI26" s="113" t="s">
        <v>449</v>
      </c>
      <c r="BJ26" s="101" t="s">
        <v>448</v>
      </c>
      <c r="BK26" s="104">
        <v>9311090</v>
      </c>
      <c r="BL26" s="104">
        <v>311094001</v>
      </c>
      <c r="BM26" s="104">
        <v>3201</v>
      </c>
      <c r="BN26" s="105">
        <v>45077</v>
      </c>
      <c r="BO26" s="98">
        <v>7</v>
      </c>
      <c r="BP26" s="116">
        <v>14.2857</v>
      </c>
      <c r="BQ26" s="114">
        <v>119698.68000000001</v>
      </c>
      <c r="BR26" s="107"/>
      <c r="BS26" s="114"/>
      <c r="BT26" s="106">
        <v>27074.619999999995</v>
      </c>
      <c r="BU26" s="108">
        <v>1424.98</v>
      </c>
      <c r="BV26" s="108">
        <v>1424.98</v>
      </c>
      <c r="BW26" s="109">
        <v>8549.8799999999992</v>
      </c>
      <c r="BX26" s="110">
        <v>35624.499999999993</v>
      </c>
      <c r="BY26" s="110"/>
      <c r="BZ26" s="110"/>
      <c r="CA26" s="108">
        <v>84074.180000000022</v>
      </c>
    </row>
    <row r="27" spans="3:79" x14ac:dyDescent="0.3">
      <c r="C27" s="40" t="str">
        <f>Impuestos3225[[#This Row],[Familia]]</f>
        <v>Pick Up EV 4x2 JAC</v>
      </c>
      <c r="D27" s="7">
        <f t="shared" si="0"/>
        <v>21</v>
      </c>
      <c r="E27" s="24" t="s">
        <v>151</v>
      </c>
      <c r="F27" s="24" t="s">
        <v>37</v>
      </c>
      <c r="G27" s="25" t="s">
        <v>688</v>
      </c>
      <c r="H27" s="24">
        <v>3201</v>
      </c>
      <c r="I27" s="80">
        <v>45077</v>
      </c>
      <c r="J27" s="8">
        <v>7</v>
      </c>
      <c r="K27" s="10">
        <v>14.2857</v>
      </c>
      <c r="L27" s="81">
        <v>119698.68000000001</v>
      </c>
      <c r="M27" s="82">
        <f>Impuestos3225[[#This Row],[Valor Adquisición (S/)]]*Impuestos3225[[#This Row],[Tasa  % ]]/100</f>
        <v>17099.794328760003</v>
      </c>
      <c r="N27" s="81">
        <f>Impuestos3225[[#This Row],[Depreciación Anual]]/12</f>
        <v>1424.9828607300003</v>
      </c>
      <c r="O27" s="83">
        <f ca="1">ROUNDDOWN((TODAY()-Impuestos3225[[#This Row],[Fecha de Activación Ingreso]])/365, 0)</f>
        <v>2</v>
      </c>
      <c r="P27" s="81">
        <f ca="1">MIN(Impuestos3225[[#This Row],[Depreciación Anual]] * Impuestos3225[[#This Row],[Años Transcurridos]], Impuestos3225[[#This Row],[Valor Adquisición (S/)]])</f>
        <v>34199.588657520006</v>
      </c>
      <c r="Q27" s="81">
        <f ca="1">MAX(Impuestos3225[[#This Row],[Valor Adquisición (S/)]]-Impuestos3225[[#This Row],[Depreciación Acumulada]], 0)</f>
        <v>85499.091342480009</v>
      </c>
      <c r="R27" s="81" t="str">
        <f ca="1">IF(Impuestos3225[[#This Row],[Valor Adquisición (S/)]]="","", IF(Impuestos3225[[#This Row],[Valor Neto Actual]]=0,"Veh. Ya no deprecia",""))</f>
        <v/>
      </c>
      <c r="S27" s="81" t="s">
        <v>48</v>
      </c>
      <c r="T27" s="81">
        <f>IFERROR(VLOOKUP(Impuestos3225[[#This Row],[Placa Vehiculo]],$AR$6:$CA$159,26,0),"")</f>
        <v>119698.68000000001</v>
      </c>
      <c r="U27" s="81" t="str">
        <f>IF(Impuestos3225[[#This Row],[Buscar Monto]]=Impuestos3225[[#This Row],[Valor Adquisición (S/)]],"ok","mal")</f>
        <v>ok</v>
      </c>
      <c r="V27" s="81"/>
      <c r="Z27" s="87"/>
      <c r="AR27" s="21" t="str">
        <f t="shared" si="5"/>
        <v>BUS-863</v>
      </c>
      <c r="AS27" s="21">
        <f t="shared" si="6"/>
        <v>3201</v>
      </c>
      <c r="AT27" s="21" t="s">
        <v>48</v>
      </c>
      <c r="AU27" s="98">
        <v>34</v>
      </c>
      <c r="AV27" s="112">
        <v>3341110</v>
      </c>
      <c r="AW27" s="99">
        <v>340126</v>
      </c>
      <c r="AX27" s="100">
        <v>343001000083</v>
      </c>
      <c r="AY27" s="101" t="s">
        <v>653</v>
      </c>
      <c r="AZ27" s="101" t="s">
        <v>689</v>
      </c>
      <c r="BA27" s="101"/>
      <c r="BB27" s="101"/>
      <c r="BC27" s="101"/>
      <c r="BD27" s="101">
        <v>202305012</v>
      </c>
      <c r="BE27" s="101" t="s">
        <v>429</v>
      </c>
      <c r="BF27" s="101"/>
      <c r="BG27" s="103" t="s">
        <v>688</v>
      </c>
      <c r="BH27" s="103" t="s">
        <v>690</v>
      </c>
      <c r="BI27" s="113" t="s">
        <v>431</v>
      </c>
      <c r="BJ27" s="101" t="s">
        <v>430</v>
      </c>
      <c r="BK27" s="104">
        <v>9311090</v>
      </c>
      <c r="BL27" s="104">
        <v>311094001</v>
      </c>
      <c r="BM27" s="104">
        <v>3201</v>
      </c>
      <c r="BN27" s="105">
        <v>45077</v>
      </c>
      <c r="BO27" s="98">
        <v>7</v>
      </c>
      <c r="BP27" s="116">
        <v>14.2857</v>
      </c>
      <c r="BQ27" s="114">
        <v>119698.68000000001</v>
      </c>
      <c r="BR27" s="107"/>
      <c r="BS27" s="114"/>
      <c r="BT27" s="106">
        <v>27074.619999999995</v>
      </c>
      <c r="BU27" s="108">
        <v>1424.98</v>
      </c>
      <c r="BV27" s="108">
        <v>1424.98</v>
      </c>
      <c r="BW27" s="109">
        <v>8549.8799999999992</v>
      </c>
      <c r="BX27" s="110">
        <v>35624.499999999993</v>
      </c>
      <c r="BY27" s="110"/>
      <c r="BZ27" s="110"/>
      <c r="CA27" s="108">
        <v>84074.180000000022</v>
      </c>
    </row>
    <row r="28" spans="3:79" x14ac:dyDescent="0.3">
      <c r="C28" s="40" t="str">
        <f>Impuestos3225[[#This Row],[Familia]]</f>
        <v>Pick Up EV 4x2 JAC</v>
      </c>
      <c r="D28" s="7">
        <f t="shared" si="0"/>
        <v>22</v>
      </c>
      <c r="E28" s="24" t="s">
        <v>137</v>
      </c>
      <c r="F28" s="24" t="s">
        <v>37</v>
      </c>
      <c r="G28" s="25" t="s">
        <v>688</v>
      </c>
      <c r="H28" s="24">
        <v>3201</v>
      </c>
      <c r="I28" s="80">
        <v>45077</v>
      </c>
      <c r="J28" s="8">
        <v>7</v>
      </c>
      <c r="K28" s="10">
        <v>14.2857</v>
      </c>
      <c r="L28" s="81">
        <v>119698.68000000001</v>
      </c>
      <c r="M28" s="82">
        <f>Impuestos3225[[#This Row],[Valor Adquisición (S/)]]*Impuestos3225[[#This Row],[Tasa  % ]]/100</f>
        <v>17099.794328760003</v>
      </c>
      <c r="N28" s="81">
        <f>Impuestos3225[[#This Row],[Depreciación Anual]]/12</f>
        <v>1424.9828607300003</v>
      </c>
      <c r="O28" s="83">
        <f ca="1">ROUNDDOWN((TODAY()-Impuestos3225[[#This Row],[Fecha de Activación Ingreso]])/365, 0)</f>
        <v>2</v>
      </c>
      <c r="P28" s="81">
        <f ca="1">MIN(Impuestos3225[[#This Row],[Depreciación Anual]] * Impuestos3225[[#This Row],[Años Transcurridos]], Impuestos3225[[#This Row],[Valor Adquisición (S/)]])</f>
        <v>34199.588657520006</v>
      </c>
      <c r="Q28" s="81">
        <f ca="1">MAX(Impuestos3225[[#This Row],[Valor Adquisición (S/)]]-Impuestos3225[[#This Row],[Depreciación Acumulada]], 0)</f>
        <v>85499.091342480009</v>
      </c>
      <c r="R28" s="81" t="str">
        <f ca="1">IF(Impuestos3225[[#This Row],[Valor Adquisición (S/)]]="","", IF(Impuestos3225[[#This Row],[Valor Neto Actual]]=0,"Veh. Ya no deprecia",""))</f>
        <v/>
      </c>
      <c r="S28" s="81" t="s">
        <v>48</v>
      </c>
      <c r="T28" s="81">
        <f>IFERROR(VLOOKUP(Impuestos3225[[#This Row],[Placa Vehiculo]],$AR$6:$CA$159,26,0),"")</f>
        <v>119698.68000000001</v>
      </c>
      <c r="U28" s="81" t="str">
        <f>IF(Impuestos3225[[#This Row],[Buscar Monto]]=Impuestos3225[[#This Row],[Valor Adquisición (S/)]],"ok","mal")</f>
        <v>ok</v>
      </c>
      <c r="V28" s="81"/>
      <c r="Z28" s="87"/>
      <c r="AR28" s="21" t="str">
        <f t="shared" si="5"/>
        <v>BUS-735</v>
      </c>
      <c r="AS28" s="21">
        <f t="shared" si="6"/>
        <v>3201</v>
      </c>
      <c r="AT28" s="21" t="s">
        <v>48</v>
      </c>
      <c r="AU28" s="98">
        <v>34</v>
      </c>
      <c r="AV28" s="112">
        <v>3341110</v>
      </c>
      <c r="AW28" s="99">
        <v>340127</v>
      </c>
      <c r="AX28" s="100">
        <v>343001000084</v>
      </c>
      <c r="AY28" s="101" t="s">
        <v>653</v>
      </c>
      <c r="AZ28" s="101" t="s">
        <v>689</v>
      </c>
      <c r="BA28" s="101"/>
      <c r="BB28" s="101"/>
      <c r="BC28" s="101"/>
      <c r="BD28" s="101">
        <v>202305013</v>
      </c>
      <c r="BE28" s="101" t="s">
        <v>456</v>
      </c>
      <c r="BF28" s="101"/>
      <c r="BG28" s="103" t="s">
        <v>688</v>
      </c>
      <c r="BH28" s="103" t="s">
        <v>690</v>
      </c>
      <c r="BI28" s="113" t="s">
        <v>458</v>
      </c>
      <c r="BJ28" s="101" t="s">
        <v>457</v>
      </c>
      <c r="BK28" s="104">
        <v>9311090</v>
      </c>
      <c r="BL28" s="104">
        <v>311094001</v>
      </c>
      <c r="BM28" s="104">
        <v>3201</v>
      </c>
      <c r="BN28" s="105">
        <v>45077</v>
      </c>
      <c r="BO28" s="98">
        <v>7</v>
      </c>
      <c r="BP28" s="116">
        <v>14.2857</v>
      </c>
      <c r="BQ28" s="114">
        <v>119698.68000000001</v>
      </c>
      <c r="BR28" s="107"/>
      <c r="BS28" s="114"/>
      <c r="BT28" s="106">
        <v>27074.619999999995</v>
      </c>
      <c r="BU28" s="108">
        <v>1424.98</v>
      </c>
      <c r="BV28" s="108">
        <v>1424.98</v>
      </c>
      <c r="BW28" s="109">
        <v>8549.8799999999992</v>
      </c>
      <c r="BX28" s="110">
        <v>35624.499999999993</v>
      </c>
      <c r="BY28" s="110"/>
      <c r="BZ28" s="110"/>
      <c r="CA28" s="108">
        <v>84074.180000000022</v>
      </c>
    </row>
    <row r="29" spans="3:79" x14ac:dyDescent="0.3">
      <c r="C29" s="40" t="str">
        <f>Impuestos3225[[#This Row],[Familia]]</f>
        <v>Pick Up EV 4x2 JAC</v>
      </c>
      <c r="D29" s="7">
        <f t="shared" si="0"/>
        <v>23</v>
      </c>
      <c r="E29" s="24" t="s">
        <v>149</v>
      </c>
      <c r="F29" s="24" t="s">
        <v>37</v>
      </c>
      <c r="G29" s="25" t="s">
        <v>688</v>
      </c>
      <c r="H29" s="24">
        <v>3201</v>
      </c>
      <c r="I29" s="80">
        <v>45077</v>
      </c>
      <c r="J29" s="8">
        <v>7</v>
      </c>
      <c r="K29" s="10">
        <v>14.2857</v>
      </c>
      <c r="L29" s="81">
        <v>119698.68000000001</v>
      </c>
      <c r="M29" s="82">
        <f>Impuestos3225[[#This Row],[Valor Adquisición (S/)]]*Impuestos3225[[#This Row],[Tasa  % ]]/100</f>
        <v>17099.794328760003</v>
      </c>
      <c r="N29" s="81">
        <f>Impuestos3225[[#This Row],[Depreciación Anual]]/12</f>
        <v>1424.9828607300003</v>
      </c>
      <c r="O29" s="83">
        <f ca="1">ROUNDDOWN((TODAY()-Impuestos3225[[#This Row],[Fecha de Activación Ingreso]])/365, 0)</f>
        <v>2</v>
      </c>
      <c r="P29" s="81">
        <f ca="1">MIN(Impuestos3225[[#This Row],[Depreciación Anual]] * Impuestos3225[[#This Row],[Años Transcurridos]], Impuestos3225[[#This Row],[Valor Adquisición (S/)]])</f>
        <v>34199.588657520006</v>
      </c>
      <c r="Q29" s="81">
        <f ca="1">MAX(Impuestos3225[[#This Row],[Valor Adquisición (S/)]]-Impuestos3225[[#This Row],[Depreciación Acumulada]], 0)</f>
        <v>85499.091342480009</v>
      </c>
      <c r="R29" s="81" t="str">
        <f ca="1">IF(Impuestos3225[[#This Row],[Valor Adquisición (S/)]]="","", IF(Impuestos3225[[#This Row],[Valor Neto Actual]]=0,"Veh. Ya no deprecia",""))</f>
        <v/>
      </c>
      <c r="S29" s="81" t="s">
        <v>48</v>
      </c>
      <c r="T29" s="81">
        <f>IFERROR(VLOOKUP(Impuestos3225[[#This Row],[Placa Vehiculo]],$AR$6:$CA$159,26,0),"")</f>
        <v>119698.68000000001</v>
      </c>
      <c r="U29" s="81" t="str">
        <f>IF(Impuestos3225[[#This Row],[Buscar Monto]]=Impuestos3225[[#This Row],[Valor Adquisición (S/)]],"ok","mal")</f>
        <v>ok</v>
      </c>
      <c r="V29" s="81"/>
      <c r="Z29" s="87"/>
      <c r="AR29" s="21" t="str">
        <f t="shared" si="5"/>
        <v>BUS-816</v>
      </c>
      <c r="AS29" s="21">
        <f t="shared" si="6"/>
        <v>3201</v>
      </c>
      <c r="AT29" s="21" t="s">
        <v>48</v>
      </c>
      <c r="AU29" s="98">
        <v>34</v>
      </c>
      <c r="AV29" s="112">
        <v>3341110</v>
      </c>
      <c r="AW29" s="99">
        <v>340128</v>
      </c>
      <c r="AX29" s="100">
        <v>343001000085</v>
      </c>
      <c r="AY29" s="101" t="s">
        <v>653</v>
      </c>
      <c r="AZ29" s="101" t="s">
        <v>689</v>
      </c>
      <c r="BA29" s="101"/>
      <c r="BB29" s="101"/>
      <c r="BC29" s="101"/>
      <c r="BD29" s="101">
        <v>202305014</v>
      </c>
      <c r="BE29" s="101" t="s">
        <v>432</v>
      </c>
      <c r="BF29" s="101"/>
      <c r="BG29" s="103" t="s">
        <v>688</v>
      </c>
      <c r="BH29" s="103" t="s">
        <v>690</v>
      </c>
      <c r="BI29" s="113" t="s">
        <v>434</v>
      </c>
      <c r="BJ29" s="101" t="s">
        <v>433</v>
      </c>
      <c r="BK29" s="104">
        <v>9311090</v>
      </c>
      <c r="BL29" s="104">
        <v>311094001</v>
      </c>
      <c r="BM29" s="104">
        <v>3201</v>
      </c>
      <c r="BN29" s="105">
        <v>45077</v>
      </c>
      <c r="BO29" s="98">
        <v>7</v>
      </c>
      <c r="BP29" s="116">
        <v>14.2857</v>
      </c>
      <c r="BQ29" s="114">
        <v>119698.68000000001</v>
      </c>
      <c r="BR29" s="107"/>
      <c r="BS29" s="114"/>
      <c r="BT29" s="106">
        <v>27074.619999999995</v>
      </c>
      <c r="BU29" s="108">
        <v>1424.98</v>
      </c>
      <c r="BV29" s="108">
        <v>1424.98</v>
      </c>
      <c r="BW29" s="109">
        <v>8549.8799999999992</v>
      </c>
      <c r="BX29" s="110">
        <v>35624.499999999993</v>
      </c>
      <c r="BY29" s="110"/>
      <c r="BZ29" s="110"/>
      <c r="CA29" s="108">
        <v>84074.180000000022</v>
      </c>
    </row>
    <row r="30" spans="3:79" x14ac:dyDescent="0.3">
      <c r="C30" s="40" t="str">
        <f>Impuestos3225[[#This Row],[Familia]]</f>
        <v>Pick Up EV 4x2 JAC</v>
      </c>
      <c r="D30" s="7">
        <f t="shared" si="0"/>
        <v>24</v>
      </c>
      <c r="E30" s="24" t="s">
        <v>139</v>
      </c>
      <c r="F30" s="24" t="s">
        <v>37</v>
      </c>
      <c r="G30" s="25" t="s">
        <v>688</v>
      </c>
      <c r="H30" s="24">
        <v>3201</v>
      </c>
      <c r="I30" s="80">
        <v>45077</v>
      </c>
      <c r="J30" s="8">
        <v>7</v>
      </c>
      <c r="K30" s="10">
        <v>14.2857</v>
      </c>
      <c r="L30" s="81">
        <v>119698.68000000001</v>
      </c>
      <c r="M30" s="82">
        <f>Impuestos3225[[#This Row],[Valor Adquisición (S/)]]*Impuestos3225[[#This Row],[Tasa  % ]]/100</f>
        <v>17099.794328760003</v>
      </c>
      <c r="N30" s="81">
        <f>Impuestos3225[[#This Row],[Depreciación Anual]]/12</f>
        <v>1424.9828607300003</v>
      </c>
      <c r="O30" s="83">
        <f ca="1">ROUNDDOWN((TODAY()-Impuestos3225[[#This Row],[Fecha de Activación Ingreso]])/365, 0)</f>
        <v>2</v>
      </c>
      <c r="P30" s="81">
        <f ca="1">MIN(Impuestos3225[[#This Row],[Depreciación Anual]] * Impuestos3225[[#This Row],[Años Transcurridos]], Impuestos3225[[#This Row],[Valor Adquisición (S/)]])</f>
        <v>34199.588657520006</v>
      </c>
      <c r="Q30" s="81">
        <f ca="1">MAX(Impuestos3225[[#This Row],[Valor Adquisición (S/)]]-Impuestos3225[[#This Row],[Depreciación Acumulada]], 0)</f>
        <v>85499.091342480009</v>
      </c>
      <c r="R30" s="81" t="str">
        <f ca="1">IF(Impuestos3225[[#This Row],[Valor Adquisición (S/)]]="","", IF(Impuestos3225[[#This Row],[Valor Neto Actual]]=0,"Veh. Ya no deprecia",""))</f>
        <v/>
      </c>
      <c r="S30" s="81" t="s">
        <v>48</v>
      </c>
      <c r="T30" s="81">
        <f>IFERROR(VLOOKUP(Impuestos3225[[#This Row],[Placa Vehiculo]],$AR$6:$CA$159,26,0),"")</f>
        <v>119698.68000000001</v>
      </c>
      <c r="U30" s="81" t="str">
        <f>IF(Impuestos3225[[#This Row],[Buscar Monto]]=Impuestos3225[[#This Row],[Valor Adquisición (S/)]],"ok","mal")</f>
        <v>ok</v>
      </c>
      <c r="V30" s="81"/>
      <c r="Z30" s="158">
        <f>Z12/X12</f>
        <v>1434.4815009807241</v>
      </c>
      <c r="AR30" s="21" t="str">
        <f t="shared" si="5"/>
        <v>BUR-929</v>
      </c>
      <c r="AS30" s="21">
        <f t="shared" si="6"/>
        <v>3201</v>
      </c>
      <c r="AT30" s="21" t="s">
        <v>48</v>
      </c>
      <c r="AU30" s="98">
        <v>34</v>
      </c>
      <c r="AV30" s="112">
        <v>3341110</v>
      </c>
      <c r="AW30" s="99">
        <v>340129</v>
      </c>
      <c r="AX30" s="100">
        <v>343001000086</v>
      </c>
      <c r="AY30" s="101" t="s">
        <v>653</v>
      </c>
      <c r="AZ30" s="101" t="s">
        <v>689</v>
      </c>
      <c r="BA30" s="101"/>
      <c r="BB30" s="101"/>
      <c r="BC30" s="101"/>
      <c r="BD30" s="101">
        <v>202305015</v>
      </c>
      <c r="BE30" s="101" t="s">
        <v>469</v>
      </c>
      <c r="BF30" s="101"/>
      <c r="BG30" s="103" t="s">
        <v>688</v>
      </c>
      <c r="BH30" s="103" t="s">
        <v>690</v>
      </c>
      <c r="BI30" s="113" t="s">
        <v>471</v>
      </c>
      <c r="BJ30" s="101" t="s">
        <v>470</v>
      </c>
      <c r="BK30" s="104">
        <v>9311090</v>
      </c>
      <c r="BL30" s="104">
        <v>311094001</v>
      </c>
      <c r="BM30" s="104">
        <v>3201</v>
      </c>
      <c r="BN30" s="105">
        <v>45077</v>
      </c>
      <c r="BO30" s="98">
        <v>7</v>
      </c>
      <c r="BP30" s="116">
        <v>14.2857</v>
      </c>
      <c r="BQ30" s="114">
        <v>119698.68000000001</v>
      </c>
      <c r="BR30" s="107"/>
      <c r="BS30" s="114"/>
      <c r="BT30" s="106">
        <v>27074.619999999995</v>
      </c>
      <c r="BU30" s="108">
        <v>1424.98</v>
      </c>
      <c r="BV30" s="108">
        <v>1424.98</v>
      </c>
      <c r="BW30" s="109">
        <v>8549.8799999999992</v>
      </c>
      <c r="BX30" s="110">
        <v>35624.499999999993</v>
      </c>
      <c r="BY30" s="110"/>
      <c r="BZ30" s="110"/>
      <c r="CA30" s="108">
        <v>84074.180000000022</v>
      </c>
    </row>
    <row r="31" spans="3:79" x14ac:dyDescent="0.3">
      <c r="C31" s="40" t="str">
        <f>Impuestos3225[[#This Row],[Familia]]</f>
        <v>Pick Up EV 4x2 JAC</v>
      </c>
      <c r="D31" s="7">
        <f t="shared" si="0"/>
        <v>25</v>
      </c>
      <c r="E31" s="24" t="s">
        <v>131</v>
      </c>
      <c r="F31" s="24" t="s">
        <v>37</v>
      </c>
      <c r="G31" s="25" t="s">
        <v>688</v>
      </c>
      <c r="H31" s="24">
        <v>3201</v>
      </c>
      <c r="I31" s="80">
        <v>45077</v>
      </c>
      <c r="J31" s="8">
        <v>7</v>
      </c>
      <c r="K31" s="10">
        <v>14.2857</v>
      </c>
      <c r="L31" s="81">
        <v>119698.67</v>
      </c>
      <c r="M31" s="82">
        <f>Impuestos3225[[#This Row],[Valor Adquisición (S/)]]*Impuestos3225[[#This Row],[Tasa  % ]]/100</f>
        <v>17099.792900190001</v>
      </c>
      <c r="N31" s="81">
        <f>Impuestos3225[[#This Row],[Depreciación Anual]]/12</f>
        <v>1424.9827416825001</v>
      </c>
      <c r="O31" s="83">
        <f ca="1">ROUNDDOWN((TODAY()-Impuestos3225[[#This Row],[Fecha de Activación Ingreso]])/365, 0)</f>
        <v>2</v>
      </c>
      <c r="P31" s="81">
        <f ca="1">MIN(Impuestos3225[[#This Row],[Depreciación Anual]] * Impuestos3225[[#This Row],[Años Transcurridos]], Impuestos3225[[#This Row],[Valor Adquisición (S/)]])</f>
        <v>34199.585800380002</v>
      </c>
      <c r="Q31" s="81">
        <f ca="1">MAX(Impuestos3225[[#This Row],[Valor Adquisición (S/)]]-Impuestos3225[[#This Row],[Depreciación Acumulada]], 0)</f>
        <v>85499.084199620003</v>
      </c>
      <c r="R31" s="81" t="str">
        <f ca="1">IF(Impuestos3225[[#This Row],[Valor Adquisición (S/)]]="","", IF(Impuestos3225[[#This Row],[Valor Neto Actual]]=0,"Veh. Ya no deprecia",""))</f>
        <v/>
      </c>
      <c r="S31" s="81" t="s">
        <v>48</v>
      </c>
      <c r="T31" s="81">
        <f>IFERROR(VLOOKUP(Impuestos3225[[#This Row],[Placa Vehiculo]],$AR$6:$CA$159,26,0),"")</f>
        <v>119698.67</v>
      </c>
      <c r="U31" s="81" t="str">
        <f>IF(Impuestos3225[[#This Row],[Buscar Monto]]=Impuestos3225[[#This Row],[Valor Adquisición (S/)]],"ok","mal")</f>
        <v>ok</v>
      </c>
      <c r="V31" s="81"/>
      <c r="Z31" s="87"/>
      <c r="AR31" s="21" t="str">
        <f t="shared" si="5"/>
        <v>BUR-920</v>
      </c>
      <c r="AS31" s="21">
        <f t="shared" si="6"/>
        <v>3201</v>
      </c>
      <c r="AT31" s="21" t="s">
        <v>48</v>
      </c>
      <c r="AU31" s="98">
        <v>34</v>
      </c>
      <c r="AV31" s="112">
        <v>3341110</v>
      </c>
      <c r="AW31" s="99">
        <v>340130</v>
      </c>
      <c r="AX31" s="100">
        <v>343001000087</v>
      </c>
      <c r="AY31" s="101" t="s">
        <v>653</v>
      </c>
      <c r="AZ31" s="101" t="s">
        <v>689</v>
      </c>
      <c r="BA31" s="101"/>
      <c r="BB31" s="101"/>
      <c r="BC31" s="101"/>
      <c r="BD31" s="101">
        <v>202305016</v>
      </c>
      <c r="BE31" s="101" t="s">
        <v>487</v>
      </c>
      <c r="BF31" s="101"/>
      <c r="BG31" s="103" t="s">
        <v>688</v>
      </c>
      <c r="BH31" s="103" t="s">
        <v>690</v>
      </c>
      <c r="BI31" s="113" t="s">
        <v>489</v>
      </c>
      <c r="BJ31" s="101" t="s">
        <v>488</v>
      </c>
      <c r="BK31" s="104">
        <v>9311090</v>
      </c>
      <c r="BL31" s="104">
        <v>311094001</v>
      </c>
      <c r="BM31" s="104">
        <v>3201</v>
      </c>
      <c r="BN31" s="105">
        <v>45077</v>
      </c>
      <c r="BO31" s="98">
        <v>7</v>
      </c>
      <c r="BP31" s="116">
        <v>14.2857</v>
      </c>
      <c r="BQ31" s="114">
        <v>119698.67</v>
      </c>
      <c r="BR31" s="107"/>
      <c r="BS31" s="114"/>
      <c r="BT31" s="106">
        <v>27074.619999999995</v>
      </c>
      <c r="BU31" s="108">
        <v>1424.98</v>
      </c>
      <c r="BV31" s="108">
        <v>1424.98</v>
      </c>
      <c r="BW31" s="109">
        <v>8549.8799999999992</v>
      </c>
      <c r="BX31" s="110">
        <v>35624.499999999993</v>
      </c>
      <c r="BY31" s="110"/>
      <c r="BZ31" s="110"/>
      <c r="CA31" s="108">
        <v>84074.170000000013</v>
      </c>
    </row>
    <row r="32" spans="3:79" x14ac:dyDescent="0.3">
      <c r="C32" s="40" t="str">
        <f>Impuestos3225[[#This Row],[Familia]]</f>
        <v>Pick Up EV 4x2 JAC</v>
      </c>
      <c r="D32" s="7">
        <f t="shared" si="0"/>
        <v>26</v>
      </c>
      <c r="E32" s="24" t="s">
        <v>146</v>
      </c>
      <c r="F32" s="24" t="s">
        <v>37</v>
      </c>
      <c r="G32" s="25" t="s">
        <v>688</v>
      </c>
      <c r="H32" s="24">
        <v>3201</v>
      </c>
      <c r="I32" s="80">
        <v>45077</v>
      </c>
      <c r="J32" s="8">
        <v>7</v>
      </c>
      <c r="K32" s="10">
        <v>14.2857</v>
      </c>
      <c r="L32" s="81">
        <v>119698.67</v>
      </c>
      <c r="M32" s="82">
        <f>Impuestos3225[[#This Row],[Valor Adquisición (S/)]]*Impuestos3225[[#This Row],[Tasa  % ]]/100</f>
        <v>17099.792900190001</v>
      </c>
      <c r="N32" s="81">
        <f>Impuestos3225[[#This Row],[Depreciación Anual]]/12</f>
        <v>1424.9827416825001</v>
      </c>
      <c r="O32" s="83">
        <f ca="1">ROUNDDOWN((TODAY()-Impuestos3225[[#This Row],[Fecha de Activación Ingreso]])/365, 0)</f>
        <v>2</v>
      </c>
      <c r="P32" s="81">
        <f ca="1">MIN(Impuestos3225[[#This Row],[Depreciación Anual]] * Impuestos3225[[#This Row],[Años Transcurridos]], Impuestos3225[[#This Row],[Valor Adquisición (S/)]])</f>
        <v>34199.585800380002</v>
      </c>
      <c r="Q32" s="81">
        <f ca="1">MAX(Impuestos3225[[#This Row],[Valor Adquisición (S/)]]-Impuestos3225[[#This Row],[Depreciación Acumulada]], 0)</f>
        <v>85499.084199620003</v>
      </c>
      <c r="R32" s="81" t="str">
        <f ca="1">IF(Impuestos3225[[#This Row],[Valor Adquisición (S/)]]="","", IF(Impuestos3225[[#This Row],[Valor Neto Actual]]=0,"Veh. Ya no deprecia",""))</f>
        <v/>
      </c>
      <c r="S32" s="81" t="s">
        <v>48</v>
      </c>
      <c r="T32" s="81">
        <f>IFERROR(VLOOKUP(Impuestos3225[[#This Row],[Placa Vehiculo]],$AR$6:$CA$159,26,0),"")</f>
        <v>119698.67</v>
      </c>
      <c r="U32" s="81" t="str">
        <f>IF(Impuestos3225[[#This Row],[Buscar Monto]]=Impuestos3225[[#This Row],[Valor Adquisición (S/)]],"ok","mal")</f>
        <v>ok</v>
      </c>
      <c r="V32" s="81"/>
      <c r="Z32" s="87"/>
      <c r="AR32" s="21" t="str">
        <f t="shared" si="5"/>
        <v>BUS-801</v>
      </c>
      <c r="AS32" s="21">
        <f t="shared" si="6"/>
        <v>3201</v>
      </c>
      <c r="AT32" s="21" t="s">
        <v>48</v>
      </c>
      <c r="AU32" s="98">
        <v>34</v>
      </c>
      <c r="AV32" s="112">
        <v>3341110</v>
      </c>
      <c r="AW32" s="99">
        <v>340131</v>
      </c>
      <c r="AX32" s="100">
        <v>343001000088</v>
      </c>
      <c r="AY32" s="101" t="s">
        <v>653</v>
      </c>
      <c r="AZ32" s="101" t="s">
        <v>689</v>
      </c>
      <c r="BA32" s="101"/>
      <c r="BB32" s="101"/>
      <c r="BC32" s="101"/>
      <c r="BD32" s="101">
        <v>202305017</v>
      </c>
      <c r="BE32" s="101" t="s">
        <v>441</v>
      </c>
      <c r="BF32" s="101"/>
      <c r="BG32" s="103" t="s">
        <v>688</v>
      </c>
      <c r="BH32" s="103" t="s">
        <v>690</v>
      </c>
      <c r="BI32" s="113" t="s">
        <v>443</v>
      </c>
      <c r="BJ32" s="101" t="s">
        <v>442</v>
      </c>
      <c r="BK32" s="104">
        <v>9311090</v>
      </c>
      <c r="BL32" s="104">
        <v>311094001</v>
      </c>
      <c r="BM32" s="104">
        <v>3201</v>
      </c>
      <c r="BN32" s="105">
        <v>45077</v>
      </c>
      <c r="BO32" s="98">
        <v>7</v>
      </c>
      <c r="BP32" s="116">
        <v>14.2857</v>
      </c>
      <c r="BQ32" s="114">
        <v>119698.67</v>
      </c>
      <c r="BR32" s="107"/>
      <c r="BS32" s="114"/>
      <c r="BT32" s="106">
        <v>27074.619999999995</v>
      </c>
      <c r="BU32" s="108">
        <v>1424.98</v>
      </c>
      <c r="BV32" s="108">
        <v>1424.98</v>
      </c>
      <c r="BW32" s="109">
        <v>8549.8799999999992</v>
      </c>
      <c r="BX32" s="110">
        <v>35624.499999999993</v>
      </c>
      <c r="BY32" s="110"/>
      <c r="BZ32" s="110"/>
      <c r="CA32" s="108">
        <v>84074.170000000013</v>
      </c>
    </row>
    <row r="33" spans="3:79" x14ac:dyDescent="0.3">
      <c r="C33" s="40" t="str">
        <f>Impuestos3225[[#This Row],[Familia]]</f>
        <v>Pick Up EV 4x2 JAC</v>
      </c>
      <c r="D33" s="7">
        <f t="shared" si="0"/>
        <v>27</v>
      </c>
      <c r="E33" s="24" t="s">
        <v>141</v>
      </c>
      <c r="F33" s="24" t="s">
        <v>37</v>
      </c>
      <c r="G33" s="25" t="s">
        <v>688</v>
      </c>
      <c r="H33" s="24">
        <v>3201</v>
      </c>
      <c r="I33" s="80">
        <v>45077</v>
      </c>
      <c r="J33" s="8">
        <v>7</v>
      </c>
      <c r="K33" s="10">
        <v>14.2857</v>
      </c>
      <c r="L33" s="81">
        <v>119698.67</v>
      </c>
      <c r="M33" s="82">
        <f>Impuestos3225[[#This Row],[Valor Adquisición (S/)]]*Impuestos3225[[#This Row],[Tasa  % ]]/100</f>
        <v>17099.792900190001</v>
      </c>
      <c r="N33" s="81">
        <f>Impuestos3225[[#This Row],[Depreciación Anual]]/12</f>
        <v>1424.9827416825001</v>
      </c>
      <c r="O33" s="83">
        <f ca="1">ROUNDDOWN((TODAY()-Impuestos3225[[#This Row],[Fecha de Activación Ingreso]])/365, 0)</f>
        <v>2</v>
      </c>
      <c r="P33" s="81">
        <f ca="1">MIN(Impuestos3225[[#This Row],[Depreciación Anual]] * Impuestos3225[[#This Row],[Años Transcurridos]], Impuestos3225[[#This Row],[Valor Adquisición (S/)]])</f>
        <v>34199.585800380002</v>
      </c>
      <c r="Q33" s="81">
        <f ca="1">MAX(Impuestos3225[[#This Row],[Valor Adquisición (S/)]]-Impuestos3225[[#This Row],[Depreciación Acumulada]], 0)</f>
        <v>85499.084199620003</v>
      </c>
      <c r="R33" s="81" t="str">
        <f ca="1">IF(Impuestos3225[[#This Row],[Valor Adquisición (S/)]]="","", IF(Impuestos3225[[#This Row],[Valor Neto Actual]]=0,"Veh. Ya no deprecia",""))</f>
        <v/>
      </c>
      <c r="S33" s="81" t="s">
        <v>48</v>
      </c>
      <c r="T33" s="81">
        <f>IFERROR(VLOOKUP(Impuestos3225[[#This Row],[Placa Vehiculo]],$AR$6:$CA$159,26,0),"")</f>
        <v>119698.67</v>
      </c>
      <c r="U33" s="81" t="str">
        <f>IF(Impuestos3225[[#This Row],[Buscar Monto]]=Impuestos3225[[#This Row],[Valor Adquisición (S/)]],"ok","mal")</f>
        <v>ok</v>
      </c>
      <c r="V33" s="81"/>
      <c r="Z33" s="87"/>
      <c r="AR33" s="21" t="str">
        <f t="shared" si="5"/>
        <v>BUS-728</v>
      </c>
      <c r="AS33" s="21">
        <f t="shared" si="6"/>
        <v>3201</v>
      </c>
      <c r="AT33" s="21" t="s">
        <v>48</v>
      </c>
      <c r="AU33" s="98">
        <v>34</v>
      </c>
      <c r="AV33" s="112">
        <v>3341110</v>
      </c>
      <c r="AW33" s="99">
        <v>340132</v>
      </c>
      <c r="AX33" s="100">
        <v>343001000089</v>
      </c>
      <c r="AY33" s="101" t="s">
        <v>653</v>
      </c>
      <c r="AZ33" s="101" t="s">
        <v>689</v>
      </c>
      <c r="BA33" s="101"/>
      <c r="BB33" s="101"/>
      <c r="BC33" s="101"/>
      <c r="BD33" s="101">
        <v>202305018</v>
      </c>
      <c r="BE33" s="101" t="s">
        <v>459</v>
      </c>
      <c r="BF33" s="101"/>
      <c r="BG33" s="103" t="s">
        <v>688</v>
      </c>
      <c r="BH33" s="103" t="s">
        <v>690</v>
      </c>
      <c r="BI33" s="113" t="s">
        <v>461</v>
      </c>
      <c r="BJ33" s="101" t="s">
        <v>460</v>
      </c>
      <c r="BK33" s="104">
        <v>9311090</v>
      </c>
      <c r="BL33" s="104">
        <v>311094001</v>
      </c>
      <c r="BM33" s="104">
        <v>3201</v>
      </c>
      <c r="BN33" s="105">
        <v>45077</v>
      </c>
      <c r="BO33" s="98">
        <v>7</v>
      </c>
      <c r="BP33" s="116">
        <v>14.2857</v>
      </c>
      <c r="BQ33" s="114">
        <v>119698.67</v>
      </c>
      <c r="BR33" s="107"/>
      <c r="BS33" s="114"/>
      <c r="BT33" s="106">
        <v>27074.619999999995</v>
      </c>
      <c r="BU33" s="108">
        <v>1424.98</v>
      </c>
      <c r="BV33" s="108">
        <v>1424.98</v>
      </c>
      <c r="BW33" s="109">
        <v>8549.8799999999992</v>
      </c>
      <c r="BX33" s="110">
        <v>35624.499999999993</v>
      </c>
      <c r="BY33" s="110"/>
      <c r="BZ33" s="110"/>
      <c r="CA33" s="108">
        <v>84074.170000000013</v>
      </c>
    </row>
    <row r="34" spans="3:79" x14ac:dyDescent="0.3">
      <c r="C34" s="40" t="str">
        <f>Impuestos3225[[#This Row],[Familia]]</f>
        <v>Pick Up EV 4x2 JAC</v>
      </c>
      <c r="D34" s="7">
        <f t="shared" si="0"/>
        <v>28</v>
      </c>
      <c r="E34" s="24" t="s">
        <v>136</v>
      </c>
      <c r="F34" s="24" t="s">
        <v>37</v>
      </c>
      <c r="G34" s="25" t="s">
        <v>688</v>
      </c>
      <c r="H34" s="24">
        <v>3201</v>
      </c>
      <c r="I34" s="80">
        <v>45077</v>
      </c>
      <c r="J34" s="8">
        <v>7</v>
      </c>
      <c r="K34" s="10">
        <v>14.2857</v>
      </c>
      <c r="L34" s="81">
        <v>119698.66</v>
      </c>
      <c r="M34" s="82">
        <f>Impuestos3225[[#This Row],[Valor Adquisición (S/)]]*Impuestos3225[[#This Row],[Tasa  % ]]/100</f>
        <v>17099.791471620003</v>
      </c>
      <c r="N34" s="81">
        <f>Impuestos3225[[#This Row],[Depreciación Anual]]/12</f>
        <v>1424.9826226350003</v>
      </c>
      <c r="O34" s="83">
        <f ca="1">ROUNDDOWN((TODAY()-Impuestos3225[[#This Row],[Fecha de Activación Ingreso]])/365, 0)</f>
        <v>2</v>
      </c>
      <c r="P34" s="81">
        <f ca="1">MIN(Impuestos3225[[#This Row],[Depreciación Anual]] * Impuestos3225[[#This Row],[Años Transcurridos]], Impuestos3225[[#This Row],[Valor Adquisición (S/)]])</f>
        <v>34199.582943240006</v>
      </c>
      <c r="Q34" s="81">
        <f ca="1">MAX(Impuestos3225[[#This Row],[Valor Adquisición (S/)]]-Impuestos3225[[#This Row],[Depreciación Acumulada]], 0)</f>
        <v>85499.077056759998</v>
      </c>
      <c r="R34" s="81" t="str">
        <f ca="1">IF(Impuestos3225[[#This Row],[Valor Adquisición (S/)]]="","", IF(Impuestos3225[[#This Row],[Valor Neto Actual]]=0,"Veh. Ya no deprecia",""))</f>
        <v/>
      </c>
      <c r="S34" s="81" t="s">
        <v>48</v>
      </c>
      <c r="T34" s="81">
        <f>IFERROR(VLOOKUP(Impuestos3225[[#This Row],[Placa Vehiculo]],$AR$6:$CA$159,26,0),"")</f>
        <v>119698.66</v>
      </c>
      <c r="U34" s="81" t="str">
        <f>IF(Impuestos3225[[#This Row],[Buscar Monto]]=Impuestos3225[[#This Row],[Valor Adquisición (S/)]],"ok","mal")</f>
        <v>ok</v>
      </c>
      <c r="V34" s="81"/>
      <c r="Z34" s="87"/>
      <c r="AR34" s="21" t="str">
        <f t="shared" si="5"/>
        <v>BUR-946</v>
      </c>
      <c r="AS34" s="21">
        <f t="shared" si="6"/>
        <v>3201</v>
      </c>
      <c r="AT34" s="21" t="s">
        <v>48</v>
      </c>
      <c r="AU34" s="98">
        <v>34</v>
      </c>
      <c r="AV34" s="112">
        <v>3341110</v>
      </c>
      <c r="AW34" s="99">
        <v>340133</v>
      </c>
      <c r="AX34" s="100">
        <v>343001000090</v>
      </c>
      <c r="AY34" s="101" t="s">
        <v>653</v>
      </c>
      <c r="AZ34" s="101" t="s">
        <v>689</v>
      </c>
      <c r="BA34" s="101"/>
      <c r="BB34" s="101"/>
      <c r="BC34" s="101"/>
      <c r="BD34" s="101">
        <v>202305019</v>
      </c>
      <c r="BE34" s="101" t="s">
        <v>472</v>
      </c>
      <c r="BF34" s="101"/>
      <c r="BG34" s="103" t="s">
        <v>688</v>
      </c>
      <c r="BH34" s="103" t="s">
        <v>690</v>
      </c>
      <c r="BI34" s="113" t="s">
        <v>474</v>
      </c>
      <c r="BJ34" s="101" t="s">
        <v>473</v>
      </c>
      <c r="BK34" s="104">
        <v>9311090</v>
      </c>
      <c r="BL34" s="104">
        <v>311094001</v>
      </c>
      <c r="BM34" s="104">
        <v>3201</v>
      </c>
      <c r="BN34" s="105">
        <v>45077</v>
      </c>
      <c r="BO34" s="98">
        <v>7</v>
      </c>
      <c r="BP34" s="116">
        <v>14.2857</v>
      </c>
      <c r="BQ34" s="114">
        <v>119698.66</v>
      </c>
      <c r="BR34" s="107"/>
      <c r="BS34" s="114"/>
      <c r="BT34" s="106">
        <v>27074.619999999995</v>
      </c>
      <c r="BU34" s="108">
        <v>1424.98</v>
      </c>
      <c r="BV34" s="108">
        <v>1424.98</v>
      </c>
      <c r="BW34" s="109">
        <v>8549.8799999999992</v>
      </c>
      <c r="BX34" s="110">
        <v>35624.499999999993</v>
      </c>
      <c r="BY34" s="110"/>
      <c r="BZ34" s="110"/>
      <c r="CA34" s="108">
        <v>84074.16</v>
      </c>
    </row>
    <row r="35" spans="3:79" x14ac:dyDescent="0.3">
      <c r="C35" s="40" t="str">
        <f>Impuestos3225[[#This Row],[Familia]]</f>
        <v>Pick Up EV 4x2 JAC</v>
      </c>
      <c r="D35" s="7">
        <f t="shared" si="0"/>
        <v>29</v>
      </c>
      <c r="E35" s="24" t="s">
        <v>143</v>
      </c>
      <c r="F35" s="24" t="s">
        <v>37</v>
      </c>
      <c r="G35" s="25" t="s">
        <v>688</v>
      </c>
      <c r="H35" s="24">
        <v>3201</v>
      </c>
      <c r="I35" s="80">
        <v>45077</v>
      </c>
      <c r="J35" s="8">
        <v>7</v>
      </c>
      <c r="K35" s="10">
        <v>14.2857</v>
      </c>
      <c r="L35" s="81">
        <v>119698.66</v>
      </c>
      <c r="M35" s="82">
        <f>Impuestos3225[[#This Row],[Valor Adquisición (S/)]]*Impuestos3225[[#This Row],[Tasa  % ]]/100</f>
        <v>17099.791471620003</v>
      </c>
      <c r="N35" s="81">
        <f>Impuestos3225[[#This Row],[Depreciación Anual]]/12</f>
        <v>1424.9826226350003</v>
      </c>
      <c r="O35" s="83">
        <f ca="1">ROUNDDOWN((TODAY()-Impuestos3225[[#This Row],[Fecha de Activación Ingreso]])/365, 0)</f>
        <v>2</v>
      </c>
      <c r="P35" s="81">
        <f ca="1">MIN(Impuestos3225[[#This Row],[Depreciación Anual]] * Impuestos3225[[#This Row],[Años Transcurridos]], Impuestos3225[[#This Row],[Valor Adquisición (S/)]])</f>
        <v>34199.582943240006</v>
      </c>
      <c r="Q35" s="81">
        <f ca="1">MAX(Impuestos3225[[#This Row],[Valor Adquisición (S/)]]-Impuestos3225[[#This Row],[Depreciación Acumulada]], 0)</f>
        <v>85499.077056759998</v>
      </c>
      <c r="R35" s="81" t="str">
        <f ca="1">IF(Impuestos3225[[#This Row],[Valor Adquisición (S/)]]="","", IF(Impuestos3225[[#This Row],[Valor Neto Actual]]=0,"Veh. Ya no deprecia",""))</f>
        <v/>
      </c>
      <c r="S35" s="81" t="s">
        <v>48</v>
      </c>
      <c r="T35" s="81">
        <f>IFERROR(VLOOKUP(Impuestos3225[[#This Row],[Placa Vehiculo]],$AR$6:$CA$159,26,0),"")</f>
        <v>119698.66</v>
      </c>
      <c r="U35" s="81" t="str">
        <f>IF(Impuestos3225[[#This Row],[Buscar Monto]]=Impuestos3225[[#This Row],[Valor Adquisición (S/)]],"ok","mal")</f>
        <v>ok</v>
      </c>
      <c r="V35" s="81"/>
      <c r="Z35" s="87"/>
      <c r="AR35" s="21" t="str">
        <f t="shared" si="5"/>
        <v>BUS-778</v>
      </c>
      <c r="AS35" s="21">
        <f t="shared" si="6"/>
        <v>3201</v>
      </c>
      <c r="AT35" s="21" t="s">
        <v>48</v>
      </c>
      <c r="AU35" s="98">
        <v>34</v>
      </c>
      <c r="AV35" s="112">
        <v>3341110</v>
      </c>
      <c r="AW35" s="99">
        <v>340134</v>
      </c>
      <c r="AX35" s="100">
        <v>343001000091</v>
      </c>
      <c r="AY35" s="101" t="s">
        <v>653</v>
      </c>
      <c r="AZ35" s="101" t="s">
        <v>689</v>
      </c>
      <c r="BA35" s="101"/>
      <c r="BB35" s="101"/>
      <c r="BC35" s="101"/>
      <c r="BD35" s="101">
        <v>202305020</v>
      </c>
      <c r="BE35" s="101" t="s">
        <v>450</v>
      </c>
      <c r="BF35" s="101"/>
      <c r="BG35" s="103" t="s">
        <v>688</v>
      </c>
      <c r="BH35" s="103" t="s">
        <v>690</v>
      </c>
      <c r="BI35" s="113" t="s">
        <v>452</v>
      </c>
      <c r="BJ35" s="101" t="s">
        <v>451</v>
      </c>
      <c r="BK35" s="104">
        <v>9311090</v>
      </c>
      <c r="BL35" s="104">
        <v>311094001</v>
      </c>
      <c r="BM35" s="104">
        <v>3201</v>
      </c>
      <c r="BN35" s="105">
        <v>45077</v>
      </c>
      <c r="BO35" s="98">
        <v>7</v>
      </c>
      <c r="BP35" s="116">
        <v>14.2857</v>
      </c>
      <c r="BQ35" s="114">
        <v>119698.66</v>
      </c>
      <c r="BR35" s="107"/>
      <c r="BS35" s="114"/>
      <c r="BT35" s="106">
        <v>27074.619999999995</v>
      </c>
      <c r="BU35" s="108">
        <v>1424.98</v>
      </c>
      <c r="BV35" s="108">
        <v>1424.98</v>
      </c>
      <c r="BW35" s="109">
        <v>8549.8799999999992</v>
      </c>
      <c r="BX35" s="110">
        <v>35624.499999999993</v>
      </c>
      <c r="BY35" s="110"/>
      <c r="BZ35" s="110"/>
      <c r="CA35" s="108">
        <v>84074.16</v>
      </c>
    </row>
    <row r="36" spans="3:79" x14ac:dyDescent="0.3">
      <c r="C36" s="40" t="str">
        <f>Impuestos3225[[#This Row],[Familia]]</f>
        <v>SUV EV JAC</v>
      </c>
      <c r="D36" s="7">
        <f t="shared" si="0"/>
        <v>30</v>
      </c>
      <c r="E36" s="24" t="s">
        <v>114</v>
      </c>
      <c r="F36" s="24" t="s">
        <v>37</v>
      </c>
      <c r="G36" s="25" t="s">
        <v>688</v>
      </c>
      <c r="H36" s="24">
        <v>3201</v>
      </c>
      <c r="I36" s="80">
        <v>45107</v>
      </c>
      <c r="J36" s="8">
        <v>7</v>
      </c>
      <c r="K36" s="10">
        <v>14.2857</v>
      </c>
      <c r="L36" s="81">
        <v>104251.81000000001</v>
      </c>
      <c r="M36" s="82">
        <f>Impuestos3225[[#This Row],[Valor Adquisición (S/)]]*Impuestos3225[[#This Row],[Tasa  % ]]/100</f>
        <v>14893.100821170001</v>
      </c>
      <c r="N36" s="81">
        <f>Impuestos3225[[#This Row],[Depreciación Anual]]/12</f>
        <v>1241.0917350975001</v>
      </c>
      <c r="O36" s="83">
        <f ca="1">ROUNDDOWN((TODAY()-Impuestos3225[[#This Row],[Fecha de Activación Ingreso]])/365, 0)</f>
        <v>2</v>
      </c>
      <c r="P36" s="81">
        <f ca="1">MIN(Impuestos3225[[#This Row],[Depreciación Anual]] * Impuestos3225[[#This Row],[Años Transcurridos]], Impuestos3225[[#This Row],[Valor Adquisición (S/)]])</f>
        <v>29786.201642340002</v>
      </c>
      <c r="Q36" s="81">
        <f ca="1">MAX(Impuestos3225[[#This Row],[Valor Adquisición (S/)]]-Impuestos3225[[#This Row],[Depreciación Acumulada]], 0)</f>
        <v>74465.608357660007</v>
      </c>
      <c r="R36" s="81" t="str">
        <f ca="1">IF(Impuestos3225[[#This Row],[Valor Adquisición (S/)]]="","", IF(Impuestos3225[[#This Row],[Valor Neto Actual]]=0,"Veh. Ya no deprecia",""))</f>
        <v/>
      </c>
      <c r="S36" s="81" t="s">
        <v>56</v>
      </c>
      <c r="T36" s="81">
        <f>IFERROR(VLOOKUP(Impuestos3225[[#This Row],[Placa Vehiculo]],$AR$6:$CA$159,26,0),"")</f>
        <v>104251.81000000001</v>
      </c>
      <c r="U36" s="81" t="str">
        <f>IF(Impuestos3225[[#This Row],[Buscar Monto]]=Impuestos3225[[#This Row],[Valor Adquisición (S/)]],"ok","mal")</f>
        <v>ok</v>
      </c>
      <c r="V36" s="81"/>
      <c r="Z36" s="87"/>
      <c r="AR36" s="21" t="str">
        <f t="shared" si="5"/>
        <v>CFF-503</v>
      </c>
      <c r="AS36" s="21">
        <f t="shared" si="6"/>
        <v>3201</v>
      </c>
      <c r="AT36" s="21" t="s">
        <v>56</v>
      </c>
      <c r="AU36" s="98">
        <v>34</v>
      </c>
      <c r="AV36" s="112">
        <v>3341110</v>
      </c>
      <c r="AW36" s="99">
        <v>340135</v>
      </c>
      <c r="AX36" s="100">
        <v>343001000092</v>
      </c>
      <c r="AY36" s="101" t="s">
        <v>653</v>
      </c>
      <c r="AZ36" s="101" t="s">
        <v>693</v>
      </c>
      <c r="BA36" s="101"/>
      <c r="BB36" s="101"/>
      <c r="BC36" s="101"/>
      <c r="BD36" s="101">
        <v>202306001</v>
      </c>
      <c r="BE36" s="101" t="s">
        <v>501</v>
      </c>
      <c r="BF36" s="101"/>
      <c r="BG36" s="103" t="s">
        <v>688</v>
      </c>
      <c r="BH36" s="103" t="s">
        <v>694</v>
      </c>
      <c r="BI36" s="113" t="s">
        <v>502</v>
      </c>
      <c r="BJ36" s="101"/>
      <c r="BK36" s="104">
        <v>9311090</v>
      </c>
      <c r="BL36" s="104">
        <v>311094001</v>
      </c>
      <c r="BM36" s="104">
        <v>3201</v>
      </c>
      <c r="BN36" s="105">
        <v>45107</v>
      </c>
      <c r="BO36" s="98">
        <v>7</v>
      </c>
      <c r="BP36" s="116">
        <v>14.2857</v>
      </c>
      <c r="BQ36" s="114">
        <v>104251.81000000001</v>
      </c>
      <c r="BR36" s="107"/>
      <c r="BS36" s="114"/>
      <c r="BT36" s="106">
        <v>22339.62</v>
      </c>
      <c r="BU36" s="108">
        <v>1241.0899999999999</v>
      </c>
      <c r="BV36" s="108">
        <v>1241.0899999999999</v>
      </c>
      <c r="BW36" s="109">
        <v>7446.54</v>
      </c>
      <c r="BX36" s="110">
        <v>29786.16</v>
      </c>
      <c r="BY36" s="110"/>
      <c r="BZ36" s="110"/>
      <c r="CA36" s="108">
        <v>74465.650000000009</v>
      </c>
    </row>
    <row r="37" spans="3:79" x14ac:dyDescent="0.3">
      <c r="C37" s="40" t="str">
        <f>Impuestos3225[[#This Row],[Familia]]</f>
        <v>SUV EV JAC</v>
      </c>
      <c r="D37" s="7">
        <f t="shared" si="0"/>
        <v>31</v>
      </c>
      <c r="E37" s="24" t="s">
        <v>110</v>
      </c>
      <c r="F37" s="24" t="s">
        <v>37</v>
      </c>
      <c r="G37" s="25" t="s">
        <v>688</v>
      </c>
      <c r="H37" s="24">
        <v>3201</v>
      </c>
      <c r="I37" s="80">
        <v>45107</v>
      </c>
      <c r="J37" s="8">
        <v>7</v>
      </c>
      <c r="K37" s="10">
        <v>14.2857</v>
      </c>
      <c r="L37" s="81">
        <v>104251.81000000001</v>
      </c>
      <c r="M37" s="82">
        <f>Impuestos3225[[#This Row],[Valor Adquisición (S/)]]*Impuestos3225[[#This Row],[Tasa  % ]]/100</f>
        <v>14893.100821170001</v>
      </c>
      <c r="N37" s="81">
        <f>Impuestos3225[[#This Row],[Depreciación Anual]]/12</f>
        <v>1241.0917350975001</v>
      </c>
      <c r="O37" s="83">
        <f ca="1">ROUNDDOWN((TODAY()-Impuestos3225[[#This Row],[Fecha de Activación Ingreso]])/365, 0)</f>
        <v>2</v>
      </c>
      <c r="P37" s="81">
        <f ca="1">MIN(Impuestos3225[[#This Row],[Depreciación Anual]] * Impuestos3225[[#This Row],[Años Transcurridos]], Impuestos3225[[#This Row],[Valor Adquisición (S/)]])</f>
        <v>29786.201642340002</v>
      </c>
      <c r="Q37" s="81">
        <f ca="1">MAX(Impuestos3225[[#This Row],[Valor Adquisición (S/)]]-Impuestos3225[[#This Row],[Depreciación Acumulada]], 0)</f>
        <v>74465.608357660007</v>
      </c>
      <c r="R37" s="81" t="str">
        <f ca="1">IF(Impuestos3225[[#This Row],[Valor Adquisición (S/)]]="","", IF(Impuestos3225[[#This Row],[Valor Neto Actual]]=0,"Veh. Ya no deprecia",""))</f>
        <v/>
      </c>
      <c r="S37" s="81" t="s">
        <v>56</v>
      </c>
      <c r="T37" s="81">
        <f>IFERROR(VLOOKUP(Impuestos3225[[#This Row],[Placa Vehiculo]],$AR$6:$CA$159,26,0),"")</f>
        <v>104251.81000000001</v>
      </c>
      <c r="U37" s="81" t="str">
        <f>IF(Impuestos3225[[#This Row],[Buscar Monto]]=Impuestos3225[[#This Row],[Valor Adquisición (S/)]],"ok","mal")</f>
        <v>ok</v>
      </c>
      <c r="V37" s="81"/>
      <c r="Z37" s="87"/>
      <c r="AR37" s="21" t="str">
        <f t="shared" si="5"/>
        <v>CFG-023</v>
      </c>
      <c r="AS37" s="21">
        <f t="shared" si="6"/>
        <v>3201</v>
      </c>
      <c r="AT37" s="21" t="s">
        <v>56</v>
      </c>
      <c r="AU37" s="98">
        <v>34</v>
      </c>
      <c r="AV37" s="112">
        <v>3341110</v>
      </c>
      <c r="AW37" s="99">
        <v>340136</v>
      </c>
      <c r="AX37" s="100">
        <v>343001000093</v>
      </c>
      <c r="AY37" s="101" t="s">
        <v>653</v>
      </c>
      <c r="AZ37" s="101" t="s">
        <v>693</v>
      </c>
      <c r="BA37" s="101"/>
      <c r="BB37" s="101"/>
      <c r="BC37" s="101"/>
      <c r="BD37" s="101">
        <v>202306002</v>
      </c>
      <c r="BE37" s="101" t="s">
        <v>505</v>
      </c>
      <c r="BF37" s="101"/>
      <c r="BG37" s="103" t="s">
        <v>688</v>
      </c>
      <c r="BH37" s="103" t="s">
        <v>694</v>
      </c>
      <c r="BI37" s="113" t="s">
        <v>695</v>
      </c>
      <c r="BJ37" s="101"/>
      <c r="BK37" s="104">
        <v>9311090</v>
      </c>
      <c r="BL37" s="104">
        <v>311094001</v>
      </c>
      <c r="BM37" s="104">
        <v>3201</v>
      </c>
      <c r="BN37" s="105">
        <v>45107</v>
      </c>
      <c r="BO37" s="98">
        <v>7</v>
      </c>
      <c r="BP37" s="116">
        <v>14.2857</v>
      </c>
      <c r="BQ37" s="114">
        <v>104251.81000000001</v>
      </c>
      <c r="BR37" s="107"/>
      <c r="BS37" s="114"/>
      <c r="BT37" s="106">
        <v>22339.62</v>
      </c>
      <c r="BU37" s="108">
        <v>1241.0899999999999</v>
      </c>
      <c r="BV37" s="108">
        <v>1241.0899999999999</v>
      </c>
      <c r="BW37" s="109">
        <v>7446.54</v>
      </c>
      <c r="BX37" s="110">
        <v>29786.16</v>
      </c>
      <c r="BY37" s="110"/>
      <c r="BZ37" s="110"/>
      <c r="CA37" s="108">
        <v>74465.650000000009</v>
      </c>
    </row>
    <row r="38" spans="3:79" x14ac:dyDescent="0.3">
      <c r="C38" s="40" t="str">
        <f>Impuestos3225[[#This Row],[Familia]]</f>
        <v>Pick Up CI 4x4 Ford</v>
      </c>
      <c r="D38" s="7">
        <f t="shared" si="0"/>
        <v>32</v>
      </c>
      <c r="E38" s="24" t="s">
        <v>181</v>
      </c>
      <c r="F38" s="24" t="s">
        <v>179</v>
      </c>
      <c r="G38" s="25" t="s">
        <v>696</v>
      </c>
      <c r="H38" s="24">
        <v>2710</v>
      </c>
      <c r="I38" s="80">
        <v>45260</v>
      </c>
      <c r="J38" s="8">
        <v>6</v>
      </c>
      <c r="K38" s="10">
        <v>16.667000000000002</v>
      </c>
      <c r="L38" s="81">
        <v>89604.140070000009</v>
      </c>
      <c r="M38" s="82">
        <f>Impuestos3225[[#This Row],[Valor Adquisición (S/)]]*Impuestos3225[[#This Row],[Tasa  % ]]/100</f>
        <v>14934.322025466903</v>
      </c>
      <c r="N38" s="81">
        <f>Impuestos3225[[#This Row],[Depreciación Anual]]/12</f>
        <v>1244.5268354555753</v>
      </c>
      <c r="O38" s="83">
        <f ca="1">ROUNDDOWN((TODAY()-Impuestos3225[[#This Row],[Fecha de Activación Ingreso]])/365, 0)</f>
        <v>1</v>
      </c>
      <c r="P38" s="81">
        <f ca="1">MIN(Impuestos3225[[#This Row],[Depreciación Anual]] * Impuestos3225[[#This Row],[Años Transcurridos]], Impuestos3225[[#This Row],[Valor Adquisición (S/)]])</f>
        <v>14934.322025466903</v>
      </c>
      <c r="Q38" s="81">
        <f ca="1">MAX(Impuestos3225[[#This Row],[Valor Adquisición (S/)]]-Impuestos3225[[#This Row],[Depreciación Acumulada]], 0)</f>
        <v>74669.818044533109</v>
      </c>
      <c r="R38" s="81" t="str">
        <f ca="1">IF(Impuestos3225[[#This Row],[Valor Adquisición (S/)]]="","", IF(Impuestos3225[[#This Row],[Valor Neto Actual]]=0,"Veh. Ya no deprecia",""))</f>
        <v/>
      </c>
      <c r="S38" s="81" t="s">
        <v>184</v>
      </c>
      <c r="T38" s="81">
        <f>IFERROR(VLOOKUP(Impuestos3225[[#This Row],[Placa Vehiculo]],$AR$6:$CA$159,26,0),"")</f>
        <v>89604.140070000009</v>
      </c>
      <c r="U38" s="81" t="str">
        <f>IF(Impuestos3225[[#This Row],[Buscar Monto]]=Impuestos3225[[#This Row],[Valor Adquisición (S/)]],"ok","mal")</f>
        <v>ok</v>
      </c>
      <c r="V38" s="81"/>
      <c r="Z38" s="87"/>
      <c r="AR38" s="21" t="str">
        <f t="shared" si="5"/>
        <v>BXI-863</v>
      </c>
      <c r="AS38" s="21">
        <f t="shared" si="6"/>
        <v>2710</v>
      </c>
      <c r="AT38" s="21" t="s">
        <v>184</v>
      </c>
      <c r="AU38" s="98">
        <v>34</v>
      </c>
      <c r="AV38" s="112">
        <v>3341110</v>
      </c>
      <c r="AW38" s="99">
        <v>340137</v>
      </c>
      <c r="AX38" s="100">
        <v>343001000094</v>
      </c>
      <c r="AY38" s="101" t="s">
        <v>653</v>
      </c>
      <c r="AZ38" s="101" t="s">
        <v>697</v>
      </c>
      <c r="BA38" s="101" t="s">
        <v>698</v>
      </c>
      <c r="BB38" s="101"/>
      <c r="BC38" s="101"/>
      <c r="BD38" s="101">
        <v>202311002</v>
      </c>
      <c r="BE38" s="101" t="s">
        <v>699</v>
      </c>
      <c r="BF38" s="101"/>
      <c r="BG38" s="103" t="s">
        <v>696</v>
      </c>
      <c r="BH38" s="103" t="s">
        <v>700</v>
      </c>
      <c r="BI38" s="113" t="s">
        <v>701</v>
      </c>
      <c r="BJ38" s="101" t="s">
        <v>702</v>
      </c>
      <c r="BK38" s="104">
        <v>9311090</v>
      </c>
      <c r="BL38" s="104">
        <v>311094002</v>
      </c>
      <c r="BM38" s="104">
        <v>2710</v>
      </c>
      <c r="BN38" s="105">
        <v>45260</v>
      </c>
      <c r="BO38" s="98">
        <v>6</v>
      </c>
      <c r="BP38" s="116">
        <v>16.667000000000002</v>
      </c>
      <c r="BQ38" s="114">
        <v>89604.140070000009</v>
      </c>
      <c r="BR38" s="107"/>
      <c r="BS38" s="114"/>
      <c r="BT38" s="106">
        <v>16178.890000000003</v>
      </c>
      <c r="BU38" s="108">
        <v>1244.53</v>
      </c>
      <c r="BV38" s="108">
        <v>1244.53</v>
      </c>
      <c r="BW38" s="109">
        <v>7467.1799999999994</v>
      </c>
      <c r="BX38" s="110">
        <v>23646.070000000003</v>
      </c>
      <c r="BY38" s="110"/>
      <c r="BZ38" s="110"/>
      <c r="CA38" s="108">
        <v>65958.070070000002</v>
      </c>
    </row>
    <row r="39" spans="3:79" x14ac:dyDescent="0.3">
      <c r="C39" s="40" t="str">
        <f>Impuestos3225[[#This Row],[Familia]]</f>
        <v>Pick Up CI 4x4 Ford</v>
      </c>
      <c r="D39" s="7">
        <f t="shared" si="0"/>
        <v>33</v>
      </c>
      <c r="E39" s="24" t="s">
        <v>185</v>
      </c>
      <c r="F39" s="24" t="s">
        <v>179</v>
      </c>
      <c r="G39" s="25" t="s">
        <v>696</v>
      </c>
      <c r="H39" s="24">
        <v>2710</v>
      </c>
      <c r="I39" s="80">
        <v>45260</v>
      </c>
      <c r="J39" s="8">
        <v>6</v>
      </c>
      <c r="K39" s="10">
        <v>16.667000000000002</v>
      </c>
      <c r="L39" s="81">
        <v>89604.140070000009</v>
      </c>
      <c r="M39" s="82">
        <f>Impuestos3225[[#This Row],[Valor Adquisición (S/)]]*Impuestos3225[[#This Row],[Tasa  % ]]/100</f>
        <v>14934.322025466903</v>
      </c>
      <c r="N39" s="81">
        <f>Impuestos3225[[#This Row],[Depreciación Anual]]/12</f>
        <v>1244.5268354555753</v>
      </c>
      <c r="O39" s="83">
        <f ca="1">ROUNDDOWN((TODAY()-Impuestos3225[[#This Row],[Fecha de Activación Ingreso]])/365, 0)</f>
        <v>1</v>
      </c>
      <c r="P39" s="81">
        <f ca="1">MIN(Impuestos3225[[#This Row],[Depreciación Anual]] * Impuestos3225[[#This Row],[Años Transcurridos]], Impuestos3225[[#This Row],[Valor Adquisición (S/)]])</f>
        <v>14934.322025466903</v>
      </c>
      <c r="Q39" s="81">
        <f ca="1">MAX(Impuestos3225[[#This Row],[Valor Adquisición (S/)]]-Impuestos3225[[#This Row],[Depreciación Acumulada]], 0)</f>
        <v>74669.818044533109</v>
      </c>
      <c r="R39" s="81" t="str">
        <f ca="1">IF(Impuestos3225[[#This Row],[Valor Adquisición (S/)]]="","", IF(Impuestos3225[[#This Row],[Valor Neto Actual]]=0,"Veh. Ya no deprecia",""))</f>
        <v/>
      </c>
      <c r="S39" s="81" t="s">
        <v>184</v>
      </c>
      <c r="T39" s="81">
        <f>IFERROR(VLOOKUP(Impuestos3225[[#This Row],[Placa Vehiculo]],$AR$6:$CA$159,26,0),"")</f>
        <v>89604.140070000009</v>
      </c>
      <c r="U39" s="81" t="str">
        <f>IF(Impuestos3225[[#This Row],[Buscar Monto]]=Impuestos3225[[#This Row],[Valor Adquisición (S/)]],"ok","mal")</f>
        <v>ok</v>
      </c>
      <c r="V39" s="81"/>
      <c r="Z39" s="87"/>
      <c r="AR39" s="21" t="str">
        <f t="shared" si="5"/>
        <v>BXI-854</v>
      </c>
      <c r="AS39" s="21">
        <f t="shared" si="6"/>
        <v>2710</v>
      </c>
      <c r="AT39" s="21" t="s">
        <v>184</v>
      </c>
      <c r="AU39" s="98">
        <v>34</v>
      </c>
      <c r="AV39" s="112">
        <v>3341110</v>
      </c>
      <c r="AW39" s="99">
        <v>340138</v>
      </c>
      <c r="AX39" s="100">
        <v>343001000095</v>
      </c>
      <c r="AY39" s="101" t="s">
        <v>653</v>
      </c>
      <c r="AZ39" s="101" t="s">
        <v>697</v>
      </c>
      <c r="BA39" s="101"/>
      <c r="BB39" s="101"/>
      <c r="BC39" s="101"/>
      <c r="BD39" s="101">
        <v>202311003</v>
      </c>
      <c r="BE39" s="101" t="s">
        <v>703</v>
      </c>
      <c r="BF39" s="101"/>
      <c r="BG39" s="103" t="s">
        <v>696</v>
      </c>
      <c r="BH39" s="103" t="s">
        <v>700</v>
      </c>
      <c r="BI39" s="113" t="s">
        <v>704</v>
      </c>
      <c r="BJ39" s="101" t="s">
        <v>705</v>
      </c>
      <c r="BK39" s="104">
        <v>9311090</v>
      </c>
      <c r="BL39" s="104">
        <v>311094002</v>
      </c>
      <c r="BM39" s="104">
        <v>2710</v>
      </c>
      <c r="BN39" s="105">
        <v>45260</v>
      </c>
      <c r="BO39" s="98">
        <v>6</v>
      </c>
      <c r="BP39" s="116">
        <v>16.667000000000002</v>
      </c>
      <c r="BQ39" s="114">
        <v>89604.140070000009</v>
      </c>
      <c r="BR39" s="107"/>
      <c r="BS39" s="114"/>
      <c r="BT39" s="106">
        <v>16178.890000000003</v>
      </c>
      <c r="BU39" s="108">
        <v>1244.53</v>
      </c>
      <c r="BV39" s="108">
        <v>1244.53</v>
      </c>
      <c r="BW39" s="109">
        <v>7467.1799999999994</v>
      </c>
      <c r="BX39" s="110">
        <v>23646.070000000003</v>
      </c>
      <c r="BY39" s="110"/>
      <c r="BZ39" s="110"/>
      <c r="CA39" s="108">
        <v>65958.070070000002</v>
      </c>
    </row>
    <row r="40" spans="3:79" x14ac:dyDescent="0.3">
      <c r="C40" s="40" t="str">
        <f>Impuestos3225[[#This Row],[Familia]]</f>
        <v>Pick Up CI 4x4 Ford</v>
      </c>
      <c r="D40" s="7">
        <f t="shared" si="0"/>
        <v>34</v>
      </c>
      <c r="E40" s="24" t="s">
        <v>186</v>
      </c>
      <c r="F40" s="24" t="s">
        <v>179</v>
      </c>
      <c r="G40" s="25" t="s">
        <v>696</v>
      </c>
      <c r="H40" s="24">
        <v>2710</v>
      </c>
      <c r="I40" s="80">
        <v>45260</v>
      </c>
      <c r="J40" s="8">
        <v>6</v>
      </c>
      <c r="K40" s="10">
        <v>16.667000000000002</v>
      </c>
      <c r="L40" s="81">
        <v>89604.140070000009</v>
      </c>
      <c r="M40" s="82">
        <f>Impuestos3225[[#This Row],[Valor Adquisición (S/)]]*Impuestos3225[[#This Row],[Tasa  % ]]/100</f>
        <v>14934.322025466903</v>
      </c>
      <c r="N40" s="81">
        <f>Impuestos3225[[#This Row],[Depreciación Anual]]/12</f>
        <v>1244.5268354555753</v>
      </c>
      <c r="O40" s="83">
        <f ca="1">ROUNDDOWN((TODAY()-Impuestos3225[[#This Row],[Fecha de Activación Ingreso]])/365, 0)</f>
        <v>1</v>
      </c>
      <c r="P40" s="81">
        <f ca="1">MIN(Impuestos3225[[#This Row],[Depreciación Anual]] * Impuestos3225[[#This Row],[Años Transcurridos]], Impuestos3225[[#This Row],[Valor Adquisición (S/)]])</f>
        <v>14934.322025466903</v>
      </c>
      <c r="Q40" s="81">
        <f ca="1">MAX(Impuestos3225[[#This Row],[Valor Adquisición (S/)]]-Impuestos3225[[#This Row],[Depreciación Acumulada]], 0)</f>
        <v>74669.818044533109</v>
      </c>
      <c r="R40" s="81" t="str">
        <f ca="1">IF(Impuestos3225[[#This Row],[Valor Adquisición (S/)]]="","", IF(Impuestos3225[[#This Row],[Valor Neto Actual]]=0,"Veh. Ya no deprecia",""))</f>
        <v/>
      </c>
      <c r="S40" s="81" t="s">
        <v>184</v>
      </c>
      <c r="T40" s="81">
        <f>IFERROR(VLOOKUP(Impuestos3225[[#This Row],[Placa Vehiculo]],$AR$6:$CA$159,26,0),"")</f>
        <v>89604.140070000009</v>
      </c>
      <c r="U40" s="81" t="str">
        <f>IF(Impuestos3225[[#This Row],[Buscar Monto]]=Impuestos3225[[#This Row],[Valor Adquisición (S/)]],"ok","mal")</f>
        <v>ok</v>
      </c>
      <c r="V40" s="81"/>
      <c r="Z40" s="87"/>
      <c r="AR40" s="21" t="str">
        <f t="shared" si="5"/>
        <v>BXI-787</v>
      </c>
      <c r="AS40" s="21">
        <f t="shared" si="6"/>
        <v>2710</v>
      </c>
      <c r="AT40" s="21" t="s">
        <v>184</v>
      </c>
      <c r="AU40" s="98">
        <v>34</v>
      </c>
      <c r="AV40" s="112">
        <v>3341110</v>
      </c>
      <c r="AW40" s="99">
        <v>340139</v>
      </c>
      <c r="AX40" s="100">
        <v>343001000096</v>
      </c>
      <c r="AY40" s="101" t="s">
        <v>653</v>
      </c>
      <c r="AZ40" s="101" t="s">
        <v>697</v>
      </c>
      <c r="BA40" s="101"/>
      <c r="BB40" s="101"/>
      <c r="BC40" s="101"/>
      <c r="BD40" s="101">
        <v>202311004</v>
      </c>
      <c r="BE40" s="101" t="s">
        <v>706</v>
      </c>
      <c r="BF40" s="101"/>
      <c r="BG40" s="103" t="s">
        <v>696</v>
      </c>
      <c r="BH40" s="103" t="s">
        <v>700</v>
      </c>
      <c r="BI40" s="113" t="s">
        <v>707</v>
      </c>
      <c r="BJ40" s="101" t="s">
        <v>708</v>
      </c>
      <c r="BK40" s="104">
        <v>9311090</v>
      </c>
      <c r="BL40" s="104">
        <v>311094002</v>
      </c>
      <c r="BM40" s="104">
        <v>2710</v>
      </c>
      <c r="BN40" s="105">
        <v>45260</v>
      </c>
      <c r="BO40" s="98">
        <v>6</v>
      </c>
      <c r="BP40" s="116">
        <v>16.667000000000002</v>
      </c>
      <c r="BQ40" s="114">
        <v>89604.140070000009</v>
      </c>
      <c r="BR40" s="107"/>
      <c r="BS40" s="114"/>
      <c r="BT40" s="106">
        <v>16178.890000000003</v>
      </c>
      <c r="BU40" s="108">
        <v>1244.53</v>
      </c>
      <c r="BV40" s="108">
        <v>1244.53</v>
      </c>
      <c r="BW40" s="109">
        <v>7467.1799999999994</v>
      </c>
      <c r="BX40" s="110">
        <v>23646.070000000003</v>
      </c>
      <c r="BY40" s="110"/>
      <c r="BZ40" s="110"/>
      <c r="CA40" s="108">
        <v>65958.070070000002</v>
      </c>
    </row>
    <row r="41" spans="3:79" x14ac:dyDescent="0.3">
      <c r="C41" s="40" t="str">
        <f>Impuestos3225[[#This Row],[Familia]]</f>
        <v>Pick Up CI 4x4 Ford</v>
      </c>
      <c r="D41" s="7">
        <f t="shared" si="0"/>
        <v>35</v>
      </c>
      <c r="E41" s="24" t="s">
        <v>187</v>
      </c>
      <c r="F41" s="24" t="s">
        <v>179</v>
      </c>
      <c r="G41" s="25" t="s">
        <v>696</v>
      </c>
      <c r="H41" s="24">
        <v>2710</v>
      </c>
      <c r="I41" s="80">
        <v>45260</v>
      </c>
      <c r="J41" s="8">
        <v>6</v>
      </c>
      <c r="K41" s="10">
        <v>16.667000000000002</v>
      </c>
      <c r="L41" s="81">
        <v>89604.140070000009</v>
      </c>
      <c r="M41" s="82">
        <f>Impuestos3225[[#This Row],[Valor Adquisición (S/)]]*Impuestos3225[[#This Row],[Tasa  % ]]/100</f>
        <v>14934.322025466903</v>
      </c>
      <c r="N41" s="81">
        <f>Impuestos3225[[#This Row],[Depreciación Anual]]/12</f>
        <v>1244.5268354555753</v>
      </c>
      <c r="O41" s="83">
        <f ca="1">ROUNDDOWN((TODAY()-Impuestos3225[[#This Row],[Fecha de Activación Ingreso]])/365, 0)</f>
        <v>1</v>
      </c>
      <c r="P41" s="81">
        <f ca="1">MIN(Impuestos3225[[#This Row],[Depreciación Anual]] * Impuestos3225[[#This Row],[Años Transcurridos]], Impuestos3225[[#This Row],[Valor Adquisición (S/)]])</f>
        <v>14934.322025466903</v>
      </c>
      <c r="Q41" s="81">
        <f ca="1">MAX(Impuestos3225[[#This Row],[Valor Adquisición (S/)]]-Impuestos3225[[#This Row],[Depreciación Acumulada]], 0)</f>
        <v>74669.818044533109</v>
      </c>
      <c r="R41" s="81" t="str">
        <f ca="1">IF(Impuestos3225[[#This Row],[Valor Adquisición (S/)]]="","", IF(Impuestos3225[[#This Row],[Valor Neto Actual]]=0,"Veh. Ya no deprecia",""))</f>
        <v/>
      </c>
      <c r="S41" s="81" t="s">
        <v>184</v>
      </c>
      <c r="T41" s="81">
        <f>IFERROR(VLOOKUP(Impuestos3225[[#This Row],[Placa Vehiculo]],$AR$6:$CA$159,26,0),"")</f>
        <v>89604.140070000009</v>
      </c>
      <c r="U41" s="81" t="str">
        <f>IF(Impuestos3225[[#This Row],[Buscar Monto]]=Impuestos3225[[#This Row],[Valor Adquisición (S/)]],"ok","mal")</f>
        <v>ok</v>
      </c>
      <c r="V41" s="81"/>
      <c r="Z41" s="87"/>
      <c r="AR41" s="21" t="str">
        <f t="shared" si="5"/>
        <v>BXI-879</v>
      </c>
      <c r="AS41" s="21">
        <f t="shared" si="6"/>
        <v>2710</v>
      </c>
      <c r="AT41" s="21" t="s">
        <v>184</v>
      </c>
      <c r="AU41" s="98">
        <v>34</v>
      </c>
      <c r="AV41" s="112">
        <v>3341110</v>
      </c>
      <c r="AW41" s="99">
        <v>340140</v>
      </c>
      <c r="AX41" s="100">
        <v>343001000097</v>
      </c>
      <c r="AY41" s="101" t="s">
        <v>653</v>
      </c>
      <c r="AZ41" s="101" t="s">
        <v>697</v>
      </c>
      <c r="BA41" s="101"/>
      <c r="BB41" s="101"/>
      <c r="BC41" s="101"/>
      <c r="BD41" s="101">
        <v>202311005</v>
      </c>
      <c r="BE41" s="101" t="s">
        <v>709</v>
      </c>
      <c r="BF41" s="101"/>
      <c r="BG41" s="103" t="s">
        <v>696</v>
      </c>
      <c r="BH41" s="103" t="s">
        <v>700</v>
      </c>
      <c r="BI41" s="113" t="s">
        <v>710</v>
      </c>
      <c r="BJ41" s="101" t="s">
        <v>711</v>
      </c>
      <c r="BK41" s="104">
        <v>9311090</v>
      </c>
      <c r="BL41" s="104">
        <v>311094002</v>
      </c>
      <c r="BM41" s="104">
        <v>2710</v>
      </c>
      <c r="BN41" s="105">
        <v>45260</v>
      </c>
      <c r="BO41" s="98">
        <v>6</v>
      </c>
      <c r="BP41" s="116">
        <v>16.667000000000002</v>
      </c>
      <c r="BQ41" s="114">
        <v>89604.140070000009</v>
      </c>
      <c r="BR41" s="107"/>
      <c r="BS41" s="114"/>
      <c r="BT41" s="106">
        <v>16178.890000000003</v>
      </c>
      <c r="BU41" s="108">
        <v>1244.53</v>
      </c>
      <c r="BV41" s="108">
        <v>1244.53</v>
      </c>
      <c r="BW41" s="109">
        <v>7467.1799999999994</v>
      </c>
      <c r="BX41" s="110">
        <v>23646.070000000003</v>
      </c>
      <c r="BY41" s="110"/>
      <c r="BZ41" s="110"/>
      <c r="CA41" s="108">
        <v>65958.070070000002</v>
      </c>
    </row>
    <row r="42" spans="3:79" x14ac:dyDescent="0.3">
      <c r="C42" s="40" t="str">
        <f>Impuestos3225[[#This Row],[Familia]]</f>
        <v>Pick Up CI 4x4 Ford</v>
      </c>
      <c r="D42" s="7">
        <f t="shared" si="0"/>
        <v>36</v>
      </c>
      <c r="E42" s="24" t="s">
        <v>188</v>
      </c>
      <c r="F42" s="24" t="s">
        <v>179</v>
      </c>
      <c r="G42" s="25" t="s">
        <v>696</v>
      </c>
      <c r="H42" s="24">
        <v>2710</v>
      </c>
      <c r="I42" s="80">
        <v>45260</v>
      </c>
      <c r="J42" s="8">
        <v>6</v>
      </c>
      <c r="K42" s="10">
        <v>16.667000000000002</v>
      </c>
      <c r="L42" s="81">
        <v>89604.140070000009</v>
      </c>
      <c r="M42" s="82">
        <f>Impuestos3225[[#This Row],[Valor Adquisición (S/)]]*Impuestos3225[[#This Row],[Tasa  % ]]/100</f>
        <v>14934.322025466903</v>
      </c>
      <c r="N42" s="81">
        <f>Impuestos3225[[#This Row],[Depreciación Anual]]/12</f>
        <v>1244.5268354555753</v>
      </c>
      <c r="O42" s="83">
        <f ca="1">ROUNDDOWN((TODAY()-Impuestos3225[[#This Row],[Fecha de Activación Ingreso]])/365, 0)</f>
        <v>1</v>
      </c>
      <c r="P42" s="81">
        <f ca="1">MIN(Impuestos3225[[#This Row],[Depreciación Anual]] * Impuestos3225[[#This Row],[Años Transcurridos]], Impuestos3225[[#This Row],[Valor Adquisición (S/)]])</f>
        <v>14934.322025466903</v>
      </c>
      <c r="Q42" s="81">
        <f ca="1">MAX(Impuestos3225[[#This Row],[Valor Adquisición (S/)]]-Impuestos3225[[#This Row],[Depreciación Acumulada]], 0)</f>
        <v>74669.818044533109</v>
      </c>
      <c r="R42" s="81" t="str">
        <f ca="1">IF(Impuestos3225[[#This Row],[Valor Adquisición (S/)]]="","", IF(Impuestos3225[[#This Row],[Valor Neto Actual]]=0,"Veh. Ya no deprecia",""))</f>
        <v/>
      </c>
      <c r="S42" s="81" t="s">
        <v>184</v>
      </c>
      <c r="T42" s="81">
        <f>IFERROR(VLOOKUP(Impuestos3225[[#This Row],[Placa Vehiculo]],$AR$6:$CA$159,26,0),"")</f>
        <v>89604.140070000009</v>
      </c>
      <c r="U42" s="81" t="str">
        <f>IF(Impuestos3225[[#This Row],[Buscar Monto]]=Impuestos3225[[#This Row],[Valor Adquisición (S/)]],"ok","mal")</f>
        <v>ok</v>
      </c>
      <c r="V42" s="81"/>
      <c r="Z42" s="87"/>
      <c r="AR42" s="21" t="str">
        <f t="shared" si="5"/>
        <v>BXI-843</v>
      </c>
      <c r="AS42" s="21">
        <f t="shared" si="6"/>
        <v>2710</v>
      </c>
      <c r="AT42" s="21" t="s">
        <v>184</v>
      </c>
      <c r="AU42" s="98">
        <v>34</v>
      </c>
      <c r="AV42" s="112">
        <v>3341110</v>
      </c>
      <c r="AW42" s="99">
        <v>340141</v>
      </c>
      <c r="AX42" s="100">
        <v>343001000098</v>
      </c>
      <c r="AY42" s="101" t="s">
        <v>653</v>
      </c>
      <c r="AZ42" s="101" t="s">
        <v>697</v>
      </c>
      <c r="BA42" s="101"/>
      <c r="BB42" s="101"/>
      <c r="BC42" s="101"/>
      <c r="BD42" s="101">
        <v>202311006</v>
      </c>
      <c r="BE42" s="101" t="s">
        <v>712</v>
      </c>
      <c r="BF42" s="101"/>
      <c r="BG42" s="103" t="s">
        <v>696</v>
      </c>
      <c r="BH42" s="103" t="s">
        <v>700</v>
      </c>
      <c r="BI42" s="113" t="s">
        <v>713</v>
      </c>
      <c r="BJ42" s="101" t="s">
        <v>714</v>
      </c>
      <c r="BK42" s="104">
        <v>9311090</v>
      </c>
      <c r="BL42" s="104">
        <v>311094002</v>
      </c>
      <c r="BM42" s="104">
        <v>2710</v>
      </c>
      <c r="BN42" s="105">
        <v>45260</v>
      </c>
      <c r="BO42" s="98">
        <v>6</v>
      </c>
      <c r="BP42" s="116">
        <v>16.667000000000002</v>
      </c>
      <c r="BQ42" s="114">
        <v>89604.140070000009</v>
      </c>
      <c r="BR42" s="107"/>
      <c r="BS42" s="114"/>
      <c r="BT42" s="106">
        <v>16178.890000000003</v>
      </c>
      <c r="BU42" s="108">
        <v>1244.53</v>
      </c>
      <c r="BV42" s="108">
        <v>1244.53</v>
      </c>
      <c r="BW42" s="109">
        <v>7467.1799999999994</v>
      </c>
      <c r="BX42" s="110">
        <v>23646.070000000003</v>
      </c>
      <c r="BY42" s="110"/>
      <c r="BZ42" s="110"/>
      <c r="CA42" s="108">
        <v>65958.070070000002</v>
      </c>
    </row>
    <row r="43" spans="3:79" x14ac:dyDescent="0.3">
      <c r="C43" s="40" t="str">
        <f>Impuestos3225[[#This Row],[Familia]]</f>
        <v>Pick Up CI 4x4 Ford</v>
      </c>
      <c r="D43" s="7">
        <f t="shared" si="0"/>
        <v>37</v>
      </c>
      <c r="E43" s="24" t="s">
        <v>189</v>
      </c>
      <c r="F43" s="24" t="s">
        <v>179</v>
      </c>
      <c r="G43" s="25" t="s">
        <v>696</v>
      </c>
      <c r="H43" s="24">
        <v>2710</v>
      </c>
      <c r="I43" s="80">
        <v>45260</v>
      </c>
      <c r="J43" s="8">
        <v>6</v>
      </c>
      <c r="K43" s="10">
        <v>16.667000000000002</v>
      </c>
      <c r="L43" s="81">
        <v>89604.140070000009</v>
      </c>
      <c r="M43" s="82">
        <f>Impuestos3225[[#This Row],[Valor Adquisición (S/)]]*Impuestos3225[[#This Row],[Tasa  % ]]/100</f>
        <v>14934.322025466903</v>
      </c>
      <c r="N43" s="81">
        <f>Impuestos3225[[#This Row],[Depreciación Anual]]/12</f>
        <v>1244.5268354555753</v>
      </c>
      <c r="O43" s="83">
        <f ca="1">ROUNDDOWN((TODAY()-Impuestos3225[[#This Row],[Fecha de Activación Ingreso]])/365, 0)</f>
        <v>1</v>
      </c>
      <c r="P43" s="81">
        <f ca="1">MIN(Impuestos3225[[#This Row],[Depreciación Anual]] * Impuestos3225[[#This Row],[Años Transcurridos]], Impuestos3225[[#This Row],[Valor Adquisición (S/)]])</f>
        <v>14934.322025466903</v>
      </c>
      <c r="Q43" s="81">
        <f ca="1">MAX(Impuestos3225[[#This Row],[Valor Adquisición (S/)]]-Impuestos3225[[#This Row],[Depreciación Acumulada]], 0)</f>
        <v>74669.818044533109</v>
      </c>
      <c r="R43" s="81" t="str">
        <f ca="1">IF(Impuestos3225[[#This Row],[Valor Adquisición (S/)]]="","", IF(Impuestos3225[[#This Row],[Valor Neto Actual]]=0,"Veh. Ya no deprecia",""))</f>
        <v/>
      </c>
      <c r="S43" s="81" t="s">
        <v>184</v>
      </c>
      <c r="T43" s="81">
        <f>IFERROR(VLOOKUP(Impuestos3225[[#This Row],[Placa Vehiculo]],$AR$6:$CA$159,26,0),"")</f>
        <v>89604.140070000009</v>
      </c>
      <c r="U43" s="81" t="str">
        <f>IF(Impuestos3225[[#This Row],[Buscar Monto]]=Impuestos3225[[#This Row],[Valor Adquisición (S/)]],"ok","mal")</f>
        <v>ok</v>
      </c>
      <c r="V43" s="81"/>
      <c r="Z43" s="87"/>
      <c r="AR43" s="21" t="str">
        <f t="shared" si="5"/>
        <v>BXI-899</v>
      </c>
      <c r="AS43" s="21">
        <f t="shared" si="6"/>
        <v>2710</v>
      </c>
      <c r="AT43" s="21" t="s">
        <v>184</v>
      </c>
      <c r="AU43" s="98">
        <v>34</v>
      </c>
      <c r="AV43" s="112">
        <v>3341110</v>
      </c>
      <c r="AW43" s="99">
        <v>340142</v>
      </c>
      <c r="AX43" s="100">
        <v>343001000099</v>
      </c>
      <c r="AY43" s="101" t="s">
        <v>653</v>
      </c>
      <c r="AZ43" s="101" t="s">
        <v>697</v>
      </c>
      <c r="BA43" s="101"/>
      <c r="BB43" s="101"/>
      <c r="BC43" s="101"/>
      <c r="BD43" s="101">
        <v>202311001</v>
      </c>
      <c r="BE43" s="101" t="s">
        <v>715</v>
      </c>
      <c r="BF43" s="101"/>
      <c r="BG43" s="103" t="s">
        <v>696</v>
      </c>
      <c r="BH43" s="103" t="s">
        <v>700</v>
      </c>
      <c r="BI43" s="113" t="s">
        <v>716</v>
      </c>
      <c r="BJ43" s="101" t="s">
        <v>717</v>
      </c>
      <c r="BK43" s="104">
        <v>9311090</v>
      </c>
      <c r="BL43" s="104">
        <v>311094002</v>
      </c>
      <c r="BM43" s="104">
        <v>2710</v>
      </c>
      <c r="BN43" s="105">
        <v>45260</v>
      </c>
      <c r="BO43" s="98">
        <v>6</v>
      </c>
      <c r="BP43" s="116">
        <v>16.667000000000002</v>
      </c>
      <c r="BQ43" s="114">
        <v>89604.140070000009</v>
      </c>
      <c r="BR43" s="107"/>
      <c r="BS43" s="114"/>
      <c r="BT43" s="106">
        <v>16178.890000000003</v>
      </c>
      <c r="BU43" s="108">
        <v>1244.53</v>
      </c>
      <c r="BV43" s="108">
        <v>1244.53</v>
      </c>
      <c r="BW43" s="109">
        <v>7467.1799999999994</v>
      </c>
      <c r="BX43" s="110">
        <v>23646.070000000003</v>
      </c>
      <c r="BY43" s="110"/>
      <c r="BZ43" s="110"/>
      <c r="CA43" s="108">
        <v>65958.070070000002</v>
      </c>
    </row>
    <row r="44" spans="3:79" x14ac:dyDescent="0.3">
      <c r="C44" s="40" t="str">
        <f>Impuestos3225[[#This Row],[Familia]]</f>
        <v>Pick Up CI 4x4 Ford</v>
      </c>
      <c r="D44" s="7">
        <f t="shared" si="0"/>
        <v>38</v>
      </c>
      <c r="E44" s="24" t="s">
        <v>190</v>
      </c>
      <c r="F44" s="24" t="s">
        <v>179</v>
      </c>
      <c r="G44" s="25" t="s">
        <v>696</v>
      </c>
      <c r="H44" s="24">
        <v>2710</v>
      </c>
      <c r="I44" s="80">
        <v>45260</v>
      </c>
      <c r="J44" s="8">
        <v>6</v>
      </c>
      <c r="K44" s="10">
        <v>16.667000000000002</v>
      </c>
      <c r="L44" s="81">
        <v>89604.140070000009</v>
      </c>
      <c r="M44" s="82">
        <f>Impuestos3225[[#This Row],[Valor Adquisición (S/)]]*Impuestos3225[[#This Row],[Tasa  % ]]/100</f>
        <v>14934.322025466903</v>
      </c>
      <c r="N44" s="81">
        <f>Impuestos3225[[#This Row],[Depreciación Anual]]/12</f>
        <v>1244.5268354555753</v>
      </c>
      <c r="O44" s="83">
        <f ca="1">ROUNDDOWN((TODAY()-Impuestos3225[[#This Row],[Fecha de Activación Ingreso]])/365, 0)</f>
        <v>1</v>
      </c>
      <c r="P44" s="81">
        <f ca="1">MIN(Impuestos3225[[#This Row],[Depreciación Anual]] * Impuestos3225[[#This Row],[Años Transcurridos]], Impuestos3225[[#This Row],[Valor Adquisición (S/)]])</f>
        <v>14934.322025466903</v>
      </c>
      <c r="Q44" s="81">
        <f ca="1">MAX(Impuestos3225[[#This Row],[Valor Adquisición (S/)]]-Impuestos3225[[#This Row],[Depreciación Acumulada]], 0)</f>
        <v>74669.818044533109</v>
      </c>
      <c r="R44" s="81" t="str">
        <f ca="1">IF(Impuestos3225[[#This Row],[Valor Adquisición (S/)]]="","", IF(Impuestos3225[[#This Row],[Valor Neto Actual]]=0,"Veh. Ya no deprecia",""))</f>
        <v/>
      </c>
      <c r="S44" s="81" t="s">
        <v>184</v>
      </c>
      <c r="T44" s="81">
        <f>IFERROR(VLOOKUP(Impuestos3225[[#This Row],[Placa Vehiculo]],$AR$6:$CA$159,26,0),"")</f>
        <v>89604.140070000009</v>
      </c>
      <c r="U44" s="81" t="str">
        <f>IF(Impuestos3225[[#This Row],[Buscar Monto]]=Impuestos3225[[#This Row],[Valor Adquisición (S/)]],"ok","mal")</f>
        <v>ok</v>
      </c>
      <c r="V44" s="81"/>
      <c r="Z44" s="87"/>
      <c r="AR44" s="21" t="str">
        <f t="shared" si="5"/>
        <v>BXI-865</v>
      </c>
      <c r="AS44" s="21">
        <f t="shared" si="6"/>
        <v>2710</v>
      </c>
      <c r="AT44" s="21" t="s">
        <v>184</v>
      </c>
      <c r="AU44" s="98">
        <v>34</v>
      </c>
      <c r="AV44" s="112">
        <v>3341110</v>
      </c>
      <c r="AW44" s="99">
        <v>340143</v>
      </c>
      <c r="AX44" s="100">
        <v>343001000100</v>
      </c>
      <c r="AY44" s="101" t="s">
        <v>653</v>
      </c>
      <c r="AZ44" s="101" t="s">
        <v>697</v>
      </c>
      <c r="BA44" s="101"/>
      <c r="BB44" s="101"/>
      <c r="BC44" s="101"/>
      <c r="BD44" s="101">
        <v>202311007</v>
      </c>
      <c r="BE44" s="101" t="s">
        <v>718</v>
      </c>
      <c r="BF44" s="101"/>
      <c r="BG44" s="103" t="s">
        <v>696</v>
      </c>
      <c r="BH44" s="103" t="s">
        <v>700</v>
      </c>
      <c r="BI44" s="113" t="s">
        <v>719</v>
      </c>
      <c r="BJ44" s="101" t="s">
        <v>720</v>
      </c>
      <c r="BK44" s="104">
        <v>9311090</v>
      </c>
      <c r="BL44" s="104">
        <v>311094002</v>
      </c>
      <c r="BM44" s="104">
        <v>2710</v>
      </c>
      <c r="BN44" s="105">
        <v>45260</v>
      </c>
      <c r="BO44" s="98">
        <v>6</v>
      </c>
      <c r="BP44" s="116">
        <v>16.667000000000002</v>
      </c>
      <c r="BQ44" s="114">
        <v>89604.140070000009</v>
      </c>
      <c r="BR44" s="107"/>
      <c r="BS44" s="114"/>
      <c r="BT44" s="106">
        <v>16178.890000000003</v>
      </c>
      <c r="BU44" s="108">
        <v>1244.53</v>
      </c>
      <c r="BV44" s="108">
        <v>1244.53</v>
      </c>
      <c r="BW44" s="109">
        <v>7467.1799999999994</v>
      </c>
      <c r="BX44" s="110">
        <v>23646.070000000003</v>
      </c>
      <c r="BY44" s="110"/>
      <c r="BZ44" s="110"/>
      <c r="CA44" s="108">
        <v>65958.070070000002</v>
      </c>
    </row>
    <row r="45" spans="3:79" x14ac:dyDescent="0.3">
      <c r="C45" s="40" t="str">
        <f>Impuestos3225[[#This Row],[Familia]]</f>
        <v>Pick Up CI 4x4 Ford</v>
      </c>
      <c r="D45" s="7">
        <f t="shared" si="0"/>
        <v>39</v>
      </c>
      <c r="E45" s="24" t="s">
        <v>191</v>
      </c>
      <c r="F45" s="24" t="s">
        <v>179</v>
      </c>
      <c r="G45" s="25" t="s">
        <v>696</v>
      </c>
      <c r="H45" s="24">
        <v>2710</v>
      </c>
      <c r="I45" s="80">
        <v>45260</v>
      </c>
      <c r="J45" s="8">
        <v>6</v>
      </c>
      <c r="K45" s="10">
        <v>16.667000000000002</v>
      </c>
      <c r="L45" s="81">
        <v>89604.140070000009</v>
      </c>
      <c r="M45" s="82">
        <f>Impuestos3225[[#This Row],[Valor Adquisición (S/)]]*Impuestos3225[[#This Row],[Tasa  % ]]/100</f>
        <v>14934.322025466903</v>
      </c>
      <c r="N45" s="81">
        <f>Impuestos3225[[#This Row],[Depreciación Anual]]/12</f>
        <v>1244.5268354555753</v>
      </c>
      <c r="O45" s="83">
        <f ca="1">ROUNDDOWN((TODAY()-Impuestos3225[[#This Row],[Fecha de Activación Ingreso]])/365, 0)</f>
        <v>1</v>
      </c>
      <c r="P45" s="81">
        <f ca="1">MIN(Impuestos3225[[#This Row],[Depreciación Anual]] * Impuestos3225[[#This Row],[Años Transcurridos]], Impuestos3225[[#This Row],[Valor Adquisición (S/)]])</f>
        <v>14934.322025466903</v>
      </c>
      <c r="Q45" s="81">
        <f ca="1">MAX(Impuestos3225[[#This Row],[Valor Adquisición (S/)]]-Impuestos3225[[#This Row],[Depreciación Acumulada]], 0)</f>
        <v>74669.818044533109</v>
      </c>
      <c r="R45" s="81" t="str">
        <f ca="1">IF(Impuestos3225[[#This Row],[Valor Adquisición (S/)]]="","", IF(Impuestos3225[[#This Row],[Valor Neto Actual]]=0,"Veh. Ya no deprecia",""))</f>
        <v/>
      </c>
      <c r="S45" s="81" t="s">
        <v>184</v>
      </c>
      <c r="T45" s="81">
        <f>IFERROR(VLOOKUP(Impuestos3225[[#This Row],[Placa Vehiculo]],$AR$6:$CA$159,26,0),"")</f>
        <v>89604.140070000009</v>
      </c>
      <c r="U45" s="81" t="str">
        <f>IF(Impuestos3225[[#This Row],[Buscar Monto]]=Impuestos3225[[#This Row],[Valor Adquisición (S/)]],"ok","mal")</f>
        <v>ok</v>
      </c>
      <c r="V45" s="81"/>
      <c r="Z45" s="87"/>
      <c r="AR45" s="21" t="str">
        <f t="shared" si="5"/>
        <v>BXI-831</v>
      </c>
      <c r="AS45" s="21">
        <f t="shared" si="6"/>
        <v>2710</v>
      </c>
      <c r="AT45" s="21" t="s">
        <v>184</v>
      </c>
      <c r="AU45" s="98">
        <v>34</v>
      </c>
      <c r="AV45" s="112">
        <v>3341110</v>
      </c>
      <c r="AW45" s="99">
        <v>340144</v>
      </c>
      <c r="AX45" s="100">
        <v>343001000101</v>
      </c>
      <c r="AY45" s="101" t="s">
        <v>653</v>
      </c>
      <c r="AZ45" s="101" t="s">
        <v>697</v>
      </c>
      <c r="BA45" s="101"/>
      <c r="BB45" s="101"/>
      <c r="BC45" s="101"/>
      <c r="BD45" s="101">
        <v>202311008</v>
      </c>
      <c r="BE45" s="101" t="s">
        <v>721</v>
      </c>
      <c r="BF45" s="101"/>
      <c r="BG45" s="103" t="s">
        <v>696</v>
      </c>
      <c r="BH45" s="103" t="s">
        <v>700</v>
      </c>
      <c r="BI45" s="113" t="s">
        <v>722</v>
      </c>
      <c r="BJ45" s="101" t="s">
        <v>723</v>
      </c>
      <c r="BK45" s="104">
        <v>9311090</v>
      </c>
      <c r="BL45" s="104">
        <v>311094002</v>
      </c>
      <c r="BM45" s="104">
        <v>2710</v>
      </c>
      <c r="BN45" s="105">
        <v>45260</v>
      </c>
      <c r="BO45" s="98">
        <v>6</v>
      </c>
      <c r="BP45" s="116">
        <v>16.667000000000002</v>
      </c>
      <c r="BQ45" s="114">
        <v>89604.140070000009</v>
      </c>
      <c r="BR45" s="107"/>
      <c r="BS45" s="114"/>
      <c r="BT45" s="106">
        <v>16178.890000000003</v>
      </c>
      <c r="BU45" s="108">
        <v>1244.53</v>
      </c>
      <c r="BV45" s="108">
        <v>1244.53</v>
      </c>
      <c r="BW45" s="109">
        <v>7467.1799999999994</v>
      </c>
      <c r="BX45" s="110">
        <v>23646.070000000003</v>
      </c>
      <c r="BY45" s="110"/>
      <c r="BZ45" s="110"/>
      <c r="CA45" s="108">
        <v>65958.070070000002</v>
      </c>
    </row>
    <row r="46" spans="3:79" x14ac:dyDescent="0.3">
      <c r="C46" s="40" t="str">
        <f>Impuestos3225[[#This Row],[Familia]]</f>
        <v>Pick Up CI 4x4 Ford</v>
      </c>
      <c r="D46" s="7">
        <f t="shared" si="0"/>
        <v>40</v>
      </c>
      <c r="E46" s="24" t="s">
        <v>192</v>
      </c>
      <c r="F46" s="24" t="s">
        <v>179</v>
      </c>
      <c r="G46" s="25" t="s">
        <v>696</v>
      </c>
      <c r="H46" s="24">
        <v>2710</v>
      </c>
      <c r="I46" s="80">
        <v>45260</v>
      </c>
      <c r="J46" s="8">
        <v>6</v>
      </c>
      <c r="K46" s="10">
        <v>16.667000000000002</v>
      </c>
      <c r="L46" s="81">
        <v>89604.140070000009</v>
      </c>
      <c r="M46" s="82">
        <f>Impuestos3225[[#This Row],[Valor Adquisición (S/)]]*Impuestos3225[[#This Row],[Tasa  % ]]/100</f>
        <v>14934.322025466903</v>
      </c>
      <c r="N46" s="81">
        <f>Impuestos3225[[#This Row],[Depreciación Anual]]/12</f>
        <v>1244.5268354555753</v>
      </c>
      <c r="O46" s="83">
        <f ca="1">ROUNDDOWN((TODAY()-Impuestos3225[[#This Row],[Fecha de Activación Ingreso]])/365, 0)</f>
        <v>1</v>
      </c>
      <c r="P46" s="81">
        <f ca="1">MIN(Impuestos3225[[#This Row],[Depreciación Anual]] * Impuestos3225[[#This Row],[Años Transcurridos]], Impuestos3225[[#This Row],[Valor Adquisición (S/)]])</f>
        <v>14934.322025466903</v>
      </c>
      <c r="Q46" s="81">
        <f ca="1">MAX(Impuestos3225[[#This Row],[Valor Adquisición (S/)]]-Impuestos3225[[#This Row],[Depreciación Acumulada]], 0)</f>
        <v>74669.818044533109</v>
      </c>
      <c r="R46" s="81" t="str">
        <f ca="1">IF(Impuestos3225[[#This Row],[Valor Adquisición (S/)]]="","", IF(Impuestos3225[[#This Row],[Valor Neto Actual]]=0,"Veh. Ya no deprecia",""))</f>
        <v/>
      </c>
      <c r="S46" s="81" t="s">
        <v>184</v>
      </c>
      <c r="T46" s="81">
        <f>IFERROR(VLOOKUP(Impuestos3225[[#This Row],[Placa Vehiculo]],$AR$6:$CA$159,26,0),"")</f>
        <v>89604.140070000009</v>
      </c>
      <c r="U46" s="81" t="str">
        <f>IF(Impuestos3225[[#This Row],[Buscar Monto]]=Impuestos3225[[#This Row],[Valor Adquisición (S/)]],"ok","mal")</f>
        <v>ok</v>
      </c>
      <c r="V46" s="81"/>
      <c r="Z46" s="87"/>
      <c r="AR46" s="21" t="str">
        <f t="shared" si="5"/>
        <v>BXI-803</v>
      </c>
      <c r="AS46" s="21">
        <f t="shared" si="6"/>
        <v>2710</v>
      </c>
      <c r="AT46" s="21" t="s">
        <v>184</v>
      </c>
      <c r="AU46" s="98">
        <v>34</v>
      </c>
      <c r="AV46" s="112">
        <v>3341110</v>
      </c>
      <c r="AW46" s="99">
        <v>340145</v>
      </c>
      <c r="AX46" s="100">
        <v>343001000102</v>
      </c>
      <c r="AY46" s="101" t="s">
        <v>653</v>
      </c>
      <c r="AZ46" s="101" t="s">
        <v>697</v>
      </c>
      <c r="BA46" s="101"/>
      <c r="BB46" s="101"/>
      <c r="BC46" s="101"/>
      <c r="BD46" s="101">
        <v>202311009</v>
      </c>
      <c r="BE46" s="101" t="s">
        <v>724</v>
      </c>
      <c r="BF46" s="101"/>
      <c r="BG46" s="103" t="s">
        <v>696</v>
      </c>
      <c r="BH46" s="103" t="s">
        <v>700</v>
      </c>
      <c r="BI46" s="113" t="s">
        <v>725</v>
      </c>
      <c r="BJ46" s="101" t="s">
        <v>726</v>
      </c>
      <c r="BK46" s="104">
        <v>9311090</v>
      </c>
      <c r="BL46" s="104">
        <v>311094002</v>
      </c>
      <c r="BM46" s="104">
        <v>2710</v>
      </c>
      <c r="BN46" s="105">
        <v>45260</v>
      </c>
      <c r="BO46" s="98">
        <v>6</v>
      </c>
      <c r="BP46" s="116">
        <v>16.667000000000002</v>
      </c>
      <c r="BQ46" s="114">
        <v>89604.140070000009</v>
      </c>
      <c r="BR46" s="107"/>
      <c r="BS46" s="114"/>
      <c r="BT46" s="106">
        <v>16178.890000000003</v>
      </c>
      <c r="BU46" s="108">
        <v>1244.53</v>
      </c>
      <c r="BV46" s="108">
        <v>1244.53</v>
      </c>
      <c r="BW46" s="109">
        <v>7467.1799999999994</v>
      </c>
      <c r="BX46" s="110">
        <v>23646.070000000003</v>
      </c>
      <c r="BY46" s="110"/>
      <c r="BZ46" s="110"/>
      <c r="CA46" s="108">
        <v>65958.070070000002</v>
      </c>
    </row>
    <row r="47" spans="3:79" x14ac:dyDescent="0.3">
      <c r="C47" s="40" t="str">
        <f>Impuestos3225[[#This Row],[Familia]]</f>
        <v>Pick Up CI 4x4 Ford</v>
      </c>
      <c r="D47" s="7">
        <f t="shared" si="0"/>
        <v>41</v>
      </c>
      <c r="E47" s="24" t="s">
        <v>193</v>
      </c>
      <c r="F47" s="24" t="s">
        <v>179</v>
      </c>
      <c r="G47" s="25" t="s">
        <v>696</v>
      </c>
      <c r="H47" s="24">
        <v>2710</v>
      </c>
      <c r="I47" s="80">
        <v>45260</v>
      </c>
      <c r="J47" s="8">
        <v>6</v>
      </c>
      <c r="K47" s="10">
        <v>16.667000000000002</v>
      </c>
      <c r="L47" s="81">
        <v>89604.140070000009</v>
      </c>
      <c r="M47" s="82">
        <f>Impuestos3225[[#This Row],[Valor Adquisición (S/)]]*Impuestos3225[[#This Row],[Tasa  % ]]/100</f>
        <v>14934.322025466903</v>
      </c>
      <c r="N47" s="81">
        <f>Impuestos3225[[#This Row],[Depreciación Anual]]/12</f>
        <v>1244.5268354555753</v>
      </c>
      <c r="O47" s="83">
        <f ca="1">ROUNDDOWN((TODAY()-Impuestos3225[[#This Row],[Fecha de Activación Ingreso]])/365, 0)</f>
        <v>1</v>
      </c>
      <c r="P47" s="81">
        <f ca="1">MIN(Impuestos3225[[#This Row],[Depreciación Anual]] * Impuestos3225[[#This Row],[Años Transcurridos]], Impuestos3225[[#This Row],[Valor Adquisición (S/)]])</f>
        <v>14934.322025466903</v>
      </c>
      <c r="Q47" s="81">
        <f ca="1">MAX(Impuestos3225[[#This Row],[Valor Adquisición (S/)]]-Impuestos3225[[#This Row],[Depreciación Acumulada]], 0)</f>
        <v>74669.818044533109</v>
      </c>
      <c r="R47" s="81" t="str">
        <f ca="1">IF(Impuestos3225[[#This Row],[Valor Adquisición (S/)]]="","", IF(Impuestos3225[[#This Row],[Valor Neto Actual]]=0,"Veh. Ya no deprecia",""))</f>
        <v/>
      </c>
      <c r="S47" s="81" t="s">
        <v>184</v>
      </c>
      <c r="T47" s="81">
        <f>IFERROR(VLOOKUP(Impuestos3225[[#This Row],[Placa Vehiculo]],$AR$6:$CA$159,26,0),"")</f>
        <v>89604.140070000009</v>
      </c>
      <c r="U47" s="81" t="str">
        <f>IF(Impuestos3225[[#This Row],[Buscar Monto]]=Impuestos3225[[#This Row],[Valor Adquisición (S/)]],"ok","mal")</f>
        <v>ok</v>
      </c>
      <c r="V47" s="81"/>
      <c r="Z47" s="87"/>
      <c r="AR47" s="21" t="str">
        <f t="shared" si="5"/>
        <v>BXI-802</v>
      </c>
      <c r="AS47" s="21">
        <f t="shared" si="6"/>
        <v>2710</v>
      </c>
      <c r="AT47" s="21" t="s">
        <v>184</v>
      </c>
      <c r="AU47" s="98">
        <v>34</v>
      </c>
      <c r="AV47" s="112">
        <v>3341110</v>
      </c>
      <c r="AW47" s="99">
        <v>340146</v>
      </c>
      <c r="AX47" s="100">
        <v>343001000103</v>
      </c>
      <c r="AY47" s="101" t="s">
        <v>653</v>
      </c>
      <c r="AZ47" s="101" t="s">
        <v>697</v>
      </c>
      <c r="BA47" s="101"/>
      <c r="BB47" s="101"/>
      <c r="BC47" s="101"/>
      <c r="BD47" s="101">
        <v>202311010</v>
      </c>
      <c r="BE47" s="101" t="s">
        <v>727</v>
      </c>
      <c r="BF47" s="101"/>
      <c r="BG47" s="103" t="s">
        <v>696</v>
      </c>
      <c r="BH47" s="103" t="s">
        <v>700</v>
      </c>
      <c r="BI47" s="113" t="s">
        <v>728</v>
      </c>
      <c r="BJ47" s="101" t="s">
        <v>729</v>
      </c>
      <c r="BK47" s="104">
        <v>9311090</v>
      </c>
      <c r="BL47" s="104">
        <v>311094002</v>
      </c>
      <c r="BM47" s="104">
        <v>2710</v>
      </c>
      <c r="BN47" s="105">
        <v>45260</v>
      </c>
      <c r="BO47" s="98">
        <v>6</v>
      </c>
      <c r="BP47" s="116">
        <v>16.667000000000002</v>
      </c>
      <c r="BQ47" s="114">
        <v>89604.140070000009</v>
      </c>
      <c r="BR47" s="107"/>
      <c r="BS47" s="114"/>
      <c r="BT47" s="106">
        <v>16178.890000000003</v>
      </c>
      <c r="BU47" s="108">
        <v>1244.53</v>
      </c>
      <c r="BV47" s="108">
        <v>1244.53</v>
      </c>
      <c r="BW47" s="109">
        <v>7467.1799999999994</v>
      </c>
      <c r="BX47" s="110">
        <v>23646.070000000003</v>
      </c>
      <c r="BY47" s="110"/>
      <c r="BZ47" s="110"/>
      <c r="CA47" s="108">
        <v>65958.070070000002</v>
      </c>
    </row>
    <row r="48" spans="3:79" x14ac:dyDescent="0.3">
      <c r="C48" s="40" t="str">
        <f>Impuestos3225[[#This Row],[Familia]]</f>
        <v>Pick Up CI 4x4 Ford</v>
      </c>
      <c r="D48" s="7">
        <f t="shared" si="0"/>
        <v>42</v>
      </c>
      <c r="E48" s="24" t="s">
        <v>194</v>
      </c>
      <c r="F48" s="24" t="s">
        <v>179</v>
      </c>
      <c r="G48" s="25" t="s">
        <v>696</v>
      </c>
      <c r="H48" s="24">
        <v>2710</v>
      </c>
      <c r="I48" s="80">
        <v>45260</v>
      </c>
      <c r="J48" s="8">
        <v>6</v>
      </c>
      <c r="K48" s="10">
        <v>16.667000000000002</v>
      </c>
      <c r="L48" s="81">
        <v>89604.140070000009</v>
      </c>
      <c r="M48" s="82">
        <f>Impuestos3225[[#This Row],[Valor Adquisición (S/)]]*Impuestos3225[[#This Row],[Tasa  % ]]/100</f>
        <v>14934.322025466903</v>
      </c>
      <c r="N48" s="81">
        <f>Impuestos3225[[#This Row],[Depreciación Anual]]/12</f>
        <v>1244.5268354555753</v>
      </c>
      <c r="O48" s="83">
        <f ca="1">ROUNDDOWN((TODAY()-Impuestos3225[[#This Row],[Fecha de Activación Ingreso]])/365, 0)</f>
        <v>1</v>
      </c>
      <c r="P48" s="81">
        <f ca="1">MIN(Impuestos3225[[#This Row],[Depreciación Anual]] * Impuestos3225[[#This Row],[Años Transcurridos]], Impuestos3225[[#This Row],[Valor Adquisición (S/)]])</f>
        <v>14934.322025466903</v>
      </c>
      <c r="Q48" s="81">
        <f ca="1">MAX(Impuestos3225[[#This Row],[Valor Adquisición (S/)]]-Impuestos3225[[#This Row],[Depreciación Acumulada]], 0)</f>
        <v>74669.818044533109</v>
      </c>
      <c r="R48" s="81" t="str">
        <f ca="1">IF(Impuestos3225[[#This Row],[Valor Adquisición (S/)]]="","", IF(Impuestos3225[[#This Row],[Valor Neto Actual]]=0,"Veh. Ya no deprecia",""))</f>
        <v/>
      </c>
      <c r="S48" s="81" t="s">
        <v>184</v>
      </c>
      <c r="T48" s="81">
        <f>IFERROR(VLOOKUP(Impuestos3225[[#This Row],[Placa Vehiculo]],$AR$6:$CA$159,26,0),"")</f>
        <v>89604.140070000009</v>
      </c>
      <c r="U48" s="81" t="str">
        <f>IF(Impuestos3225[[#This Row],[Buscar Monto]]=Impuestos3225[[#This Row],[Valor Adquisición (S/)]],"ok","mal")</f>
        <v>ok</v>
      </c>
      <c r="V48" s="81"/>
      <c r="Z48" s="87"/>
      <c r="AR48" s="21" t="str">
        <f t="shared" si="5"/>
        <v>BXI-830</v>
      </c>
      <c r="AS48" s="21">
        <f t="shared" si="6"/>
        <v>2710</v>
      </c>
      <c r="AT48" s="21" t="s">
        <v>184</v>
      </c>
      <c r="AU48" s="98">
        <v>34</v>
      </c>
      <c r="AV48" s="112">
        <v>3341110</v>
      </c>
      <c r="AW48" s="99">
        <v>340147</v>
      </c>
      <c r="AX48" s="100">
        <v>343001000104</v>
      </c>
      <c r="AY48" s="101" t="s">
        <v>653</v>
      </c>
      <c r="AZ48" s="101" t="s">
        <v>697</v>
      </c>
      <c r="BA48" s="101"/>
      <c r="BB48" s="101"/>
      <c r="BC48" s="101"/>
      <c r="BD48" s="101">
        <v>202311011</v>
      </c>
      <c r="BE48" s="101" t="s">
        <v>730</v>
      </c>
      <c r="BF48" s="101"/>
      <c r="BG48" s="103" t="s">
        <v>696</v>
      </c>
      <c r="BH48" s="103" t="s">
        <v>700</v>
      </c>
      <c r="BI48" s="113" t="s">
        <v>731</v>
      </c>
      <c r="BJ48" s="101" t="s">
        <v>732</v>
      </c>
      <c r="BK48" s="104">
        <v>9311090</v>
      </c>
      <c r="BL48" s="104">
        <v>311094002</v>
      </c>
      <c r="BM48" s="104">
        <v>2710</v>
      </c>
      <c r="BN48" s="105">
        <v>45260</v>
      </c>
      <c r="BO48" s="98">
        <v>6</v>
      </c>
      <c r="BP48" s="116">
        <v>16.667000000000002</v>
      </c>
      <c r="BQ48" s="114">
        <v>89604.140070000009</v>
      </c>
      <c r="BR48" s="107"/>
      <c r="BS48" s="114"/>
      <c r="BT48" s="106">
        <v>16178.890000000003</v>
      </c>
      <c r="BU48" s="108">
        <v>1244.53</v>
      </c>
      <c r="BV48" s="108">
        <v>1244.53</v>
      </c>
      <c r="BW48" s="109">
        <v>7467.1799999999994</v>
      </c>
      <c r="BX48" s="110">
        <v>23646.070000000003</v>
      </c>
      <c r="BY48" s="110"/>
      <c r="BZ48" s="110"/>
      <c r="CA48" s="108">
        <v>65958.070070000002</v>
      </c>
    </row>
    <row r="49" spans="3:79" x14ac:dyDescent="0.3">
      <c r="C49" s="40" t="str">
        <f>Impuestos3225[[#This Row],[Familia]]</f>
        <v>Pick Up CI 4x4 Ford</v>
      </c>
      <c r="D49" s="7">
        <f t="shared" si="0"/>
        <v>43</v>
      </c>
      <c r="E49" s="24" t="s">
        <v>195</v>
      </c>
      <c r="F49" s="24" t="s">
        <v>179</v>
      </c>
      <c r="G49" s="25" t="s">
        <v>696</v>
      </c>
      <c r="H49" s="24">
        <v>2710</v>
      </c>
      <c r="I49" s="80">
        <v>45260</v>
      </c>
      <c r="J49" s="8">
        <v>6</v>
      </c>
      <c r="K49" s="10">
        <v>16.667000000000002</v>
      </c>
      <c r="L49" s="81">
        <v>89604.140070000009</v>
      </c>
      <c r="M49" s="82">
        <f>Impuestos3225[[#This Row],[Valor Adquisición (S/)]]*Impuestos3225[[#This Row],[Tasa  % ]]/100</f>
        <v>14934.322025466903</v>
      </c>
      <c r="N49" s="81">
        <f>Impuestos3225[[#This Row],[Depreciación Anual]]/12</f>
        <v>1244.5268354555753</v>
      </c>
      <c r="O49" s="83">
        <f ca="1">ROUNDDOWN((TODAY()-Impuestos3225[[#This Row],[Fecha de Activación Ingreso]])/365, 0)</f>
        <v>1</v>
      </c>
      <c r="P49" s="81">
        <f ca="1">MIN(Impuestos3225[[#This Row],[Depreciación Anual]] * Impuestos3225[[#This Row],[Años Transcurridos]], Impuestos3225[[#This Row],[Valor Adquisición (S/)]])</f>
        <v>14934.322025466903</v>
      </c>
      <c r="Q49" s="81">
        <f ca="1">MAX(Impuestos3225[[#This Row],[Valor Adquisición (S/)]]-Impuestos3225[[#This Row],[Depreciación Acumulada]], 0)</f>
        <v>74669.818044533109</v>
      </c>
      <c r="R49" s="81" t="str">
        <f ca="1">IF(Impuestos3225[[#This Row],[Valor Adquisición (S/)]]="","", IF(Impuestos3225[[#This Row],[Valor Neto Actual]]=0,"Veh. Ya no deprecia",""))</f>
        <v/>
      </c>
      <c r="S49" s="81" t="s">
        <v>184</v>
      </c>
      <c r="T49" s="81">
        <f>IFERROR(VLOOKUP(Impuestos3225[[#This Row],[Placa Vehiculo]],$AR$6:$CA$159,26,0),"")</f>
        <v>89604.140070000009</v>
      </c>
      <c r="U49" s="81" t="str">
        <f>IF(Impuestos3225[[#This Row],[Buscar Monto]]=Impuestos3225[[#This Row],[Valor Adquisición (S/)]],"ok","mal")</f>
        <v>ok</v>
      </c>
      <c r="V49" s="81"/>
      <c r="Z49" s="87"/>
      <c r="AR49" s="21" t="str">
        <f t="shared" si="5"/>
        <v>BXI-857</v>
      </c>
      <c r="AS49" s="21">
        <f t="shared" si="6"/>
        <v>2710</v>
      </c>
      <c r="AT49" s="21" t="s">
        <v>184</v>
      </c>
      <c r="AU49" s="98">
        <v>34</v>
      </c>
      <c r="AV49" s="112">
        <v>3341110</v>
      </c>
      <c r="AW49" s="99">
        <v>340148</v>
      </c>
      <c r="AX49" s="100">
        <v>343001000105</v>
      </c>
      <c r="AY49" s="101" t="s">
        <v>653</v>
      </c>
      <c r="AZ49" s="101" t="s">
        <v>697</v>
      </c>
      <c r="BA49" s="101"/>
      <c r="BB49" s="101"/>
      <c r="BC49" s="101"/>
      <c r="BD49" s="101">
        <v>202311012</v>
      </c>
      <c r="BE49" s="101" t="s">
        <v>733</v>
      </c>
      <c r="BF49" s="101"/>
      <c r="BG49" s="103" t="s">
        <v>696</v>
      </c>
      <c r="BH49" s="103" t="s">
        <v>700</v>
      </c>
      <c r="BI49" s="113" t="s">
        <v>734</v>
      </c>
      <c r="BJ49" s="101" t="s">
        <v>735</v>
      </c>
      <c r="BK49" s="104">
        <v>9311090</v>
      </c>
      <c r="BL49" s="104">
        <v>311094002</v>
      </c>
      <c r="BM49" s="104">
        <v>2710</v>
      </c>
      <c r="BN49" s="105">
        <v>45260</v>
      </c>
      <c r="BO49" s="98">
        <v>6</v>
      </c>
      <c r="BP49" s="116">
        <v>16.667000000000002</v>
      </c>
      <c r="BQ49" s="114">
        <v>89604.140070000009</v>
      </c>
      <c r="BR49" s="107"/>
      <c r="BS49" s="114"/>
      <c r="BT49" s="106">
        <v>16178.890000000003</v>
      </c>
      <c r="BU49" s="108">
        <v>1244.53</v>
      </c>
      <c r="BV49" s="108">
        <v>1244.53</v>
      </c>
      <c r="BW49" s="109">
        <v>7467.1799999999994</v>
      </c>
      <c r="BX49" s="110">
        <v>23646.070000000003</v>
      </c>
      <c r="BY49" s="110"/>
      <c r="BZ49" s="110"/>
      <c r="CA49" s="108">
        <v>65958.070070000002</v>
      </c>
    </row>
    <row r="50" spans="3:79" x14ac:dyDescent="0.3">
      <c r="C50" s="40" t="str">
        <f>Impuestos3225[[#This Row],[Familia]]</f>
        <v>Pick Up CI 4x4 Ford</v>
      </c>
      <c r="D50" s="7">
        <f t="shared" si="0"/>
        <v>44</v>
      </c>
      <c r="E50" s="24" t="s">
        <v>196</v>
      </c>
      <c r="F50" s="24" t="s">
        <v>179</v>
      </c>
      <c r="G50" s="25" t="s">
        <v>696</v>
      </c>
      <c r="H50" s="24">
        <v>2710</v>
      </c>
      <c r="I50" s="80">
        <v>45260</v>
      </c>
      <c r="J50" s="8">
        <v>6</v>
      </c>
      <c r="K50" s="10">
        <v>16.667000000000002</v>
      </c>
      <c r="L50" s="81">
        <v>89604.140070000009</v>
      </c>
      <c r="M50" s="82">
        <f>Impuestos3225[[#This Row],[Valor Adquisición (S/)]]*Impuestos3225[[#This Row],[Tasa  % ]]/100</f>
        <v>14934.322025466903</v>
      </c>
      <c r="N50" s="81">
        <f>Impuestos3225[[#This Row],[Depreciación Anual]]/12</f>
        <v>1244.5268354555753</v>
      </c>
      <c r="O50" s="83">
        <f ca="1">ROUNDDOWN((TODAY()-Impuestos3225[[#This Row],[Fecha de Activación Ingreso]])/365, 0)</f>
        <v>1</v>
      </c>
      <c r="P50" s="81">
        <f ca="1">MIN(Impuestos3225[[#This Row],[Depreciación Anual]] * Impuestos3225[[#This Row],[Años Transcurridos]], Impuestos3225[[#This Row],[Valor Adquisición (S/)]])</f>
        <v>14934.322025466903</v>
      </c>
      <c r="Q50" s="81">
        <f ca="1">MAX(Impuestos3225[[#This Row],[Valor Adquisición (S/)]]-Impuestos3225[[#This Row],[Depreciación Acumulada]], 0)</f>
        <v>74669.818044533109</v>
      </c>
      <c r="R50" s="81" t="str">
        <f ca="1">IF(Impuestos3225[[#This Row],[Valor Adquisición (S/)]]="","", IF(Impuestos3225[[#This Row],[Valor Neto Actual]]=0,"Veh. Ya no deprecia",""))</f>
        <v/>
      </c>
      <c r="S50" s="81" t="s">
        <v>184</v>
      </c>
      <c r="T50" s="81">
        <f>IFERROR(VLOOKUP(Impuestos3225[[#This Row],[Placa Vehiculo]],$AR$6:$CA$159,26,0),"")</f>
        <v>89604.140070000009</v>
      </c>
      <c r="U50" s="81" t="str">
        <f>IF(Impuestos3225[[#This Row],[Buscar Monto]]=Impuestos3225[[#This Row],[Valor Adquisición (S/)]],"ok","mal")</f>
        <v>ok</v>
      </c>
      <c r="V50" s="81"/>
      <c r="Z50" s="87"/>
      <c r="AR50" s="21" t="str">
        <f t="shared" si="5"/>
        <v>BXI-785</v>
      </c>
      <c r="AS50" s="21">
        <f t="shared" si="6"/>
        <v>2710</v>
      </c>
      <c r="AT50" s="21" t="s">
        <v>184</v>
      </c>
      <c r="AU50" s="98">
        <v>34</v>
      </c>
      <c r="AV50" s="112">
        <v>3341110</v>
      </c>
      <c r="AW50" s="99">
        <v>340149</v>
      </c>
      <c r="AX50" s="100">
        <v>343001000106</v>
      </c>
      <c r="AY50" s="101" t="s">
        <v>653</v>
      </c>
      <c r="AZ50" s="101" t="s">
        <v>736</v>
      </c>
      <c r="BA50" s="101"/>
      <c r="BB50" s="101"/>
      <c r="BC50" s="101"/>
      <c r="BD50" s="101">
        <v>202311013</v>
      </c>
      <c r="BE50" s="101" t="s">
        <v>737</v>
      </c>
      <c r="BF50" s="101"/>
      <c r="BG50" s="103" t="s">
        <v>696</v>
      </c>
      <c r="BH50" s="103" t="s">
        <v>700</v>
      </c>
      <c r="BI50" s="113" t="s">
        <v>738</v>
      </c>
      <c r="BJ50" s="101" t="s">
        <v>739</v>
      </c>
      <c r="BK50" s="104">
        <v>9311090</v>
      </c>
      <c r="BL50" s="104">
        <v>311094002</v>
      </c>
      <c r="BM50" s="104">
        <v>2710</v>
      </c>
      <c r="BN50" s="105">
        <v>45260</v>
      </c>
      <c r="BO50" s="98">
        <v>6</v>
      </c>
      <c r="BP50" s="116">
        <v>16.667000000000002</v>
      </c>
      <c r="BQ50" s="114">
        <v>89604.140070000009</v>
      </c>
      <c r="BR50" s="107"/>
      <c r="BS50" s="114"/>
      <c r="BT50" s="106">
        <v>16178.890000000003</v>
      </c>
      <c r="BU50" s="108">
        <v>1244.53</v>
      </c>
      <c r="BV50" s="108">
        <v>1244.53</v>
      </c>
      <c r="BW50" s="109">
        <v>7467.1799999999994</v>
      </c>
      <c r="BX50" s="110">
        <v>23646.070000000003</v>
      </c>
      <c r="BY50" s="110"/>
      <c r="BZ50" s="110"/>
      <c r="CA50" s="108">
        <v>65958.070070000002</v>
      </c>
    </row>
    <row r="51" spans="3:79" x14ac:dyDescent="0.3">
      <c r="C51" s="40" t="str">
        <f>Impuestos3225[[#This Row],[Familia]]</f>
        <v>Pick Up EV 4x2 JAC</v>
      </c>
      <c r="D51" s="7">
        <f t="shared" si="0"/>
        <v>45</v>
      </c>
      <c r="E51" s="24" t="s">
        <v>159</v>
      </c>
      <c r="F51" s="24" t="s">
        <v>37</v>
      </c>
      <c r="G51" s="25" t="s">
        <v>688</v>
      </c>
      <c r="H51" s="24">
        <v>3201</v>
      </c>
      <c r="I51" s="80">
        <v>45412</v>
      </c>
      <c r="J51" s="8">
        <v>7</v>
      </c>
      <c r="K51" s="10">
        <v>14.2857</v>
      </c>
      <c r="L51" s="81">
        <v>121376</v>
      </c>
      <c r="M51" s="82">
        <f>Impuestos3225[[#This Row],[Valor Adquisición (S/)]]*Impuestos3225[[#This Row],[Tasa  % ]]/100</f>
        <v>17339.411231999999</v>
      </c>
      <c r="N51" s="81">
        <f>Impuestos3225[[#This Row],[Depreciación Anual]]/12</f>
        <v>1444.950936</v>
      </c>
      <c r="O51" s="83">
        <f ca="1">ROUNDDOWN((TODAY()-Impuestos3225[[#This Row],[Fecha de Activación Ingreso]])/365, 0)</f>
        <v>1</v>
      </c>
      <c r="P51" s="81">
        <f ca="1">MIN(Impuestos3225[[#This Row],[Depreciación Anual]] * Impuestos3225[[#This Row],[Años Transcurridos]], Impuestos3225[[#This Row],[Valor Adquisición (S/)]])</f>
        <v>17339.411231999999</v>
      </c>
      <c r="Q51" s="81">
        <f ca="1">MAX(Impuestos3225[[#This Row],[Valor Adquisición (S/)]]-Impuestos3225[[#This Row],[Depreciación Acumulada]], 0)</f>
        <v>104036.588768</v>
      </c>
      <c r="R51" s="81" t="str">
        <f ca="1">IF(Impuestos3225[[#This Row],[Valor Adquisición (S/)]]="","", IF(Impuestos3225[[#This Row],[Valor Neto Actual]]=0,"Veh. Ya no deprecia",""))</f>
        <v/>
      </c>
      <c r="S51" s="81" t="s">
        <v>48</v>
      </c>
      <c r="T51" s="81">
        <f>IFERROR(VLOOKUP(Impuestos3225[[#This Row],[Placa Vehiculo]],$AR$6:$CA$159,26,0),"")</f>
        <v>121376</v>
      </c>
      <c r="U51" s="81" t="str">
        <f>IF(Impuestos3225[[#This Row],[Buscar Monto]]=Impuestos3225[[#This Row],[Valor Adquisición (S/)]],"ok","mal")</f>
        <v>ok</v>
      </c>
      <c r="V51" s="81"/>
      <c r="Z51" s="87"/>
      <c r="AR51" s="21" t="str">
        <f t="shared" si="5"/>
        <v>BYS-845</v>
      </c>
      <c r="AS51" s="21">
        <f t="shared" si="6"/>
        <v>3201</v>
      </c>
      <c r="AT51" s="21" t="s">
        <v>48</v>
      </c>
      <c r="AU51" s="98">
        <v>34</v>
      </c>
      <c r="AV51" s="112">
        <v>3341110</v>
      </c>
      <c r="AW51" s="99">
        <v>340150</v>
      </c>
      <c r="AX51" s="100">
        <v>343001000107</v>
      </c>
      <c r="AY51" s="101" t="s">
        <v>653</v>
      </c>
      <c r="AZ51" s="101" t="s">
        <v>689</v>
      </c>
      <c r="BA51" s="101"/>
      <c r="BB51" s="101"/>
      <c r="BC51" s="101"/>
      <c r="BD51" s="102">
        <v>202404019</v>
      </c>
      <c r="BE51" s="101" t="s">
        <v>325</v>
      </c>
      <c r="BF51" s="101"/>
      <c r="BG51" s="103" t="s">
        <v>688</v>
      </c>
      <c r="BH51" s="103" t="s">
        <v>690</v>
      </c>
      <c r="BI51" s="113" t="s">
        <v>327</v>
      </c>
      <c r="BJ51" s="101" t="s">
        <v>326</v>
      </c>
      <c r="BK51" s="104">
        <v>9311090</v>
      </c>
      <c r="BL51" s="104">
        <v>311094001</v>
      </c>
      <c r="BM51" s="104">
        <v>3201</v>
      </c>
      <c r="BN51" s="105">
        <v>45412</v>
      </c>
      <c r="BO51" s="98">
        <v>7</v>
      </c>
      <c r="BP51" s="116">
        <v>14.2857</v>
      </c>
      <c r="BQ51" s="114">
        <v>121376</v>
      </c>
      <c r="BR51" s="107"/>
      <c r="BS51" s="114"/>
      <c r="BT51" s="106">
        <v>11559.600000000002</v>
      </c>
      <c r="BU51" s="108">
        <v>1444.95</v>
      </c>
      <c r="BV51" s="108">
        <v>1444.95</v>
      </c>
      <c r="BW51" s="109">
        <v>8669.7000000000007</v>
      </c>
      <c r="BX51" s="110">
        <v>20229.300000000003</v>
      </c>
      <c r="BY51" s="110"/>
      <c r="BZ51" s="110"/>
      <c r="CA51" s="108">
        <v>101146.7</v>
      </c>
    </row>
    <row r="52" spans="3:79" x14ac:dyDescent="0.3">
      <c r="C52" s="40" t="str">
        <f>Impuestos3225[[#This Row],[Familia]]</f>
        <v>Pick Up EV 4x2 JAC</v>
      </c>
      <c r="D52" s="7">
        <f t="shared" si="0"/>
        <v>46</v>
      </c>
      <c r="E52" s="24" t="s">
        <v>160</v>
      </c>
      <c r="F52" s="24" t="s">
        <v>37</v>
      </c>
      <c r="G52" s="25" t="s">
        <v>688</v>
      </c>
      <c r="H52" s="24">
        <v>3201</v>
      </c>
      <c r="I52" s="80">
        <v>45412</v>
      </c>
      <c r="J52" s="8">
        <v>7</v>
      </c>
      <c r="K52" s="10">
        <v>14.2857</v>
      </c>
      <c r="L52" s="81">
        <v>121376</v>
      </c>
      <c r="M52" s="82">
        <f>Impuestos3225[[#This Row],[Valor Adquisición (S/)]]*Impuestos3225[[#This Row],[Tasa  % ]]/100</f>
        <v>17339.411231999999</v>
      </c>
      <c r="N52" s="81">
        <f>Impuestos3225[[#This Row],[Depreciación Anual]]/12</f>
        <v>1444.950936</v>
      </c>
      <c r="O52" s="83">
        <f ca="1">ROUNDDOWN((TODAY()-Impuestos3225[[#This Row],[Fecha de Activación Ingreso]])/365, 0)</f>
        <v>1</v>
      </c>
      <c r="P52" s="81">
        <f ca="1">MIN(Impuestos3225[[#This Row],[Depreciación Anual]] * Impuestos3225[[#This Row],[Años Transcurridos]], Impuestos3225[[#This Row],[Valor Adquisición (S/)]])</f>
        <v>17339.411231999999</v>
      </c>
      <c r="Q52" s="81">
        <f ca="1">MAX(Impuestos3225[[#This Row],[Valor Adquisición (S/)]]-Impuestos3225[[#This Row],[Depreciación Acumulada]], 0)</f>
        <v>104036.588768</v>
      </c>
      <c r="R52" s="81" t="str">
        <f ca="1">IF(Impuestos3225[[#This Row],[Valor Adquisición (S/)]]="","", IF(Impuestos3225[[#This Row],[Valor Neto Actual]]=0,"Veh. Ya no deprecia",""))</f>
        <v/>
      </c>
      <c r="S52" s="81" t="s">
        <v>48</v>
      </c>
      <c r="T52" s="81">
        <f>IFERROR(VLOOKUP(Impuestos3225[[#This Row],[Placa Vehiculo]],$AR$6:$CA$159,26,0),"")</f>
        <v>121376</v>
      </c>
      <c r="U52" s="81" t="str">
        <f>IF(Impuestos3225[[#This Row],[Buscar Monto]]=Impuestos3225[[#This Row],[Valor Adquisición (S/)]],"ok","mal")</f>
        <v>ok</v>
      </c>
      <c r="V52" s="81"/>
      <c r="Z52" s="87"/>
      <c r="AR52" s="21" t="str">
        <f t="shared" si="5"/>
        <v>BYR-943</v>
      </c>
      <c r="AS52" s="21">
        <f t="shared" si="6"/>
        <v>3201</v>
      </c>
      <c r="AT52" s="21" t="s">
        <v>48</v>
      </c>
      <c r="AU52" s="98">
        <v>34</v>
      </c>
      <c r="AV52" s="112">
        <v>3341110</v>
      </c>
      <c r="AW52" s="99">
        <v>340151</v>
      </c>
      <c r="AX52" s="100">
        <v>343001000108</v>
      </c>
      <c r="AY52" s="101" t="s">
        <v>653</v>
      </c>
      <c r="AZ52" s="101" t="s">
        <v>689</v>
      </c>
      <c r="BA52" s="101"/>
      <c r="BB52" s="101"/>
      <c r="BC52" s="101"/>
      <c r="BD52" s="102">
        <v>202404020</v>
      </c>
      <c r="BE52" s="101" t="s">
        <v>281</v>
      </c>
      <c r="BF52" s="101"/>
      <c r="BG52" s="103" t="s">
        <v>688</v>
      </c>
      <c r="BH52" s="103" t="s">
        <v>690</v>
      </c>
      <c r="BI52" s="113" t="s">
        <v>283</v>
      </c>
      <c r="BJ52" s="101" t="s">
        <v>286</v>
      </c>
      <c r="BK52" s="104">
        <v>9311090</v>
      </c>
      <c r="BL52" s="104">
        <v>311094001</v>
      </c>
      <c r="BM52" s="104">
        <v>3201</v>
      </c>
      <c r="BN52" s="105">
        <v>45412</v>
      </c>
      <c r="BO52" s="98">
        <v>7</v>
      </c>
      <c r="BP52" s="116">
        <v>14.2857</v>
      </c>
      <c r="BQ52" s="114">
        <v>121376</v>
      </c>
      <c r="BR52" s="107"/>
      <c r="BS52" s="114"/>
      <c r="BT52" s="106">
        <v>11559.600000000002</v>
      </c>
      <c r="BU52" s="108">
        <v>1444.95</v>
      </c>
      <c r="BV52" s="108">
        <v>1444.95</v>
      </c>
      <c r="BW52" s="109">
        <v>8669.7000000000007</v>
      </c>
      <c r="BX52" s="110">
        <v>20229.300000000003</v>
      </c>
      <c r="BY52" s="110"/>
      <c r="BZ52" s="110"/>
      <c r="CA52" s="108">
        <v>101146.7</v>
      </c>
    </row>
    <row r="53" spans="3:79" x14ac:dyDescent="0.3">
      <c r="C53" s="40" t="str">
        <f>Impuestos3225[[#This Row],[Familia]]</f>
        <v>Pick Up EV 4x2 JAC</v>
      </c>
      <c r="D53" s="7">
        <f t="shared" si="0"/>
        <v>47</v>
      </c>
      <c r="E53" s="24" t="s">
        <v>168</v>
      </c>
      <c r="F53" s="24" t="s">
        <v>37</v>
      </c>
      <c r="G53" s="25" t="s">
        <v>688</v>
      </c>
      <c r="H53" s="24">
        <v>3201</v>
      </c>
      <c r="I53" s="80">
        <v>45412</v>
      </c>
      <c r="J53" s="8">
        <v>7</v>
      </c>
      <c r="K53" s="10">
        <v>14.2857</v>
      </c>
      <c r="L53" s="81">
        <v>121376</v>
      </c>
      <c r="M53" s="82">
        <f>Impuestos3225[[#This Row],[Valor Adquisición (S/)]]*Impuestos3225[[#This Row],[Tasa  % ]]/100</f>
        <v>17339.411231999999</v>
      </c>
      <c r="N53" s="81">
        <f>Impuestos3225[[#This Row],[Depreciación Anual]]/12</f>
        <v>1444.950936</v>
      </c>
      <c r="O53" s="83">
        <f ca="1">ROUNDDOWN((TODAY()-Impuestos3225[[#This Row],[Fecha de Activación Ingreso]])/365, 0)</f>
        <v>1</v>
      </c>
      <c r="P53" s="81">
        <f ca="1">MIN(Impuestos3225[[#This Row],[Depreciación Anual]] * Impuestos3225[[#This Row],[Años Transcurridos]], Impuestos3225[[#This Row],[Valor Adquisición (S/)]])</f>
        <v>17339.411231999999</v>
      </c>
      <c r="Q53" s="81">
        <f ca="1">MAX(Impuestos3225[[#This Row],[Valor Adquisición (S/)]]-Impuestos3225[[#This Row],[Depreciación Acumulada]], 0)</f>
        <v>104036.588768</v>
      </c>
      <c r="R53" s="81" t="str">
        <f ca="1">IF(Impuestos3225[[#This Row],[Valor Adquisición (S/)]]="","", IF(Impuestos3225[[#This Row],[Valor Neto Actual]]=0,"Veh. Ya no deprecia",""))</f>
        <v/>
      </c>
      <c r="S53" s="81" t="s">
        <v>48</v>
      </c>
      <c r="T53" s="81">
        <f>IFERROR(VLOOKUP(Impuestos3225[[#This Row],[Placa Vehiculo]],$AR$6:$CA$159,26,0),"")</f>
        <v>121376</v>
      </c>
      <c r="U53" s="81" t="str">
        <f>IF(Impuestos3225[[#This Row],[Buscar Monto]]=Impuestos3225[[#This Row],[Valor Adquisición (S/)]],"ok","mal")</f>
        <v>ok</v>
      </c>
      <c r="V53" s="81"/>
      <c r="Z53" s="87"/>
      <c r="AR53" s="21" t="str">
        <f t="shared" si="5"/>
        <v>BYS-881</v>
      </c>
      <c r="AS53" s="21">
        <f t="shared" si="6"/>
        <v>3201</v>
      </c>
      <c r="AT53" s="21" t="s">
        <v>48</v>
      </c>
      <c r="AU53" s="98">
        <v>34</v>
      </c>
      <c r="AV53" s="112">
        <v>3341110</v>
      </c>
      <c r="AW53" s="99">
        <v>340152</v>
      </c>
      <c r="AX53" s="100">
        <v>343001000109</v>
      </c>
      <c r="AY53" s="101" t="s">
        <v>653</v>
      </c>
      <c r="AZ53" s="101" t="s">
        <v>689</v>
      </c>
      <c r="BA53" s="101"/>
      <c r="BB53" s="101"/>
      <c r="BC53" s="101"/>
      <c r="BD53" s="102">
        <v>202404021</v>
      </c>
      <c r="BE53" s="101" t="s">
        <v>341</v>
      </c>
      <c r="BF53" s="101"/>
      <c r="BG53" s="103" t="s">
        <v>688</v>
      </c>
      <c r="BH53" s="103" t="s">
        <v>690</v>
      </c>
      <c r="BI53" s="113" t="s">
        <v>343</v>
      </c>
      <c r="BJ53" s="101" t="s">
        <v>342</v>
      </c>
      <c r="BK53" s="104">
        <v>9311090</v>
      </c>
      <c r="BL53" s="104">
        <v>311094001</v>
      </c>
      <c r="BM53" s="104">
        <v>3201</v>
      </c>
      <c r="BN53" s="105">
        <v>45412</v>
      </c>
      <c r="BO53" s="98">
        <v>7</v>
      </c>
      <c r="BP53" s="116">
        <v>14.2857</v>
      </c>
      <c r="BQ53" s="114">
        <v>121376</v>
      </c>
      <c r="BR53" s="107"/>
      <c r="BS53" s="114"/>
      <c r="BT53" s="106">
        <v>11559.600000000002</v>
      </c>
      <c r="BU53" s="108">
        <v>1444.95</v>
      </c>
      <c r="BV53" s="108">
        <v>1444.95</v>
      </c>
      <c r="BW53" s="109">
        <v>8669.7000000000007</v>
      </c>
      <c r="BX53" s="110">
        <v>20229.300000000003</v>
      </c>
      <c r="BY53" s="110"/>
      <c r="BZ53" s="110"/>
      <c r="CA53" s="108">
        <v>101146.7</v>
      </c>
    </row>
    <row r="54" spans="3:79" x14ac:dyDescent="0.3">
      <c r="C54" s="40" t="str">
        <f>Impuestos3225[[#This Row],[Familia]]</f>
        <v>Pick Up EV 4x2 JAC</v>
      </c>
      <c r="D54" s="7">
        <f t="shared" si="0"/>
        <v>48</v>
      </c>
      <c r="E54" s="24" t="s">
        <v>170</v>
      </c>
      <c r="F54" s="24" t="s">
        <v>37</v>
      </c>
      <c r="G54" s="25" t="s">
        <v>688</v>
      </c>
      <c r="H54" s="24">
        <v>3201</v>
      </c>
      <c r="I54" s="80">
        <v>45412</v>
      </c>
      <c r="J54" s="8">
        <v>7</v>
      </c>
      <c r="K54" s="10">
        <v>14.2857</v>
      </c>
      <c r="L54" s="81">
        <v>121376</v>
      </c>
      <c r="M54" s="82">
        <f>Impuestos3225[[#This Row],[Valor Adquisición (S/)]]*Impuestos3225[[#This Row],[Tasa  % ]]/100</f>
        <v>17339.411231999999</v>
      </c>
      <c r="N54" s="81">
        <f>Impuestos3225[[#This Row],[Depreciación Anual]]/12</f>
        <v>1444.950936</v>
      </c>
      <c r="O54" s="83">
        <f ca="1">ROUNDDOWN((TODAY()-Impuestos3225[[#This Row],[Fecha de Activación Ingreso]])/365, 0)</f>
        <v>1</v>
      </c>
      <c r="P54" s="81">
        <f ca="1">MIN(Impuestos3225[[#This Row],[Depreciación Anual]] * Impuestos3225[[#This Row],[Años Transcurridos]], Impuestos3225[[#This Row],[Valor Adquisición (S/)]])</f>
        <v>17339.411231999999</v>
      </c>
      <c r="Q54" s="81">
        <f ca="1">MAX(Impuestos3225[[#This Row],[Valor Adquisición (S/)]]-Impuestos3225[[#This Row],[Depreciación Acumulada]], 0)</f>
        <v>104036.588768</v>
      </c>
      <c r="R54" s="81" t="str">
        <f ca="1">IF(Impuestos3225[[#This Row],[Valor Adquisición (S/)]]="","", IF(Impuestos3225[[#This Row],[Valor Neto Actual]]=0,"Veh. Ya no deprecia",""))</f>
        <v/>
      </c>
      <c r="S54" s="81" t="s">
        <v>48</v>
      </c>
      <c r="T54" s="81">
        <f>IFERROR(VLOOKUP(Impuestos3225[[#This Row],[Placa Vehiculo]],$AR$6:$CA$159,26,0),"")</f>
        <v>121376</v>
      </c>
      <c r="U54" s="81" t="str">
        <f>IF(Impuestos3225[[#This Row],[Buscar Monto]]=Impuestos3225[[#This Row],[Valor Adquisición (S/)]],"ok","mal")</f>
        <v>ok</v>
      </c>
      <c r="V54" s="81"/>
      <c r="Z54" s="87"/>
      <c r="AR54" s="21" t="str">
        <f t="shared" si="5"/>
        <v>BYS-888</v>
      </c>
      <c r="AS54" s="21">
        <f t="shared" si="6"/>
        <v>3201</v>
      </c>
      <c r="AT54" s="21" t="s">
        <v>48</v>
      </c>
      <c r="AU54" s="98">
        <v>34</v>
      </c>
      <c r="AV54" s="112">
        <v>3341110</v>
      </c>
      <c r="AW54" s="99">
        <v>340153</v>
      </c>
      <c r="AX54" s="100">
        <v>343001000110</v>
      </c>
      <c r="AY54" s="101" t="s">
        <v>653</v>
      </c>
      <c r="AZ54" s="101" t="s">
        <v>689</v>
      </c>
      <c r="BA54" s="101"/>
      <c r="BB54" s="101"/>
      <c r="BC54" s="101"/>
      <c r="BD54" s="102">
        <v>202404022</v>
      </c>
      <c r="BE54" s="101" t="s">
        <v>333</v>
      </c>
      <c r="BF54" s="101"/>
      <c r="BG54" s="103" t="s">
        <v>688</v>
      </c>
      <c r="BH54" s="103" t="s">
        <v>690</v>
      </c>
      <c r="BI54" s="113" t="s">
        <v>335</v>
      </c>
      <c r="BJ54" s="101" t="s">
        <v>334</v>
      </c>
      <c r="BK54" s="104">
        <v>9311090</v>
      </c>
      <c r="BL54" s="104">
        <v>311094001</v>
      </c>
      <c r="BM54" s="104">
        <v>3201</v>
      </c>
      <c r="BN54" s="105">
        <v>45412</v>
      </c>
      <c r="BO54" s="98">
        <v>7</v>
      </c>
      <c r="BP54" s="116">
        <v>14.2857</v>
      </c>
      <c r="BQ54" s="114">
        <v>121376</v>
      </c>
      <c r="BR54" s="107"/>
      <c r="BS54" s="114"/>
      <c r="BT54" s="106">
        <v>11559.600000000002</v>
      </c>
      <c r="BU54" s="108">
        <v>1444.95</v>
      </c>
      <c r="BV54" s="108">
        <v>1444.95</v>
      </c>
      <c r="BW54" s="109">
        <v>8669.7000000000007</v>
      </c>
      <c r="BX54" s="110">
        <v>20229.300000000003</v>
      </c>
      <c r="BY54" s="110"/>
      <c r="BZ54" s="110"/>
      <c r="CA54" s="108">
        <v>101146.7</v>
      </c>
    </row>
    <row r="55" spans="3:79" x14ac:dyDescent="0.3">
      <c r="C55" s="40" t="str">
        <f>Impuestos3225[[#This Row],[Familia]]</f>
        <v>Pick Up EV 4x2 JAC</v>
      </c>
      <c r="D55" s="7">
        <f t="shared" si="0"/>
        <v>49</v>
      </c>
      <c r="E55" s="24" t="s">
        <v>169</v>
      </c>
      <c r="F55" s="24" t="s">
        <v>37</v>
      </c>
      <c r="G55" s="25" t="s">
        <v>688</v>
      </c>
      <c r="H55" s="24">
        <v>3201</v>
      </c>
      <c r="I55" s="80">
        <v>45412</v>
      </c>
      <c r="J55" s="8">
        <v>7</v>
      </c>
      <c r="K55" s="10">
        <v>14.2857</v>
      </c>
      <c r="L55" s="81">
        <v>121376</v>
      </c>
      <c r="M55" s="82">
        <f>Impuestos3225[[#This Row],[Valor Adquisición (S/)]]*Impuestos3225[[#This Row],[Tasa  % ]]/100</f>
        <v>17339.411231999999</v>
      </c>
      <c r="N55" s="81">
        <f>Impuestos3225[[#This Row],[Depreciación Anual]]/12</f>
        <v>1444.950936</v>
      </c>
      <c r="O55" s="83">
        <f ca="1">ROUNDDOWN((TODAY()-Impuestos3225[[#This Row],[Fecha de Activación Ingreso]])/365, 0)</f>
        <v>1</v>
      </c>
      <c r="P55" s="81">
        <f ca="1">MIN(Impuestos3225[[#This Row],[Depreciación Anual]] * Impuestos3225[[#This Row],[Años Transcurridos]], Impuestos3225[[#This Row],[Valor Adquisición (S/)]])</f>
        <v>17339.411231999999</v>
      </c>
      <c r="Q55" s="81">
        <f ca="1">MAX(Impuestos3225[[#This Row],[Valor Adquisición (S/)]]-Impuestos3225[[#This Row],[Depreciación Acumulada]], 0)</f>
        <v>104036.588768</v>
      </c>
      <c r="R55" s="81" t="str">
        <f ca="1">IF(Impuestos3225[[#This Row],[Valor Adquisición (S/)]]="","", IF(Impuestos3225[[#This Row],[Valor Neto Actual]]=0,"Veh. Ya no deprecia",""))</f>
        <v/>
      </c>
      <c r="S55" s="81" t="s">
        <v>48</v>
      </c>
      <c r="T55" s="81">
        <f>IFERROR(VLOOKUP(Impuestos3225[[#This Row],[Placa Vehiculo]],$AR$6:$CA$159,26,0),"")</f>
        <v>121376</v>
      </c>
      <c r="U55" s="81" t="str">
        <f>IF(Impuestos3225[[#This Row],[Buscar Monto]]=Impuestos3225[[#This Row],[Valor Adquisición (S/)]],"ok","mal")</f>
        <v>ok</v>
      </c>
      <c r="V55" s="81"/>
      <c r="Z55" s="87"/>
      <c r="AR55" s="21" t="str">
        <f t="shared" si="5"/>
        <v>BYS-886</v>
      </c>
      <c r="AS55" s="21">
        <f t="shared" si="6"/>
        <v>3201</v>
      </c>
      <c r="AT55" s="21" t="s">
        <v>48</v>
      </c>
      <c r="AU55" s="98">
        <v>34</v>
      </c>
      <c r="AV55" s="112">
        <v>3341110</v>
      </c>
      <c r="AW55" s="99">
        <v>340154</v>
      </c>
      <c r="AX55" s="100">
        <v>343001000111</v>
      </c>
      <c r="AY55" s="101" t="s">
        <v>653</v>
      </c>
      <c r="AZ55" s="101" t="s">
        <v>689</v>
      </c>
      <c r="BA55" s="101"/>
      <c r="BB55" s="101"/>
      <c r="BC55" s="101"/>
      <c r="BD55" s="102">
        <v>202404023</v>
      </c>
      <c r="BE55" s="101" t="s">
        <v>345</v>
      </c>
      <c r="BF55" s="101"/>
      <c r="BG55" s="103" t="s">
        <v>688</v>
      </c>
      <c r="BH55" s="103" t="s">
        <v>690</v>
      </c>
      <c r="BI55" s="113" t="s">
        <v>347</v>
      </c>
      <c r="BJ55" s="101" t="s">
        <v>346</v>
      </c>
      <c r="BK55" s="104">
        <v>9311090</v>
      </c>
      <c r="BL55" s="104">
        <v>311094001</v>
      </c>
      <c r="BM55" s="104">
        <v>3201</v>
      </c>
      <c r="BN55" s="105">
        <v>45412</v>
      </c>
      <c r="BO55" s="98">
        <v>7</v>
      </c>
      <c r="BP55" s="116">
        <v>14.2857</v>
      </c>
      <c r="BQ55" s="114">
        <v>121376</v>
      </c>
      <c r="BR55" s="107"/>
      <c r="BS55" s="114"/>
      <c r="BT55" s="106">
        <v>11559.600000000002</v>
      </c>
      <c r="BU55" s="108">
        <v>1444.95</v>
      </c>
      <c r="BV55" s="108">
        <v>1444.95</v>
      </c>
      <c r="BW55" s="109">
        <v>8669.7000000000007</v>
      </c>
      <c r="BX55" s="110">
        <v>20229.300000000003</v>
      </c>
      <c r="BY55" s="110"/>
      <c r="BZ55" s="110"/>
      <c r="CA55" s="108">
        <v>101146.7</v>
      </c>
    </row>
    <row r="56" spans="3:79" x14ac:dyDescent="0.3">
      <c r="C56" s="40" t="str">
        <f>Impuestos3225[[#This Row],[Familia]]</f>
        <v>Pick Up EV 4x2 JAC</v>
      </c>
      <c r="D56" s="7">
        <f t="shared" si="0"/>
        <v>50</v>
      </c>
      <c r="E56" s="24" t="s">
        <v>158</v>
      </c>
      <c r="F56" s="24" t="s">
        <v>37</v>
      </c>
      <c r="G56" s="25" t="s">
        <v>688</v>
      </c>
      <c r="H56" s="24">
        <v>3201</v>
      </c>
      <c r="I56" s="80">
        <v>45412</v>
      </c>
      <c r="J56" s="8">
        <v>7</v>
      </c>
      <c r="K56" s="10">
        <v>14.2857</v>
      </c>
      <c r="L56" s="81">
        <v>121376</v>
      </c>
      <c r="M56" s="82">
        <f>Impuestos3225[[#This Row],[Valor Adquisición (S/)]]*Impuestos3225[[#This Row],[Tasa  % ]]/100</f>
        <v>17339.411231999999</v>
      </c>
      <c r="N56" s="81">
        <f>Impuestos3225[[#This Row],[Depreciación Anual]]/12</f>
        <v>1444.950936</v>
      </c>
      <c r="O56" s="83">
        <f ca="1">ROUNDDOWN((TODAY()-Impuestos3225[[#This Row],[Fecha de Activación Ingreso]])/365, 0)</f>
        <v>1</v>
      </c>
      <c r="P56" s="81">
        <f ca="1">MIN(Impuestos3225[[#This Row],[Depreciación Anual]] * Impuestos3225[[#This Row],[Años Transcurridos]], Impuestos3225[[#This Row],[Valor Adquisición (S/)]])</f>
        <v>17339.411231999999</v>
      </c>
      <c r="Q56" s="81">
        <f ca="1">MAX(Impuestos3225[[#This Row],[Valor Adquisición (S/)]]-Impuestos3225[[#This Row],[Depreciación Acumulada]], 0)</f>
        <v>104036.588768</v>
      </c>
      <c r="R56" s="81" t="str">
        <f ca="1">IF(Impuestos3225[[#This Row],[Valor Adquisición (S/)]]="","", IF(Impuestos3225[[#This Row],[Valor Neto Actual]]=0,"Veh. Ya no deprecia",""))</f>
        <v/>
      </c>
      <c r="S56" s="81" t="s">
        <v>48</v>
      </c>
      <c r="T56" s="81">
        <f>IFERROR(VLOOKUP(Impuestos3225[[#This Row],[Placa Vehiculo]],$AR$6:$CA$159,26,0),"")</f>
        <v>121376</v>
      </c>
      <c r="U56" s="81" t="str">
        <f>IF(Impuestos3225[[#This Row],[Buscar Monto]]=Impuestos3225[[#This Row],[Valor Adquisición (S/)]],"ok","mal")</f>
        <v>ok</v>
      </c>
      <c r="V56" s="81"/>
      <c r="Z56" s="87"/>
      <c r="AR56" s="21" t="str">
        <f t="shared" si="5"/>
        <v>BYS-800</v>
      </c>
      <c r="AS56" s="21">
        <f t="shared" si="6"/>
        <v>3201</v>
      </c>
      <c r="AT56" s="21" t="s">
        <v>48</v>
      </c>
      <c r="AU56" s="98">
        <v>34</v>
      </c>
      <c r="AV56" s="112">
        <v>3341110</v>
      </c>
      <c r="AW56" s="99">
        <v>340155</v>
      </c>
      <c r="AX56" s="100">
        <v>343001000112</v>
      </c>
      <c r="AY56" s="101" t="s">
        <v>653</v>
      </c>
      <c r="AZ56" s="101" t="s">
        <v>689</v>
      </c>
      <c r="BA56" s="101"/>
      <c r="BB56" s="101"/>
      <c r="BC56" s="101"/>
      <c r="BD56" s="102">
        <v>202404024</v>
      </c>
      <c r="BE56" s="101" t="s">
        <v>317</v>
      </c>
      <c r="BF56" s="101"/>
      <c r="BG56" s="103" t="s">
        <v>688</v>
      </c>
      <c r="BH56" s="103" t="s">
        <v>690</v>
      </c>
      <c r="BI56" s="113" t="s">
        <v>319</v>
      </c>
      <c r="BJ56" s="101" t="s">
        <v>318</v>
      </c>
      <c r="BK56" s="104">
        <v>9311090</v>
      </c>
      <c r="BL56" s="104">
        <v>311094001</v>
      </c>
      <c r="BM56" s="104">
        <v>3201</v>
      </c>
      <c r="BN56" s="105">
        <v>45412</v>
      </c>
      <c r="BO56" s="98">
        <v>7</v>
      </c>
      <c r="BP56" s="116">
        <v>14.2857</v>
      </c>
      <c r="BQ56" s="114">
        <v>121376</v>
      </c>
      <c r="BR56" s="107"/>
      <c r="BS56" s="114"/>
      <c r="BT56" s="106">
        <v>11559.600000000002</v>
      </c>
      <c r="BU56" s="108">
        <v>1444.95</v>
      </c>
      <c r="BV56" s="108">
        <v>1444.95</v>
      </c>
      <c r="BW56" s="109">
        <v>8669.7000000000007</v>
      </c>
      <c r="BX56" s="110">
        <v>20229.300000000003</v>
      </c>
      <c r="BY56" s="110"/>
      <c r="BZ56" s="110"/>
      <c r="CA56" s="108">
        <v>101146.7</v>
      </c>
    </row>
    <row r="57" spans="3:79" x14ac:dyDescent="0.3">
      <c r="C57" s="40" t="str">
        <f>Impuestos3225[[#This Row],[Familia]]</f>
        <v>Pick Up EV 4x2 JAC</v>
      </c>
      <c r="D57" s="7">
        <f t="shared" si="0"/>
        <v>51</v>
      </c>
      <c r="E57" s="24" t="s">
        <v>166</v>
      </c>
      <c r="F57" s="24" t="s">
        <v>37</v>
      </c>
      <c r="G57" s="25" t="s">
        <v>688</v>
      </c>
      <c r="H57" s="24">
        <v>3201</v>
      </c>
      <c r="I57" s="80">
        <v>45412</v>
      </c>
      <c r="J57" s="8">
        <v>7</v>
      </c>
      <c r="K57" s="10">
        <v>14.2857</v>
      </c>
      <c r="L57" s="81">
        <v>121376</v>
      </c>
      <c r="M57" s="82">
        <f>Impuestos3225[[#This Row],[Valor Adquisición (S/)]]*Impuestos3225[[#This Row],[Tasa  % ]]/100</f>
        <v>17339.411231999999</v>
      </c>
      <c r="N57" s="81">
        <f>Impuestos3225[[#This Row],[Depreciación Anual]]/12</f>
        <v>1444.950936</v>
      </c>
      <c r="O57" s="83">
        <f ca="1">ROUNDDOWN((TODAY()-Impuestos3225[[#This Row],[Fecha de Activación Ingreso]])/365, 0)</f>
        <v>1</v>
      </c>
      <c r="P57" s="81">
        <f ca="1">MIN(Impuestos3225[[#This Row],[Depreciación Anual]] * Impuestos3225[[#This Row],[Años Transcurridos]], Impuestos3225[[#This Row],[Valor Adquisición (S/)]])</f>
        <v>17339.411231999999</v>
      </c>
      <c r="Q57" s="81">
        <f ca="1">MAX(Impuestos3225[[#This Row],[Valor Adquisición (S/)]]-Impuestos3225[[#This Row],[Depreciación Acumulada]], 0)</f>
        <v>104036.588768</v>
      </c>
      <c r="R57" s="81" t="str">
        <f ca="1">IF(Impuestos3225[[#This Row],[Valor Adquisición (S/)]]="","", IF(Impuestos3225[[#This Row],[Valor Neto Actual]]=0,"Veh. Ya no deprecia",""))</f>
        <v/>
      </c>
      <c r="S57" s="81" t="s">
        <v>48</v>
      </c>
      <c r="T57" s="81">
        <f>IFERROR(VLOOKUP(Impuestos3225[[#This Row],[Placa Vehiculo]],$AR$6:$CA$159,26,0),"")</f>
        <v>121376</v>
      </c>
      <c r="U57" s="81" t="str">
        <f>IF(Impuestos3225[[#This Row],[Buscar Monto]]=Impuestos3225[[#This Row],[Valor Adquisición (S/)]],"ok","mal")</f>
        <v>ok</v>
      </c>
      <c r="V57" s="81"/>
      <c r="Z57" s="87"/>
      <c r="AR57" s="21" t="str">
        <f t="shared" si="5"/>
        <v>BYS-848</v>
      </c>
      <c r="AS57" s="21">
        <f t="shared" si="6"/>
        <v>3201</v>
      </c>
      <c r="AT57" s="21" t="s">
        <v>48</v>
      </c>
      <c r="AU57" s="98">
        <v>34</v>
      </c>
      <c r="AV57" s="112">
        <v>3341110</v>
      </c>
      <c r="AW57" s="99">
        <v>340156</v>
      </c>
      <c r="AX57" s="100">
        <v>343001000113</v>
      </c>
      <c r="AY57" s="101" t="s">
        <v>653</v>
      </c>
      <c r="AZ57" s="101" t="s">
        <v>689</v>
      </c>
      <c r="BA57" s="101"/>
      <c r="BB57" s="101"/>
      <c r="BC57" s="101"/>
      <c r="BD57" s="102">
        <v>202404025</v>
      </c>
      <c r="BE57" s="101" t="s">
        <v>337</v>
      </c>
      <c r="BF57" s="101"/>
      <c r="BG57" s="103" t="s">
        <v>688</v>
      </c>
      <c r="BH57" s="103" t="s">
        <v>690</v>
      </c>
      <c r="BI57" s="113" t="s">
        <v>339</v>
      </c>
      <c r="BJ57" s="101" t="s">
        <v>338</v>
      </c>
      <c r="BK57" s="104">
        <v>9311090</v>
      </c>
      <c r="BL57" s="104">
        <v>311094001</v>
      </c>
      <c r="BM57" s="104">
        <v>3201</v>
      </c>
      <c r="BN57" s="105">
        <v>45412</v>
      </c>
      <c r="BO57" s="98">
        <v>7</v>
      </c>
      <c r="BP57" s="116">
        <v>14.2857</v>
      </c>
      <c r="BQ57" s="114">
        <v>121376</v>
      </c>
      <c r="BR57" s="107"/>
      <c r="BS57" s="114"/>
      <c r="BT57" s="106">
        <v>11559.600000000002</v>
      </c>
      <c r="BU57" s="108">
        <v>1444.95</v>
      </c>
      <c r="BV57" s="108">
        <v>1444.95</v>
      </c>
      <c r="BW57" s="109">
        <v>8669.7000000000007</v>
      </c>
      <c r="BX57" s="110">
        <v>20229.300000000003</v>
      </c>
      <c r="BY57" s="110"/>
      <c r="BZ57" s="110"/>
      <c r="CA57" s="108">
        <v>101146.7</v>
      </c>
    </row>
    <row r="58" spans="3:79" x14ac:dyDescent="0.3">
      <c r="C58" s="40" t="str">
        <f>Impuestos3225[[#This Row],[Familia]]</f>
        <v>Pick Up EV 4x2 JAC</v>
      </c>
      <c r="D58" s="7">
        <f t="shared" si="0"/>
        <v>52</v>
      </c>
      <c r="E58" s="24" t="s">
        <v>156</v>
      </c>
      <c r="F58" s="24" t="s">
        <v>37</v>
      </c>
      <c r="G58" s="25" t="s">
        <v>688</v>
      </c>
      <c r="H58" s="24">
        <v>3201</v>
      </c>
      <c r="I58" s="80">
        <v>45412</v>
      </c>
      <c r="J58" s="8">
        <v>7</v>
      </c>
      <c r="K58" s="10">
        <v>14.2857</v>
      </c>
      <c r="L58" s="81">
        <v>121376</v>
      </c>
      <c r="M58" s="82">
        <f>Impuestos3225[[#This Row],[Valor Adquisición (S/)]]*Impuestos3225[[#This Row],[Tasa  % ]]/100</f>
        <v>17339.411231999999</v>
      </c>
      <c r="N58" s="81">
        <f>Impuestos3225[[#This Row],[Depreciación Anual]]/12</f>
        <v>1444.950936</v>
      </c>
      <c r="O58" s="83">
        <f ca="1">ROUNDDOWN((TODAY()-Impuestos3225[[#This Row],[Fecha de Activación Ingreso]])/365, 0)</f>
        <v>1</v>
      </c>
      <c r="P58" s="81">
        <f ca="1">MIN(Impuestos3225[[#This Row],[Depreciación Anual]] * Impuestos3225[[#This Row],[Años Transcurridos]], Impuestos3225[[#This Row],[Valor Adquisición (S/)]])</f>
        <v>17339.411231999999</v>
      </c>
      <c r="Q58" s="81">
        <f ca="1">MAX(Impuestos3225[[#This Row],[Valor Adquisición (S/)]]-Impuestos3225[[#This Row],[Depreciación Acumulada]], 0)</f>
        <v>104036.588768</v>
      </c>
      <c r="R58" s="81" t="str">
        <f ca="1">IF(Impuestos3225[[#This Row],[Valor Adquisición (S/)]]="","", IF(Impuestos3225[[#This Row],[Valor Neto Actual]]=0,"Veh. Ya no deprecia",""))</f>
        <v/>
      </c>
      <c r="S58" s="81" t="s">
        <v>48</v>
      </c>
      <c r="T58" s="81">
        <f>IFERROR(VLOOKUP(Impuestos3225[[#This Row],[Placa Vehiculo]],$AR$6:$CA$159,26,0),"")</f>
        <v>121376</v>
      </c>
      <c r="U58" s="81" t="str">
        <f>IF(Impuestos3225[[#This Row],[Buscar Monto]]=Impuestos3225[[#This Row],[Valor Adquisición (S/)]],"ok","mal")</f>
        <v>ok</v>
      </c>
      <c r="V58" s="81"/>
      <c r="Z58" s="87"/>
      <c r="AR58" s="21" t="str">
        <f t="shared" si="5"/>
        <v>BYS-793</v>
      </c>
      <c r="AS58" s="21">
        <f t="shared" si="6"/>
        <v>3201</v>
      </c>
      <c r="AT58" s="21" t="s">
        <v>48</v>
      </c>
      <c r="AU58" s="98">
        <v>34</v>
      </c>
      <c r="AV58" s="112">
        <v>3341110</v>
      </c>
      <c r="AW58" s="99">
        <v>340157</v>
      </c>
      <c r="AX58" s="100">
        <v>343001000114</v>
      </c>
      <c r="AY58" s="101" t="s">
        <v>653</v>
      </c>
      <c r="AZ58" s="101" t="s">
        <v>689</v>
      </c>
      <c r="BA58" s="101"/>
      <c r="BB58" s="101"/>
      <c r="BC58" s="101"/>
      <c r="BD58" s="102">
        <v>202404026</v>
      </c>
      <c r="BE58" s="101" t="s">
        <v>309</v>
      </c>
      <c r="BF58" s="101"/>
      <c r="BG58" s="103" t="s">
        <v>688</v>
      </c>
      <c r="BH58" s="103" t="s">
        <v>690</v>
      </c>
      <c r="BI58" s="113" t="s">
        <v>311</v>
      </c>
      <c r="BJ58" s="101" t="s">
        <v>310</v>
      </c>
      <c r="BK58" s="104">
        <v>9311090</v>
      </c>
      <c r="BL58" s="104">
        <v>311094001</v>
      </c>
      <c r="BM58" s="104">
        <v>3201</v>
      </c>
      <c r="BN58" s="105">
        <v>45412</v>
      </c>
      <c r="BO58" s="98">
        <v>7</v>
      </c>
      <c r="BP58" s="116">
        <v>14.2857</v>
      </c>
      <c r="BQ58" s="114">
        <v>121376</v>
      </c>
      <c r="BR58" s="107"/>
      <c r="BS58" s="114"/>
      <c r="BT58" s="106">
        <v>11559.600000000002</v>
      </c>
      <c r="BU58" s="108">
        <v>1444.95</v>
      </c>
      <c r="BV58" s="108">
        <v>1444.95</v>
      </c>
      <c r="BW58" s="109">
        <v>8669.7000000000007</v>
      </c>
      <c r="BX58" s="110">
        <v>20229.300000000003</v>
      </c>
      <c r="BY58" s="110"/>
      <c r="BZ58" s="110"/>
      <c r="CA58" s="108">
        <v>101146.7</v>
      </c>
    </row>
    <row r="59" spans="3:79" x14ac:dyDescent="0.3">
      <c r="C59" s="40" t="str">
        <f>Impuestos3225[[#This Row],[Familia]]</f>
        <v>Pick Up EV 4x2 JAC</v>
      </c>
      <c r="D59" s="7">
        <f t="shared" si="0"/>
        <v>53</v>
      </c>
      <c r="E59" s="24" t="s">
        <v>154</v>
      </c>
      <c r="F59" s="24" t="s">
        <v>37</v>
      </c>
      <c r="G59" s="25" t="s">
        <v>688</v>
      </c>
      <c r="H59" s="24">
        <v>3201</v>
      </c>
      <c r="I59" s="80">
        <v>45412</v>
      </c>
      <c r="J59" s="8">
        <v>7</v>
      </c>
      <c r="K59" s="10">
        <v>14.2857</v>
      </c>
      <c r="L59" s="81">
        <v>121376</v>
      </c>
      <c r="M59" s="82">
        <f>Impuestos3225[[#This Row],[Valor Adquisición (S/)]]*Impuestos3225[[#This Row],[Tasa  % ]]/100</f>
        <v>17339.411231999999</v>
      </c>
      <c r="N59" s="81">
        <f>Impuestos3225[[#This Row],[Depreciación Anual]]/12</f>
        <v>1444.950936</v>
      </c>
      <c r="O59" s="83">
        <f ca="1">ROUNDDOWN((TODAY()-Impuestos3225[[#This Row],[Fecha de Activación Ingreso]])/365, 0)</f>
        <v>1</v>
      </c>
      <c r="P59" s="81">
        <f ca="1">MIN(Impuestos3225[[#This Row],[Depreciación Anual]] * Impuestos3225[[#This Row],[Años Transcurridos]], Impuestos3225[[#This Row],[Valor Adquisición (S/)]])</f>
        <v>17339.411231999999</v>
      </c>
      <c r="Q59" s="81">
        <f ca="1">MAX(Impuestos3225[[#This Row],[Valor Adquisición (S/)]]-Impuestos3225[[#This Row],[Depreciación Acumulada]], 0)</f>
        <v>104036.588768</v>
      </c>
      <c r="R59" s="81" t="str">
        <f ca="1">IF(Impuestos3225[[#This Row],[Valor Adquisición (S/)]]="","", IF(Impuestos3225[[#This Row],[Valor Neto Actual]]=0,"Veh. Ya no deprecia",""))</f>
        <v/>
      </c>
      <c r="S59" s="81" t="s">
        <v>48</v>
      </c>
      <c r="T59" s="81">
        <f>IFERROR(VLOOKUP(Impuestos3225[[#This Row],[Placa Vehiculo]],$AR$6:$CA$159,26,0),"")</f>
        <v>121376</v>
      </c>
      <c r="U59" s="81" t="str">
        <f>IF(Impuestos3225[[#This Row],[Buscar Monto]]=Impuestos3225[[#This Row],[Valor Adquisición (S/)]],"ok","mal")</f>
        <v>ok</v>
      </c>
      <c r="V59" s="81"/>
      <c r="Z59" s="87"/>
      <c r="AR59" s="21" t="str">
        <f t="shared" si="5"/>
        <v>BYR-948</v>
      </c>
      <c r="AS59" s="21">
        <f t="shared" si="6"/>
        <v>3201</v>
      </c>
      <c r="AT59" s="21" t="s">
        <v>48</v>
      </c>
      <c r="AU59" s="98">
        <v>34</v>
      </c>
      <c r="AV59" s="112">
        <v>3341110</v>
      </c>
      <c r="AW59" s="99">
        <v>340158</v>
      </c>
      <c r="AX59" s="100">
        <v>343001000115</v>
      </c>
      <c r="AY59" s="101" t="s">
        <v>653</v>
      </c>
      <c r="AZ59" s="101" t="s">
        <v>689</v>
      </c>
      <c r="BA59" s="101"/>
      <c r="BB59" s="101"/>
      <c r="BC59" s="101"/>
      <c r="BD59" s="102">
        <v>202404027</v>
      </c>
      <c r="BE59" s="101" t="s">
        <v>293</v>
      </c>
      <c r="BF59" s="101"/>
      <c r="BG59" s="103" t="s">
        <v>688</v>
      </c>
      <c r="BH59" s="103" t="s">
        <v>690</v>
      </c>
      <c r="BI59" s="113" t="s">
        <v>295</v>
      </c>
      <c r="BJ59" s="101" t="s">
        <v>298</v>
      </c>
      <c r="BK59" s="104">
        <v>9311090</v>
      </c>
      <c r="BL59" s="104">
        <v>311094001</v>
      </c>
      <c r="BM59" s="104">
        <v>3201</v>
      </c>
      <c r="BN59" s="105">
        <v>45412</v>
      </c>
      <c r="BO59" s="98">
        <v>7</v>
      </c>
      <c r="BP59" s="116">
        <v>14.2857</v>
      </c>
      <c r="BQ59" s="114">
        <v>121376</v>
      </c>
      <c r="BR59" s="107"/>
      <c r="BS59" s="114"/>
      <c r="BT59" s="106">
        <v>11559.600000000002</v>
      </c>
      <c r="BU59" s="108">
        <v>1444.95</v>
      </c>
      <c r="BV59" s="108">
        <v>1444.95</v>
      </c>
      <c r="BW59" s="109">
        <v>8669.7000000000007</v>
      </c>
      <c r="BX59" s="110">
        <v>20229.300000000003</v>
      </c>
      <c r="BY59" s="110"/>
      <c r="BZ59" s="110"/>
      <c r="CA59" s="108">
        <v>101146.7</v>
      </c>
    </row>
    <row r="60" spans="3:79" x14ac:dyDescent="0.3">
      <c r="C60" s="40" t="str">
        <f>Impuestos3225[[#This Row],[Familia]]</f>
        <v>Pick Up EV 4x2 JAC</v>
      </c>
      <c r="D60" s="7">
        <f t="shared" si="0"/>
        <v>54</v>
      </c>
      <c r="E60" s="24" t="s">
        <v>155</v>
      </c>
      <c r="F60" s="24" t="s">
        <v>37</v>
      </c>
      <c r="G60" s="25" t="s">
        <v>688</v>
      </c>
      <c r="H60" s="24">
        <v>3201</v>
      </c>
      <c r="I60" s="80">
        <v>45412</v>
      </c>
      <c r="J60" s="8">
        <v>7</v>
      </c>
      <c r="K60" s="10">
        <v>14.2857</v>
      </c>
      <c r="L60" s="81">
        <v>121376</v>
      </c>
      <c r="M60" s="82">
        <f>Impuestos3225[[#This Row],[Valor Adquisición (S/)]]*Impuestos3225[[#This Row],[Tasa  % ]]/100</f>
        <v>17339.411231999999</v>
      </c>
      <c r="N60" s="81">
        <f>Impuestos3225[[#This Row],[Depreciación Anual]]/12</f>
        <v>1444.950936</v>
      </c>
      <c r="O60" s="83">
        <f ca="1">ROUNDDOWN((TODAY()-Impuestos3225[[#This Row],[Fecha de Activación Ingreso]])/365, 0)</f>
        <v>1</v>
      </c>
      <c r="P60" s="81">
        <f ca="1">MIN(Impuestos3225[[#This Row],[Depreciación Anual]] * Impuestos3225[[#This Row],[Años Transcurridos]], Impuestos3225[[#This Row],[Valor Adquisición (S/)]])</f>
        <v>17339.411231999999</v>
      </c>
      <c r="Q60" s="81">
        <f ca="1">MAX(Impuestos3225[[#This Row],[Valor Adquisición (S/)]]-Impuestos3225[[#This Row],[Depreciación Acumulada]], 0)</f>
        <v>104036.588768</v>
      </c>
      <c r="R60" s="81" t="str">
        <f ca="1">IF(Impuestos3225[[#This Row],[Valor Adquisición (S/)]]="","", IF(Impuestos3225[[#This Row],[Valor Neto Actual]]=0,"Veh. Ya no deprecia",""))</f>
        <v/>
      </c>
      <c r="S60" s="81" t="s">
        <v>48</v>
      </c>
      <c r="T60" s="81">
        <f>IFERROR(VLOOKUP(Impuestos3225[[#This Row],[Placa Vehiculo]],$AR$6:$CA$159,26,0),"")</f>
        <v>121376</v>
      </c>
      <c r="U60" s="81" t="str">
        <f>IF(Impuestos3225[[#This Row],[Buscar Monto]]=Impuestos3225[[#This Row],[Valor Adquisición (S/)]],"ok","mal")</f>
        <v>ok</v>
      </c>
      <c r="V60" s="81"/>
      <c r="Z60" s="87"/>
      <c r="AR60" s="21" t="str">
        <f t="shared" si="5"/>
        <v>BYS-764</v>
      </c>
      <c r="AS60" s="21">
        <f t="shared" si="6"/>
        <v>3201</v>
      </c>
      <c r="AT60" s="21" t="s">
        <v>48</v>
      </c>
      <c r="AU60" s="98">
        <v>34</v>
      </c>
      <c r="AV60" s="112">
        <v>3341110</v>
      </c>
      <c r="AW60" s="99">
        <v>340159</v>
      </c>
      <c r="AX60" s="100">
        <v>343001000116</v>
      </c>
      <c r="AY60" s="101" t="s">
        <v>653</v>
      </c>
      <c r="AZ60" s="101" t="s">
        <v>689</v>
      </c>
      <c r="BA60" s="101"/>
      <c r="BB60" s="101"/>
      <c r="BC60" s="101"/>
      <c r="BD60" s="102">
        <v>202404028</v>
      </c>
      <c r="BE60" s="101" t="s">
        <v>297</v>
      </c>
      <c r="BF60" s="101"/>
      <c r="BG60" s="103" t="s">
        <v>688</v>
      </c>
      <c r="BH60" s="103" t="s">
        <v>690</v>
      </c>
      <c r="BI60" s="113" t="s">
        <v>299</v>
      </c>
      <c r="BJ60" s="101" t="s">
        <v>282</v>
      </c>
      <c r="BK60" s="104">
        <v>9311090</v>
      </c>
      <c r="BL60" s="104">
        <v>311094001</v>
      </c>
      <c r="BM60" s="104">
        <v>3201</v>
      </c>
      <c r="BN60" s="105">
        <v>45412</v>
      </c>
      <c r="BO60" s="98">
        <v>7</v>
      </c>
      <c r="BP60" s="116">
        <v>14.2857</v>
      </c>
      <c r="BQ60" s="114">
        <v>121376</v>
      </c>
      <c r="BR60" s="107"/>
      <c r="BS60" s="114"/>
      <c r="BT60" s="106">
        <v>11559.600000000002</v>
      </c>
      <c r="BU60" s="108">
        <v>1444.95</v>
      </c>
      <c r="BV60" s="108">
        <v>1444.95</v>
      </c>
      <c r="BW60" s="109">
        <v>8669.7000000000007</v>
      </c>
      <c r="BX60" s="110">
        <v>20229.300000000003</v>
      </c>
      <c r="BY60" s="110"/>
      <c r="BZ60" s="110"/>
      <c r="CA60" s="108">
        <v>101146.7</v>
      </c>
    </row>
    <row r="61" spans="3:79" x14ac:dyDescent="0.3">
      <c r="C61" s="40" t="str">
        <f>Impuestos3225[[#This Row],[Familia]]</f>
        <v>Pick Up EV 4x2 JAC</v>
      </c>
      <c r="D61" s="7">
        <f t="shared" si="0"/>
        <v>55</v>
      </c>
      <c r="E61" s="24" t="s">
        <v>153</v>
      </c>
      <c r="F61" s="24" t="s">
        <v>37</v>
      </c>
      <c r="G61" s="25" t="s">
        <v>688</v>
      </c>
      <c r="H61" s="24">
        <v>3201</v>
      </c>
      <c r="I61" s="80">
        <v>45412</v>
      </c>
      <c r="J61" s="8">
        <v>7</v>
      </c>
      <c r="K61" s="10">
        <v>14.2857</v>
      </c>
      <c r="L61" s="81">
        <v>121376</v>
      </c>
      <c r="M61" s="82">
        <f>Impuestos3225[[#This Row],[Valor Adquisición (S/)]]*Impuestos3225[[#This Row],[Tasa  % ]]/100</f>
        <v>17339.411231999999</v>
      </c>
      <c r="N61" s="81">
        <f>Impuestos3225[[#This Row],[Depreciación Anual]]/12</f>
        <v>1444.950936</v>
      </c>
      <c r="O61" s="83">
        <f ca="1">ROUNDDOWN((TODAY()-Impuestos3225[[#This Row],[Fecha de Activación Ingreso]])/365, 0)</f>
        <v>1</v>
      </c>
      <c r="P61" s="81">
        <f ca="1">MIN(Impuestos3225[[#This Row],[Depreciación Anual]] * Impuestos3225[[#This Row],[Años Transcurridos]], Impuestos3225[[#This Row],[Valor Adquisición (S/)]])</f>
        <v>17339.411231999999</v>
      </c>
      <c r="Q61" s="81">
        <f ca="1">MAX(Impuestos3225[[#This Row],[Valor Adquisición (S/)]]-Impuestos3225[[#This Row],[Depreciación Acumulada]], 0)</f>
        <v>104036.588768</v>
      </c>
      <c r="R61" s="81" t="str">
        <f ca="1">IF(Impuestos3225[[#This Row],[Valor Adquisición (S/)]]="","", IF(Impuestos3225[[#This Row],[Valor Neto Actual]]=0,"Veh. Ya no deprecia",""))</f>
        <v/>
      </c>
      <c r="S61" s="81" t="s">
        <v>48</v>
      </c>
      <c r="T61" s="81">
        <f>IFERROR(VLOOKUP(Impuestos3225[[#This Row],[Placa Vehiculo]],$AR$6:$CA$159,26,0),"")</f>
        <v>121376</v>
      </c>
      <c r="U61" s="81" t="str">
        <f>IF(Impuestos3225[[#This Row],[Buscar Monto]]=Impuestos3225[[#This Row],[Valor Adquisición (S/)]],"ok","mal")</f>
        <v>ok</v>
      </c>
      <c r="V61" s="81"/>
      <c r="Z61" s="87"/>
      <c r="AR61" s="21" t="str">
        <f t="shared" si="5"/>
        <v>BYR-944</v>
      </c>
      <c r="AS61" s="21">
        <f t="shared" si="6"/>
        <v>3201</v>
      </c>
      <c r="AT61" s="21" t="s">
        <v>48</v>
      </c>
      <c r="AU61" s="98">
        <v>34</v>
      </c>
      <c r="AV61" s="112">
        <v>3341110</v>
      </c>
      <c r="AW61" s="99">
        <v>340160</v>
      </c>
      <c r="AX61" s="100">
        <v>343001000117</v>
      </c>
      <c r="AY61" s="101" t="s">
        <v>653</v>
      </c>
      <c r="AZ61" s="101" t="s">
        <v>689</v>
      </c>
      <c r="BA61" s="101"/>
      <c r="BB61" s="101"/>
      <c r="BC61" s="101"/>
      <c r="BD61" s="102">
        <v>202404029</v>
      </c>
      <c r="BE61" s="101" t="s">
        <v>285</v>
      </c>
      <c r="BF61" s="101"/>
      <c r="BG61" s="103" t="s">
        <v>688</v>
      </c>
      <c r="BH61" s="103" t="s">
        <v>690</v>
      </c>
      <c r="BI61" s="113" t="s">
        <v>287</v>
      </c>
      <c r="BJ61" s="101" t="s">
        <v>279</v>
      </c>
      <c r="BK61" s="104">
        <v>9311090</v>
      </c>
      <c r="BL61" s="104">
        <v>311094001</v>
      </c>
      <c r="BM61" s="104">
        <v>3201</v>
      </c>
      <c r="BN61" s="105">
        <v>45412</v>
      </c>
      <c r="BO61" s="98">
        <v>7</v>
      </c>
      <c r="BP61" s="116">
        <v>14.2857</v>
      </c>
      <c r="BQ61" s="114">
        <v>121376</v>
      </c>
      <c r="BR61" s="107"/>
      <c r="BS61" s="114"/>
      <c r="BT61" s="106">
        <v>11559.600000000002</v>
      </c>
      <c r="BU61" s="108">
        <v>1444.95</v>
      </c>
      <c r="BV61" s="108">
        <v>1444.95</v>
      </c>
      <c r="BW61" s="109">
        <v>8669.7000000000007</v>
      </c>
      <c r="BX61" s="110">
        <v>20229.300000000003</v>
      </c>
      <c r="BY61" s="110"/>
      <c r="BZ61" s="110"/>
      <c r="CA61" s="108">
        <v>101146.7</v>
      </c>
    </row>
    <row r="62" spans="3:79" x14ac:dyDescent="0.3">
      <c r="C62" s="40" t="str">
        <f>Impuestos3225[[#This Row],[Familia]]</f>
        <v>Pick Up EV 4x2 JAC</v>
      </c>
      <c r="D62" s="7">
        <f t="shared" si="0"/>
        <v>56</v>
      </c>
      <c r="E62" s="24" t="s">
        <v>161</v>
      </c>
      <c r="F62" s="24" t="s">
        <v>37</v>
      </c>
      <c r="G62" s="25" t="s">
        <v>688</v>
      </c>
      <c r="H62" s="24">
        <v>3201</v>
      </c>
      <c r="I62" s="80">
        <v>45412</v>
      </c>
      <c r="J62" s="8">
        <v>7</v>
      </c>
      <c r="K62" s="10">
        <v>14.2857</v>
      </c>
      <c r="L62" s="81">
        <v>121376</v>
      </c>
      <c r="M62" s="82">
        <f>Impuestos3225[[#This Row],[Valor Adquisición (S/)]]*Impuestos3225[[#This Row],[Tasa  % ]]/100</f>
        <v>17339.411231999999</v>
      </c>
      <c r="N62" s="81">
        <f>Impuestos3225[[#This Row],[Depreciación Anual]]/12</f>
        <v>1444.950936</v>
      </c>
      <c r="O62" s="83">
        <f ca="1">ROUNDDOWN((TODAY()-Impuestos3225[[#This Row],[Fecha de Activación Ingreso]])/365, 0)</f>
        <v>1</v>
      </c>
      <c r="P62" s="81">
        <f ca="1">MIN(Impuestos3225[[#This Row],[Depreciación Anual]] * Impuestos3225[[#This Row],[Años Transcurridos]], Impuestos3225[[#This Row],[Valor Adquisición (S/)]])</f>
        <v>17339.411231999999</v>
      </c>
      <c r="Q62" s="81">
        <f ca="1">MAX(Impuestos3225[[#This Row],[Valor Adquisición (S/)]]-Impuestos3225[[#This Row],[Depreciación Acumulada]], 0)</f>
        <v>104036.588768</v>
      </c>
      <c r="R62" s="81" t="str">
        <f ca="1">IF(Impuestos3225[[#This Row],[Valor Adquisición (S/)]]="","", IF(Impuestos3225[[#This Row],[Valor Neto Actual]]=0,"Veh. Ya no deprecia",""))</f>
        <v/>
      </c>
      <c r="S62" s="81" t="s">
        <v>48</v>
      </c>
      <c r="T62" s="81">
        <f>IFERROR(VLOOKUP(Impuestos3225[[#This Row],[Placa Vehiculo]],$AR$6:$CA$159,26,0),"")</f>
        <v>121376</v>
      </c>
      <c r="U62" s="81" t="str">
        <f>IF(Impuestos3225[[#This Row],[Buscar Monto]]=Impuestos3225[[#This Row],[Valor Adquisición (S/)]],"ok","mal")</f>
        <v>ok</v>
      </c>
      <c r="V62" s="81"/>
      <c r="Z62" s="87"/>
      <c r="AR62" s="21" t="str">
        <f t="shared" si="5"/>
        <v>BYR-945</v>
      </c>
      <c r="AS62" s="21">
        <f t="shared" si="6"/>
        <v>3201</v>
      </c>
      <c r="AT62" s="21" t="s">
        <v>48</v>
      </c>
      <c r="AU62" s="98">
        <v>34</v>
      </c>
      <c r="AV62" s="112">
        <v>3341110</v>
      </c>
      <c r="AW62" s="99">
        <v>340161</v>
      </c>
      <c r="AX62" s="100">
        <v>343001000118</v>
      </c>
      <c r="AY62" s="101" t="s">
        <v>653</v>
      </c>
      <c r="AZ62" s="101" t="s">
        <v>689</v>
      </c>
      <c r="BA62" s="101"/>
      <c r="BB62" s="101"/>
      <c r="BC62" s="101"/>
      <c r="BD62" s="102">
        <v>202404030</v>
      </c>
      <c r="BE62" s="101" t="s">
        <v>278</v>
      </c>
      <c r="BF62" s="101"/>
      <c r="BG62" s="103" t="s">
        <v>688</v>
      </c>
      <c r="BH62" s="103" t="s">
        <v>690</v>
      </c>
      <c r="BI62" s="113" t="s">
        <v>280</v>
      </c>
      <c r="BJ62" s="101" t="s">
        <v>290</v>
      </c>
      <c r="BK62" s="104">
        <v>9311090</v>
      </c>
      <c r="BL62" s="104">
        <v>311094001</v>
      </c>
      <c r="BM62" s="104">
        <v>3201</v>
      </c>
      <c r="BN62" s="105">
        <v>45412</v>
      </c>
      <c r="BO62" s="98">
        <v>7</v>
      </c>
      <c r="BP62" s="116">
        <v>14.2857</v>
      </c>
      <c r="BQ62" s="114">
        <v>121376</v>
      </c>
      <c r="BR62" s="107"/>
      <c r="BS62" s="114"/>
      <c r="BT62" s="106">
        <v>11559.600000000002</v>
      </c>
      <c r="BU62" s="108">
        <v>1444.95</v>
      </c>
      <c r="BV62" s="108">
        <v>1444.95</v>
      </c>
      <c r="BW62" s="109">
        <v>8669.7000000000007</v>
      </c>
      <c r="BX62" s="110">
        <v>20229.300000000003</v>
      </c>
      <c r="BY62" s="110"/>
      <c r="BZ62" s="110"/>
      <c r="CA62" s="108">
        <v>101146.7</v>
      </c>
    </row>
    <row r="63" spans="3:79" x14ac:dyDescent="0.3">
      <c r="C63" s="40" t="str">
        <f>Impuestos3225[[#This Row],[Familia]]</f>
        <v>Pick Up EV 4x2 JAC</v>
      </c>
      <c r="D63" s="7">
        <f t="shared" si="0"/>
        <v>57</v>
      </c>
      <c r="E63" s="24" t="s">
        <v>157</v>
      </c>
      <c r="F63" s="24" t="s">
        <v>37</v>
      </c>
      <c r="G63" s="25" t="s">
        <v>688</v>
      </c>
      <c r="H63" s="24">
        <v>3201</v>
      </c>
      <c r="I63" s="80">
        <v>45412</v>
      </c>
      <c r="J63" s="8">
        <v>7</v>
      </c>
      <c r="K63" s="10">
        <v>14.2857</v>
      </c>
      <c r="L63" s="81">
        <v>121376</v>
      </c>
      <c r="M63" s="82">
        <f>Impuestos3225[[#This Row],[Valor Adquisición (S/)]]*Impuestos3225[[#This Row],[Tasa  % ]]/100</f>
        <v>17339.411231999999</v>
      </c>
      <c r="N63" s="81">
        <f>Impuestos3225[[#This Row],[Depreciación Anual]]/12</f>
        <v>1444.950936</v>
      </c>
      <c r="O63" s="83">
        <f ca="1">ROUNDDOWN((TODAY()-Impuestos3225[[#This Row],[Fecha de Activación Ingreso]])/365, 0)</f>
        <v>1</v>
      </c>
      <c r="P63" s="81">
        <f ca="1">MIN(Impuestos3225[[#This Row],[Depreciación Anual]] * Impuestos3225[[#This Row],[Años Transcurridos]], Impuestos3225[[#This Row],[Valor Adquisición (S/)]])</f>
        <v>17339.411231999999</v>
      </c>
      <c r="Q63" s="81">
        <f ca="1">MAX(Impuestos3225[[#This Row],[Valor Adquisición (S/)]]-Impuestos3225[[#This Row],[Depreciación Acumulada]], 0)</f>
        <v>104036.588768</v>
      </c>
      <c r="R63" s="81" t="str">
        <f ca="1">IF(Impuestos3225[[#This Row],[Valor Adquisición (S/)]]="","", IF(Impuestos3225[[#This Row],[Valor Neto Actual]]=0,"Veh. Ya no deprecia",""))</f>
        <v/>
      </c>
      <c r="S63" s="81" t="s">
        <v>48</v>
      </c>
      <c r="T63" s="81">
        <f>IFERROR(VLOOKUP(Impuestos3225[[#This Row],[Placa Vehiculo]],$AR$6:$CA$159,26,0),"")</f>
        <v>121376</v>
      </c>
      <c r="U63" s="81" t="str">
        <f>IF(Impuestos3225[[#This Row],[Buscar Monto]]=Impuestos3225[[#This Row],[Valor Adquisición (S/)]],"ok","mal")</f>
        <v>ok</v>
      </c>
      <c r="V63" s="81"/>
      <c r="Z63" s="87"/>
      <c r="AR63" s="21" t="str">
        <f t="shared" si="5"/>
        <v>BYS-799</v>
      </c>
      <c r="AS63" s="21">
        <f t="shared" si="6"/>
        <v>3201</v>
      </c>
      <c r="AT63" s="21" t="s">
        <v>48</v>
      </c>
      <c r="AU63" s="98">
        <v>34</v>
      </c>
      <c r="AV63" s="112">
        <v>3341110</v>
      </c>
      <c r="AW63" s="99">
        <v>340162</v>
      </c>
      <c r="AX63" s="100">
        <v>343001000119</v>
      </c>
      <c r="AY63" s="101" t="s">
        <v>653</v>
      </c>
      <c r="AZ63" s="101" t="s">
        <v>689</v>
      </c>
      <c r="BA63" s="101"/>
      <c r="BB63" s="101"/>
      <c r="BC63" s="101"/>
      <c r="BD63" s="102">
        <v>202404031</v>
      </c>
      <c r="BE63" s="101" t="s">
        <v>313</v>
      </c>
      <c r="BF63" s="101"/>
      <c r="BG63" s="103" t="s">
        <v>688</v>
      </c>
      <c r="BH63" s="103" t="s">
        <v>690</v>
      </c>
      <c r="BI63" s="113" t="s">
        <v>315</v>
      </c>
      <c r="BJ63" s="101" t="s">
        <v>314</v>
      </c>
      <c r="BK63" s="104">
        <v>9311090</v>
      </c>
      <c r="BL63" s="104">
        <v>311094001</v>
      </c>
      <c r="BM63" s="104">
        <v>3201</v>
      </c>
      <c r="BN63" s="105">
        <v>45412</v>
      </c>
      <c r="BO63" s="98">
        <v>7</v>
      </c>
      <c r="BP63" s="116">
        <v>14.2857</v>
      </c>
      <c r="BQ63" s="114">
        <v>121376</v>
      </c>
      <c r="BR63" s="107"/>
      <c r="BS63" s="114"/>
      <c r="BT63" s="106">
        <v>11559.600000000002</v>
      </c>
      <c r="BU63" s="108">
        <v>1444.95</v>
      </c>
      <c r="BV63" s="108">
        <v>1444.95</v>
      </c>
      <c r="BW63" s="109">
        <v>8669.7000000000007</v>
      </c>
      <c r="BX63" s="110">
        <v>20229.300000000003</v>
      </c>
      <c r="BY63" s="110"/>
      <c r="BZ63" s="110"/>
      <c r="CA63" s="108">
        <v>101146.7</v>
      </c>
    </row>
    <row r="64" spans="3:79" x14ac:dyDescent="0.3">
      <c r="C64" s="40" t="str">
        <f>Impuestos3225[[#This Row],[Familia]]</f>
        <v>Pick Up EV 4x2 JAC</v>
      </c>
      <c r="D64" s="7">
        <f t="shared" si="0"/>
        <v>58</v>
      </c>
      <c r="E64" s="24" t="s">
        <v>165</v>
      </c>
      <c r="F64" s="24" t="s">
        <v>37</v>
      </c>
      <c r="G64" s="25" t="s">
        <v>688</v>
      </c>
      <c r="H64" s="24">
        <v>3201</v>
      </c>
      <c r="I64" s="80">
        <v>45412</v>
      </c>
      <c r="J64" s="8">
        <v>7</v>
      </c>
      <c r="K64" s="10">
        <v>14.2857</v>
      </c>
      <c r="L64" s="81">
        <v>121376</v>
      </c>
      <c r="M64" s="82">
        <f>Impuestos3225[[#This Row],[Valor Adquisición (S/)]]*Impuestos3225[[#This Row],[Tasa  % ]]/100</f>
        <v>17339.411231999999</v>
      </c>
      <c r="N64" s="81">
        <f>Impuestos3225[[#This Row],[Depreciación Anual]]/12</f>
        <v>1444.950936</v>
      </c>
      <c r="O64" s="83">
        <f ca="1">ROUNDDOWN((TODAY()-Impuestos3225[[#This Row],[Fecha de Activación Ingreso]])/365, 0)</f>
        <v>1</v>
      </c>
      <c r="P64" s="81">
        <f ca="1">MIN(Impuestos3225[[#This Row],[Depreciación Anual]] * Impuestos3225[[#This Row],[Años Transcurridos]], Impuestos3225[[#This Row],[Valor Adquisición (S/)]])</f>
        <v>17339.411231999999</v>
      </c>
      <c r="Q64" s="81">
        <f ca="1">MAX(Impuestos3225[[#This Row],[Valor Adquisición (S/)]]-Impuestos3225[[#This Row],[Depreciación Acumulada]], 0)</f>
        <v>104036.588768</v>
      </c>
      <c r="R64" s="81" t="str">
        <f ca="1">IF(Impuestos3225[[#This Row],[Valor Adquisición (S/)]]="","", IF(Impuestos3225[[#This Row],[Valor Neto Actual]]=0,"Veh. Ya no deprecia",""))</f>
        <v/>
      </c>
      <c r="S64" s="81" t="s">
        <v>48</v>
      </c>
      <c r="T64" s="81">
        <f>IFERROR(VLOOKUP(Impuestos3225[[#This Row],[Placa Vehiculo]],$AR$6:$CA$159,26,0),"")</f>
        <v>121376</v>
      </c>
      <c r="U64" s="81" t="str">
        <f>IF(Impuestos3225[[#This Row],[Buscar Monto]]=Impuestos3225[[#This Row],[Valor Adquisición (S/)]],"ok","mal")</f>
        <v>ok</v>
      </c>
      <c r="V64" s="81"/>
      <c r="Z64" s="87"/>
      <c r="AR64" s="21" t="str">
        <f t="shared" si="5"/>
        <v>BYS-839</v>
      </c>
      <c r="AS64" s="21">
        <f t="shared" si="6"/>
        <v>3201</v>
      </c>
      <c r="AT64" s="21" t="s">
        <v>48</v>
      </c>
      <c r="AU64" s="98">
        <v>34</v>
      </c>
      <c r="AV64" s="112">
        <v>3341110</v>
      </c>
      <c r="AW64" s="99">
        <v>340163</v>
      </c>
      <c r="AX64" s="100">
        <v>343001000120</v>
      </c>
      <c r="AY64" s="101" t="s">
        <v>653</v>
      </c>
      <c r="AZ64" s="101" t="s">
        <v>689</v>
      </c>
      <c r="BA64" s="101"/>
      <c r="BB64" s="101"/>
      <c r="BC64" s="101"/>
      <c r="BD64" s="102">
        <v>202404032</v>
      </c>
      <c r="BE64" s="101" t="s">
        <v>321</v>
      </c>
      <c r="BF64" s="101"/>
      <c r="BG64" s="103" t="s">
        <v>688</v>
      </c>
      <c r="BH64" s="103" t="s">
        <v>690</v>
      </c>
      <c r="BI64" s="113" t="s">
        <v>323</v>
      </c>
      <c r="BJ64" s="101" t="s">
        <v>322</v>
      </c>
      <c r="BK64" s="104">
        <v>9311090</v>
      </c>
      <c r="BL64" s="104">
        <v>311094001</v>
      </c>
      <c r="BM64" s="104">
        <v>3201</v>
      </c>
      <c r="BN64" s="105">
        <v>45412</v>
      </c>
      <c r="BO64" s="98">
        <v>7</v>
      </c>
      <c r="BP64" s="116">
        <v>14.2857</v>
      </c>
      <c r="BQ64" s="114">
        <v>121376</v>
      </c>
      <c r="BR64" s="107"/>
      <c r="BS64" s="114"/>
      <c r="BT64" s="106">
        <v>11559.600000000002</v>
      </c>
      <c r="BU64" s="108">
        <v>1444.95</v>
      </c>
      <c r="BV64" s="108">
        <v>1444.95</v>
      </c>
      <c r="BW64" s="109">
        <v>8669.7000000000007</v>
      </c>
      <c r="BX64" s="110">
        <v>20229.300000000003</v>
      </c>
      <c r="BY64" s="110"/>
      <c r="BZ64" s="110"/>
      <c r="CA64" s="108">
        <v>101146.7</v>
      </c>
    </row>
    <row r="65" spans="3:79" x14ac:dyDescent="0.3">
      <c r="C65" s="40" t="str">
        <f>Impuestos3225[[#This Row],[Familia]]</f>
        <v>Pick Up EV 4x2 JAC</v>
      </c>
      <c r="D65" s="7">
        <f t="shared" si="0"/>
        <v>59</v>
      </c>
      <c r="E65" s="24" t="s">
        <v>167</v>
      </c>
      <c r="F65" s="24" t="s">
        <v>37</v>
      </c>
      <c r="G65" s="25" t="s">
        <v>688</v>
      </c>
      <c r="H65" s="24">
        <v>3201</v>
      </c>
      <c r="I65" s="80">
        <v>45412</v>
      </c>
      <c r="J65" s="8">
        <v>7</v>
      </c>
      <c r="K65" s="10">
        <v>14.2857</v>
      </c>
      <c r="L65" s="81">
        <v>121376</v>
      </c>
      <c r="M65" s="82">
        <f>Impuestos3225[[#This Row],[Valor Adquisición (S/)]]*Impuestos3225[[#This Row],[Tasa  % ]]/100</f>
        <v>17339.411231999999</v>
      </c>
      <c r="N65" s="81">
        <f>Impuestos3225[[#This Row],[Depreciación Anual]]/12</f>
        <v>1444.950936</v>
      </c>
      <c r="O65" s="83">
        <f ca="1">ROUNDDOWN((TODAY()-Impuestos3225[[#This Row],[Fecha de Activación Ingreso]])/365, 0)</f>
        <v>1</v>
      </c>
      <c r="P65" s="81">
        <f ca="1">MIN(Impuestos3225[[#This Row],[Depreciación Anual]] * Impuestos3225[[#This Row],[Años Transcurridos]], Impuestos3225[[#This Row],[Valor Adquisición (S/)]])</f>
        <v>17339.411231999999</v>
      </c>
      <c r="Q65" s="81">
        <f ca="1">MAX(Impuestos3225[[#This Row],[Valor Adquisición (S/)]]-Impuestos3225[[#This Row],[Depreciación Acumulada]], 0)</f>
        <v>104036.588768</v>
      </c>
      <c r="R65" s="81" t="str">
        <f ca="1">IF(Impuestos3225[[#This Row],[Valor Adquisición (S/)]]="","", IF(Impuestos3225[[#This Row],[Valor Neto Actual]]=0,"Veh. Ya no deprecia",""))</f>
        <v/>
      </c>
      <c r="S65" s="81" t="s">
        <v>48</v>
      </c>
      <c r="T65" s="81">
        <f>IFERROR(VLOOKUP(Impuestos3225[[#This Row],[Placa Vehiculo]],$AR$6:$CA$159,26,0),"")</f>
        <v>121376</v>
      </c>
      <c r="U65" s="81" t="str">
        <f>IF(Impuestos3225[[#This Row],[Buscar Monto]]=Impuestos3225[[#This Row],[Valor Adquisición (S/)]],"ok","mal")</f>
        <v>ok</v>
      </c>
      <c r="V65" s="81"/>
      <c r="Z65" s="87"/>
      <c r="AR65" s="21" t="str">
        <f t="shared" si="5"/>
        <v>BYS-854</v>
      </c>
      <c r="AS65" s="21">
        <f t="shared" si="6"/>
        <v>3201</v>
      </c>
      <c r="AT65" s="21" t="s">
        <v>48</v>
      </c>
      <c r="AU65" s="98">
        <v>34</v>
      </c>
      <c r="AV65" s="112">
        <v>3341110</v>
      </c>
      <c r="AW65" s="99">
        <v>340164</v>
      </c>
      <c r="AX65" s="100">
        <v>343001000121</v>
      </c>
      <c r="AY65" s="101" t="s">
        <v>653</v>
      </c>
      <c r="AZ65" s="101" t="s">
        <v>689</v>
      </c>
      <c r="BA65" s="101"/>
      <c r="BB65" s="101"/>
      <c r="BC65" s="101"/>
      <c r="BD65" s="102">
        <v>202404033</v>
      </c>
      <c r="BE65" s="101" t="s">
        <v>329</v>
      </c>
      <c r="BF65" s="101"/>
      <c r="BG65" s="103" t="s">
        <v>688</v>
      </c>
      <c r="BH65" s="103" t="s">
        <v>690</v>
      </c>
      <c r="BI65" s="113" t="s">
        <v>331</v>
      </c>
      <c r="BJ65" s="101" t="s">
        <v>330</v>
      </c>
      <c r="BK65" s="104">
        <v>9311090</v>
      </c>
      <c r="BL65" s="104">
        <v>311094001</v>
      </c>
      <c r="BM65" s="104">
        <v>3201</v>
      </c>
      <c r="BN65" s="105">
        <v>45412</v>
      </c>
      <c r="BO65" s="98">
        <v>7</v>
      </c>
      <c r="BP65" s="116">
        <v>14.2857</v>
      </c>
      <c r="BQ65" s="114">
        <v>121376</v>
      </c>
      <c r="BR65" s="107"/>
      <c r="BS65" s="114"/>
      <c r="BT65" s="106">
        <v>11559.600000000002</v>
      </c>
      <c r="BU65" s="108">
        <v>1444.95</v>
      </c>
      <c r="BV65" s="108">
        <v>1444.95</v>
      </c>
      <c r="BW65" s="109">
        <v>8669.7000000000007</v>
      </c>
      <c r="BX65" s="110">
        <v>20229.300000000003</v>
      </c>
      <c r="BY65" s="110"/>
      <c r="BZ65" s="110"/>
      <c r="CA65" s="108">
        <v>101146.7</v>
      </c>
    </row>
    <row r="66" spans="3:79" x14ac:dyDescent="0.3">
      <c r="C66" s="40" t="str">
        <f>Impuestos3225[[#This Row],[Familia]]</f>
        <v>Pick Up EV 4x2 JAC</v>
      </c>
      <c r="D66" s="7">
        <f t="shared" si="0"/>
        <v>60</v>
      </c>
      <c r="E66" s="24" t="s">
        <v>164</v>
      </c>
      <c r="F66" s="24" t="s">
        <v>37</v>
      </c>
      <c r="G66" s="25" t="s">
        <v>688</v>
      </c>
      <c r="H66" s="24">
        <v>3201</v>
      </c>
      <c r="I66" s="80">
        <v>45412</v>
      </c>
      <c r="J66" s="8">
        <v>7</v>
      </c>
      <c r="K66" s="10">
        <v>14.2857</v>
      </c>
      <c r="L66" s="81">
        <v>121376</v>
      </c>
      <c r="M66" s="82">
        <f>Impuestos3225[[#This Row],[Valor Adquisición (S/)]]*Impuestos3225[[#This Row],[Tasa  % ]]/100</f>
        <v>17339.411231999999</v>
      </c>
      <c r="N66" s="81">
        <f>Impuestos3225[[#This Row],[Depreciación Anual]]/12</f>
        <v>1444.950936</v>
      </c>
      <c r="O66" s="83">
        <f ca="1">ROUNDDOWN((TODAY()-Impuestos3225[[#This Row],[Fecha de Activación Ingreso]])/365, 0)</f>
        <v>1</v>
      </c>
      <c r="P66" s="81">
        <f ca="1">MIN(Impuestos3225[[#This Row],[Depreciación Anual]] * Impuestos3225[[#This Row],[Años Transcurridos]], Impuestos3225[[#This Row],[Valor Adquisición (S/)]])</f>
        <v>17339.411231999999</v>
      </c>
      <c r="Q66" s="81">
        <f ca="1">MAX(Impuestos3225[[#This Row],[Valor Adquisición (S/)]]-Impuestos3225[[#This Row],[Depreciación Acumulada]], 0)</f>
        <v>104036.588768</v>
      </c>
      <c r="R66" s="81" t="str">
        <f ca="1">IF(Impuestos3225[[#This Row],[Valor Adquisición (S/)]]="","", IF(Impuestos3225[[#This Row],[Valor Neto Actual]]=0,"Veh. Ya no deprecia",""))</f>
        <v/>
      </c>
      <c r="S66" s="81" t="s">
        <v>48</v>
      </c>
      <c r="T66" s="81">
        <f>IFERROR(VLOOKUP(Impuestos3225[[#This Row],[Placa Vehiculo]],$AR$6:$CA$159,26,0),"")</f>
        <v>121376</v>
      </c>
      <c r="U66" s="81" t="str">
        <f>IF(Impuestos3225[[#This Row],[Buscar Monto]]=Impuestos3225[[#This Row],[Valor Adquisición (S/)]],"ok","mal")</f>
        <v>ok</v>
      </c>
      <c r="V66" s="81"/>
      <c r="Z66" s="87"/>
      <c r="AR66" s="21" t="str">
        <f t="shared" si="5"/>
        <v>BYS-790</v>
      </c>
      <c r="AS66" s="21">
        <f t="shared" si="6"/>
        <v>3201</v>
      </c>
      <c r="AT66" s="21" t="s">
        <v>48</v>
      </c>
      <c r="AU66" s="98">
        <v>34</v>
      </c>
      <c r="AV66" s="112">
        <v>3341110</v>
      </c>
      <c r="AW66" s="99">
        <v>340165</v>
      </c>
      <c r="AX66" s="100">
        <v>343001000122</v>
      </c>
      <c r="AY66" s="101" t="s">
        <v>653</v>
      </c>
      <c r="AZ66" s="101" t="s">
        <v>689</v>
      </c>
      <c r="BA66" s="101"/>
      <c r="BB66" s="101"/>
      <c r="BC66" s="101"/>
      <c r="BD66" s="102">
        <v>202404034</v>
      </c>
      <c r="BE66" s="101" t="s">
        <v>305</v>
      </c>
      <c r="BF66" s="101"/>
      <c r="BG66" s="103" t="s">
        <v>688</v>
      </c>
      <c r="BH66" s="103" t="s">
        <v>690</v>
      </c>
      <c r="BI66" s="113" t="s">
        <v>307</v>
      </c>
      <c r="BJ66" s="101" t="s">
        <v>306</v>
      </c>
      <c r="BK66" s="104">
        <v>9311090</v>
      </c>
      <c r="BL66" s="104">
        <v>311094001</v>
      </c>
      <c r="BM66" s="104">
        <v>3201</v>
      </c>
      <c r="BN66" s="105">
        <v>45412</v>
      </c>
      <c r="BO66" s="98">
        <v>7</v>
      </c>
      <c r="BP66" s="116">
        <v>14.2857</v>
      </c>
      <c r="BQ66" s="114">
        <v>121376</v>
      </c>
      <c r="BR66" s="107"/>
      <c r="BS66" s="114"/>
      <c r="BT66" s="106">
        <v>11559.600000000002</v>
      </c>
      <c r="BU66" s="108">
        <v>1444.95</v>
      </c>
      <c r="BV66" s="108">
        <v>1444.95</v>
      </c>
      <c r="BW66" s="109">
        <v>8669.7000000000007</v>
      </c>
      <c r="BX66" s="110">
        <v>20229.300000000003</v>
      </c>
      <c r="BY66" s="110"/>
      <c r="BZ66" s="110"/>
      <c r="CA66" s="108">
        <v>101146.7</v>
      </c>
    </row>
    <row r="67" spans="3:79" x14ac:dyDescent="0.3">
      <c r="C67" s="40" t="str">
        <f>Impuestos3225[[#This Row],[Familia]]</f>
        <v>Pick Up EV 4x2 JAC</v>
      </c>
      <c r="D67" s="7">
        <f t="shared" si="0"/>
        <v>61</v>
      </c>
      <c r="E67" s="24" t="s">
        <v>163</v>
      </c>
      <c r="F67" s="24" t="s">
        <v>37</v>
      </c>
      <c r="G67" s="25" t="s">
        <v>688</v>
      </c>
      <c r="H67" s="24">
        <v>3201</v>
      </c>
      <c r="I67" s="80">
        <v>45412</v>
      </c>
      <c r="J67" s="8">
        <v>7</v>
      </c>
      <c r="K67" s="10">
        <v>14.2857</v>
      </c>
      <c r="L67" s="81">
        <v>121376</v>
      </c>
      <c r="M67" s="82">
        <f>Impuestos3225[[#This Row],[Valor Adquisición (S/)]]*Impuestos3225[[#This Row],[Tasa  % ]]/100</f>
        <v>17339.411231999999</v>
      </c>
      <c r="N67" s="81">
        <f>Impuestos3225[[#This Row],[Depreciación Anual]]/12</f>
        <v>1444.950936</v>
      </c>
      <c r="O67" s="83">
        <f ca="1">ROUNDDOWN((TODAY()-Impuestos3225[[#This Row],[Fecha de Activación Ingreso]])/365, 0)</f>
        <v>1</v>
      </c>
      <c r="P67" s="81">
        <f ca="1">MIN(Impuestos3225[[#This Row],[Depreciación Anual]] * Impuestos3225[[#This Row],[Años Transcurridos]], Impuestos3225[[#This Row],[Valor Adquisición (S/)]])</f>
        <v>17339.411231999999</v>
      </c>
      <c r="Q67" s="81">
        <f ca="1">MAX(Impuestos3225[[#This Row],[Valor Adquisición (S/)]]-Impuestos3225[[#This Row],[Depreciación Acumulada]], 0)</f>
        <v>104036.588768</v>
      </c>
      <c r="R67" s="81" t="str">
        <f ca="1">IF(Impuestos3225[[#This Row],[Valor Adquisición (S/)]]="","", IF(Impuestos3225[[#This Row],[Valor Neto Actual]]=0,"Veh. Ya no deprecia",""))</f>
        <v/>
      </c>
      <c r="S67" s="81" t="s">
        <v>48</v>
      </c>
      <c r="T67" s="81">
        <f>IFERROR(VLOOKUP(Impuestos3225[[#This Row],[Placa Vehiculo]],$AR$6:$CA$159,26,0),"")</f>
        <v>121376</v>
      </c>
      <c r="U67" s="81" t="str">
        <f>IF(Impuestos3225[[#This Row],[Buscar Monto]]=Impuestos3225[[#This Row],[Valor Adquisición (S/)]],"ok","mal")</f>
        <v>ok</v>
      </c>
      <c r="V67" s="81"/>
      <c r="Z67" s="87"/>
      <c r="AR67" s="21" t="str">
        <f t="shared" si="5"/>
        <v>BYS-767</v>
      </c>
      <c r="AS67" s="21">
        <f t="shared" si="6"/>
        <v>3201</v>
      </c>
      <c r="AT67" s="21" t="s">
        <v>48</v>
      </c>
      <c r="AU67" s="98">
        <v>34</v>
      </c>
      <c r="AV67" s="112">
        <v>3341110</v>
      </c>
      <c r="AW67" s="99">
        <v>340166</v>
      </c>
      <c r="AX67" s="100">
        <v>343001000123</v>
      </c>
      <c r="AY67" s="101" t="s">
        <v>653</v>
      </c>
      <c r="AZ67" s="101" t="s">
        <v>689</v>
      </c>
      <c r="BA67" s="101"/>
      <c r="BB67" s="101"/>
      <c r="BC67" s="101"/>
      <c r="BD67" s="102">
        <v>202404035</v>
      </c>
      <c r="BE67" s="101" t="s">
        <v>301</v>
      </c>
      <c r="BF67" s="101"/>
      <c r="BG67" s="103" t="s">
        <v>688</v>
      </c>
      <c r="BH67" s="103" t="s">
        <v>690</v>
      </c>
      <c r="BI67" s="113" t="s">
        <v>303</v>
      </c>
      <c r="BJ67" s="101" t="s">
        <v>302</v>
      </c>
      <c r="BK67" s="104">
        <v>9311090</v>
      </c>
      <c r="BL67" s="104">
        <v>311094001</v>
      </c>
      <c r="BM67" s="104">
        <v>3201</v>
      </c>
      <c r="BN67" s="105">
        <v>45412</v>
      </c>
      <c r="BO67" s="98">
        <v>7</v>
      </c>
      <c r="BP67" s="116">
        <v>14.2857</v>
      </c>
      <c r="BQ67" s="114">
        <v>121376</v>
      </c>
      <c r="BR67" s="107"/>
      <c r="BS67" s="114"/>
      <c r="BT67" s="106">
        <v>11559.600000000002</v>
      </c>
      <c r="BU67" s="108">
        <v>1444.95</v>
      </c>
      <c r="BV67" s="108">
        <v>1444.95</v>
      </c>
      <c r="BW67" s="109">
        <v>8669.7000000000007</v>
      </c>
      <c r="BX67" s="110">
        <v>20229.300000000003</v>
      </c>
      <c r="BY67" s="110"/>
      <c r="BZ67" s="110"/>
      <c r="CA67" s="108">
        <v>101146.7</v>
      </c>
    </row>
    <row r="68" spans="3:79" x14ac:dyDescent="0.3">
      <c r="C68" s="40" t="str">
        <f>Impuestos3225[[#This Row],[Familia]]</f>
        <v>Pick Up EV 4x2 JAC</v>
      </c>
      <c r="D68" s="7">
        <f t="shared" si="0"/>
        <v>62</v>
      </c>
      <c r="E68" s="24" t="s">
        <v>162</v>
      </c>
      <c r="F68" s="24" t="s">
        <v>37</v>
      </c>
      <c r="G68" s="25" t="s">
        <v>688</v>
      </c>
      <c r="H68" s="24">
        <v>3201</v>
      </c>
      <c r="I68" s="80">
        <v>45412</v>
      </c>
      <c r="J68" s="8">
        <v>7</v>
      </c>
      <c r="K68" s="10">
        <v>14.2857</v>
      </c>
      <c r="L68" s="81">
        <v>121504</v>
      </c>
      <c r="M68" s="82">
        <f>Impuestos3225[[#This Row],[Valor Adquisición (S/)]]*Impuestos3225[[#This Row],[Tasa  % ]]/100</f>
        <v>17357.696928000001</v>
      </c>
      <c r="N68" s="81">
        <f>Impuestos3225[[#This Row],[Depreciación Anual]]/12</f>
        <v>1446.4747440000001</v>
      </c>
      <c r="O68" s="83">
        <f ca="1">ROUNDDOWN((TODAY()-Impuestos3225[[#This Row],[Fecha de Activación Ingreso]])/365, 0)</f>
        <v>1</v>
      </c>
      <c r="P68" s="81">
        <f ca="1">MIN(Impuestos3225[[#This Row],[Depreciación Anual]] * Impuestos3225[[#This Row],[Años Transcurridos]], Impuestos3225[[#This Row],[Valor Adquisición (S/)]])</f>
        <v>17357.696928000001</v>
      </c>
      <c r="Q68" s="81">
        <f ca="1">MAX(Impuestos3225[[#This Row],[Valor Adquisición (S/)]]-Impuestos3225[[#This Row],[Depreciación Acumulada]], 0)</f>
        <v>104146.303072</v>
      </c>
      <c r="R68" s="81" t="str">
        <f ca="1">IF(Impuestos3225[[#This Row],[Valor Adquisición (S/)]]="","", IF(Impuestos3225[[#This Row],[Valor Neto Actual]]=0,"Veh. Ya no deprecia",""))</f>
        <v/>
      </c>
      <c r="S68" s="81" t="s">
        <v>48</v>
      </c>
      <c r="T68" s="81">
        <f>IFERROR(VLOOKUP(Impuestos3225[[#This Row],[Placa Vehiculo]],$AR$6:$CA$159,26,0),"")</f>
        <v>121504</v>
      </c>
      <c r="U68" s="81" t="str">
        <f>IF(Impuestos3225[[#This Row],[Buscar Monto]]=Impuestos3225[[#This Row],[Valor Adquisición (S/)]],"ok","mal")</f>
        <v>ok</v>
      </c>
      <c r="V68" s="81"/>
      <c r="Z68" s="87"/>
      <c r="AR68" s="21" t="str">
        <f t="shared" si="5"/>
        <v>BYR-946</v>
      </c>
      <c r="AS68" s="21">
        <f t="shared" si="6"/>
        <v>3201</v>
      </c>
      <c r="AT68" s="21" t="s">
        <v>48</v>
      </c>
      <c r="AU68" s="98">
        <v>34</v>
      </c>
      <c r="AV68" s="112">
        <v>3341110</v>
      </c>
      <c r="AW68" s="99">
        <v>340167</v>
      </c>
      <c r="AX68" s="100">
        <v>343001000124</v>
      </c>
      <c r="AY68" s="101" t="s">
        <v>653</v>
      </c>
      <c r="AZ68" s="101" t="s">
        <v>689</v>
      </c>
      <c r="BA68" s="101"/>
      <c r="BB68" s="101"/>
      <c r="BC68" s="101"/>
      <c r="BD68" s="102">
        <v>202404036</v>
      </c>
      <c r="BE68" s="101" t="s">
        <v>289</v>
      </c>
      <c r="BF68" s="101"/>
      <c r="BG68" s="103" t="s">
        <v>688</v>
      </c>
      <c r="BH68" s="103" t="s">
        <v>690</v>
      </c>
      <c r="BI68" s="113" t="s">
        <v>291</v>
      </c>
      <c r="BJ68" s="101" t="s">
        <v>294</v>
      </c>
      <c r="BK68" s="104">
        <v>9311090</v>
      </c>
      <c r="BL68" s="104">
        <v>311094001</v>
      </c>
      <c r="BM68" s="104">
        <v>3201</v>
      </c>
      <c r="BN68" s="105">
        <v>45412</v>
      </c>
      <c r="BO68" s="98">
        <v>7</v>
      </c>
      <c r="BP68" s="116">
        <v>14.2857</v>
      </c>
      <c r="BQ68" s="114">
        <v>121504</v>
      </c>
      <c r="BR68" s="107"/>
      <c r="BS68" s="114"/>
      <c r="BT68" s="106">
        <v>11571.759999999998</v>
      </c>
      <c r="BU68" s="108">
        <v>1446.47</v>
      </c>
      <c r="BV68" s="108">
        <v>1446.47</v>
      </c>
      <c r="BW68" s="109">
        <v>8678.82</v>
      </c>
      <c r="BX68" s="110">
        <v>20250.579999999998</v>
      </c>
      <c r="BY68" s="110"/>
      <c r="BZ68" s="110"/>
      <c r="CA68" s="108">
        <v>101253.42</v>
      </c>
    </row>
    <row r="69" spans="3:79" x14ac:dyDescent="0.3">
      <c r="C69" s="40" t="str">
        <f>Impuestos3225[[#This Row],[Familia]]</f>
        <v>Camión EV JAC</v>
      </c>
      <c r="D69" s="7">
        <f t="shared" si="0"/>
        <v>63</v>
      </c>
      <c r="E69" s="24" t="s">
        <v>130</v>
      </c>
      <c r="F69" s="24" t="s">
        <v>37</v>
      </c>
      <c r="G69" s="25" t="s">
        <v>688</v>
      </c>
      <c r="H69" s="24">
        <v>3201</v>
      </c>
      <c r="I69" s="80">
        <v>45535</v>
      </c>
      <c r="J69" s="8">
        <v>7</v>
      </c>
      <c r="K69" s="10">
        <v>14.2857</v>
      </c>
      <c r="L69" s="81">
        <v>245017.60000000001</v>
      </c>
      <c r="M69" s="82">
        <f>Impuestos3225[[#This Row],[Valor Adquisición (S/)]]*Impuestos3225[[#This Row],[Tasa  % ]]/100</f>
        <v>35002.479283200002</v>
      </c>
      <c r="N69" s="81">
        <f>Impuestos3225[[#This Row],[Depreciación Anual]]/12</f>
        <v>2916.8732736000002</v>
      </c>
      <c r="O69" s="83">
        <f ca="1">ROUNDDOWN((TODAY()-Impuestos3225[[#This Row],[Fecha de Activación Ingreso]])/365, 0)</f>
        <v>1</v>
      </c>
      <c r="P69" s="81">
        <f ca="1">MIN(Impuestos3225[[#This Row],[Depreciación Anual]] * Impuestos3225[[#This Row],[Años Transcurridos]], Impuestos3225[[#This Row],[Valor Adquisición (S/)]])</f>
        <v>35002.479283200002</v>
      </c>
      <c r="Q69" s="81">
        <f ca="1">MAX(Impuestos3225[[#This Row],[Valor Adquisición (S/)]]-Impuestos3225[[#This Row],[Depreciación Acumulada]], 0)</f>
        <v>210015.12071680001</v>
      </c>
      <c r="R69" s="81" t="str">
        <f ca="1">IF(Impuestos3225[[#This Row],[Valor Adquisición (S/)]]="","", IF(Impuestos3225[[#This Row],[Valor Neto Actual]]=0,"Veh. Ya no deprecia",""))</f>
        <v/>
      </c>
      <c r="S69" s="81" t="s">
        <v>40</v>
      </c>
      <c r="T69" s="81">
        <f>IFERROR(VLOOKUP(Impuestos3225[[#This Row],[Placa Vehiculo]],$AR$6:$CA$159,26,0),"")</f>
        <v>245017.60000000001</v>
      </c>
      <c r="U69" s="81" t="str">
        <f>IF(Impuestos3225[[#This Row],[Buscar Monto]]=Impuestos3225[[#This Row],[Valor Adquisición (S/)]],"ok","mal")</f>
        <v>ok</v>
      </c>
      <c r="V69" s="81"/>
      <c r="Z69" s="87"/>
      <c r="AR69" s="21" t="str">
        <f t="shared" si="5"/>
        <v>BZT-725</v>
      </c>
      <c r="AS69" s="21">
        <f t="shared" si="6"/>
        <v>3201</v>
      </c>
      <c r="AT69" s="21" t="s">
        <v>40</v>
      </c>
      <c r="AU69" s="98">
        <v>34</v>
      </c>
      <c r="AV69" s="112">
        <v>3341110</v>
      </c>
      <c r="AW69" s="99">
        <v>340168</v>
      </c>
      <c r="AX69" s="100">
        <v>343001000125</v>
      </c>
      <c r="AY69" s="101" t="s">
        <v>653</v>
      </c>
      <c r="AZ69" s="101" t="s">
        <v>740</v>
      </c>
      <c r="BA69" s="101"/>
      <c r="BB69" s="101"/>
      <c r="BC69" s="101"/>
      <c r="BD69" s="102">
        <v>202408084</v>
      </c>
      <c r="BE69" s="101" t="s">
        <v>544</v>
      </c>
      <c r="BF69" s="101"/>
      <c r="BG69" s="103" t="s">
        <v>688</v>
      </c>
      <c r="BH69" s="103" t="s">
        <v>741</v>
      </c>
      <c r="BI69" s="113" t="s">
        <v>545</v>
      </c>
      <c r="BJ69" s="117" t="s">
        <v>742</v>
      </c>
      <c r="BK69" s="104">
        <v>9311090</v>
      </c>
      <c r="BL69" s="104">
        <v>311094001</v>
      </c>
      <c r="BM69" s="104">
        <v>3201</v>
      </c>
      <c r="BN69" s="105">
        <v>45535</v>
      </c>
      <c r="BO69" s="98">
        <v>7</v>
      </c>
      <c r="BP69" s="116">
        <v>14.2857</v>
      </c>
      <c r="BQ69" s="114">
        <v>245017.60000000001</v>
      </c>
      <c r="BR69" s="107"/>
      <c r="BS69" s="114"/>
      <c r="BT69" s="106">
        <v>11667.48</v>
      </c>
      <c r="BU69" s="108">
        <v>2916.87</v>
      </c>
      <c r="BV69" s="108">
        <v>2916.87</v>
      </c>
      <c r="BW69" s="109">
        <v>17501.219999999998</v>
      </c>
      <c r="BX69" s="110">
        <v>29168.699999999997</v>
      </c>
      <c r="BY69" s="110"/>
      <c r="BZ69" s="110"/>
      <c r="CA69" s="108">
        <v>215848.90000000002</v>
      </c>
    </row>
    <row r="70" spans="3:79" x14ac:dyDescent="0.3">
      <c r="C70" s="40" t="str">
        <f>Impuestos3225[[#This Row],[Familia]]</f>
        <v>Camión EV JAC</v>
      </c>
      <c r="D70" s="7">
        <f t="shared" si="0"/>
        <v>64</v>
      </c>
      <c r="E70" s="24" t="s">
        <v>122</v>
      </c>
      <c r="F70" s="24" t="s">
        <v>37</v>
      </c>
      <c r="G70" s="25" t="s">
        <v>688</v>
      </c>
      <c r="H70" s="24">
        <v>3201</v>
      </c>
      <c r="I70" s="80">
        <v>45535</v>
      </c>
      <c r="J70" s="8">
        <v>7</v>
      </c>
      <c r="K70" s="10">
        <v>14.2857</v>
      </c>
      <c r="L70" s="81">
        <v>245017.60000000001</v>
      </c>
      <c r="M70" s="82">
        <f>Impuestos3225[[#This Row],[Valor Adquisición (S/)]]*Impuestos3225[[#This Row],[Tasa  % ]]/100</f>
        <v>35002.479283200002</v>
      </c>
      <c r="N70" s="81">
        <f>Impuestos3225[[#This Row],[Depreciación Anual]]/12</f>
        <v>2916.8732736000002</v>
      </c>
      <c r="O70" s="83">
        <f ca="1">ROUNDDOWN((TODAY()-Impuestos3225[[#This Row],[Fecha de Activación Ingreso]])/365, 0)</f>
        <v>1</v>
      </c>
      <c r="P70" s="81">
        <f ca="1">MIN(Impuestos3225[[#This Row],[Depreciación Anual]] * Impuestos3225[[#This Row],[Años Transcurridos]], Impuestos3225[[#This Row],[Valor Adquisición (S/)]])</f>
        <v>35002.479283200002</v>
      </c>
      <c r="Q70" s="81">
        <f ca="1">MAX(Impuestos3225[[#This Row],[Valor Adquisición (S/)]]-Impuestos3225[[#This Row],[Depreciación Acumulada]], 0)</f>
        <v>210015.12071680001</v>
      </c>
      <c r="R70" s="81" t="str">
        <f ca="1">IF(Impuestos3225[[#This Row],[Valor Adquisición (S/)]]="","", IF(Impuestos3225[[#This Row],[Valor Neto Actual]]=0,"Veh. Ya no deprecia",""))</f>
        <v/>
      </c>
      <c r="S70" s="81" t="s">
        <v>40</v>
      </c>
      <c r="T70" s="81">
        <f>IFERROR(VLOOKUP(Impuestos3225[[#This Row],[Placa Vehiculo]],$AR$6:$CA$159,26,0),"")</f>
        <v>245017.60000000001</v>
      </c>
      <c r="U70" s="81" t="str">
        <f>IF(Impuestos3225[[#This Row],[Buscar Monto]]=Impuestos3225[[#This Row],[Valor Adquisición (S/)]],"ok","mal")</f>
        <v>ok</v>
      </c>
      <c r="V70" s="81"/>
      <c r="Z70" s="87"/>
      <c r="AR70" s="21" t="str">
        <f t="shared" si="5"/>
        <v>BZK-709</v>
      </c>
      <c r="AS70" s="21">
        <f t="shared" si="6"/>
        <v>3201</v>
      </c>
      <c r="AT70" s="21" t="s">
        <v>40</v>
      </c>
      <c r="AU70" s="98">
        <v>34</v>
      </c>
      <c r="AV70" s="112">
        <v>3341110</v>
      </c>
      <c r="AW70" s="99">
        <v>340169</v>
      </c>
      <c r="AX70" s="100">
        <v>343001000126</v>
      </c>
      <c r="AY70" s="101" t="s">
        <v>653</v>
      </c>
      <c r="AZ70" s="101" t="s">
        <v>740</v>
      </c>
      <c r="BA70" s="101"/>
      <c r="BB70" s="101"/>
      <c r="BC70" s="101"/>
      <c r="BD70" s="102" t="s">
        <v>743</v>
      </c>
      <c r="BE70" s="101" t="s">
        <v>525</v>
      </c>
      <c r="BF70" s="101"/>
      <c r="BG70" s="103" t="s">
        <v>688</v>
      </c>
      <c r="BH70" s="103" t="s">
        <v>741</v>
      </c>
      <c r="BI70" s="113" t="s">
        <v>526</v>
      </c>
      <c r="BJ70" s="117" t="s">
        <v>744</v>
      </c>
      <c r="BK70" s="104">
        <v>9311090</v>
      </c>
      <c r="BL70" s="104">
        <v>311094001</v>
      </c>
      <c r="BM70" s="104">
        <v>3201</v>
      </c>
      <c r="BN70" s="105">
        <v>45535</v>
      </c>
      <c r="BO70" s="98">
        <v>7</v>
      </c>
      <c r="BP70" s="116">
        <v>14.2857</v>
      </c>
      <c r="BQ70" s="114">
        <v>245017.60000000001</v>
      </c>
      <c r="BR70" s="107"/>
      <c r="BS70" s="114"/>
      <c r="BT70" s="106">
        <v>11667.48</v>
      </c>
      <c r="BU70" s="108">
        <v>2916.87</v>
      </c>
      <c r="BV70" s="108">
        <v>2916.87</v>
      </c>
      <c r="BW70" s="109">
        <v>17501.219999999998</v>
      </c>
      <c r="BX70" s="110">
        <v>29168.699999999997</v>
      </c>
      <c r="BY70" s="110"/>
      <c r="BZ70" s="110"/>
      <c r="CA70" s="108">
        <v>215848.90000000002</v>
      </c>
    </row>
    <row r="71" spans="3:79" x14ac:dyDescent="0.3">
      <c r="C71" s="40" t="str">
        <f>Impuestos3225[[#This Row],[Familia]]</f>
        <v>Camión EV JAC</v>
      </c>
      <c r="D71" s="7">
        <f t="shared" ref="D71:D134" si="20">ROW(A65)</f>
        <v>65</v>
      </c>
      <c r="E71" s="24" t="s">
        <v>127</v>
      </c>
      <c r="F71" s="24" t="s">
        <v>37</v>
      </c>
      <c r="G71" s="25" t="s">
        <v>688</v>
      </c>
      <c r="H71" s="24">
        <v>3201</v>
      </c>
      <c r="I71" s="80">
        <v>45535</v>
      </c>
      <c r="J71" s="8">
        <v>7</v>
      </c>
      <c r="K71" s="10">
        <v>14.2857</v>
      </c>
      <c r="L71" s="81">
        <v>245017.60000000001</v>
      </c>
      <c r="M71" s="82">
        <f>Impuestos3225[[#This Row],[Valor Adquisición (S/)]]*Impuestos3225[[#This Row],[Tasa  % ]]/100</f>
        <v>35002.479283200002</v>
      </c>
      <c r="N71" s="81">
        <f>Impuestos3225[[#This Row],[Depreciación Anual]]/12</f>
        <v>2916.8732736000002</v>
      </c>
      <c r="O71" s="83">
        <f ca="1">ROUNDDOWN((TODAY()-Impuestos3225[[#This Row],[Fecha de Activación Ingreso]])/365, 0)</f>
        <v>1</v>
      </c>
      <c r="P71" s="81">
        <f ca="1">MIN(Impuestos3225[[#This Row],[Depreciación Anual]] * Impuestos3225[[#This Row],[Años Transcurridos]], Impuestos3225[[#This Row],[Valor Adquisición (S/)]])</f>
        <v>35002.479283200002</v>
      </c>
      <c r="Q71" s="81">
        <f ca="1">MAX(Impuestos3225[[#This Row],[Valor Adquisición (S/)]]-Impuestos3225[[#This Row],[Depreciación Acumulada]], 0)</f>
        <v>210015.12071680001</v>
      </c>
      <c r="R71" s="81" t="str">
        <f ca="1">IF(Impuestos3225[[#This Row],[Valor Adquisición (S/)]]="","", IF(Impuestos3225[[#This Row],[Valor Neto Actual]]=0,"Veh. Ya no deprecia",""))</f>
        <v/>
      </c>
      <c r="S71" s="81" t="s">
        <v>40</v>
      </c>
      <c r="T71" s="81">
        <f>IFERROR(VLOOKUP(Impuestos3225[[#This Row],[Placa Vehiculo]],$AR$6:$CA$159,26,0),"")</f>
        <v>245017.60000000001</v>
      </c>
      <c r="U71" s="81" t="str">
        <f>IF(Impuestos3225[[#This Row],[Buscar Monto]]=Impuestos3225[[#This Row],[Valor Adquisición (S/)]],"ok","mal")</f>
        <v>ok</v>
      </c>
      <c r="V71" s="81"/>
      <c r="Z71" s="87"/>
      <c r="AR71" s="21" t="str">
        <f t="shared" si="5"/>
        <v>BZO-799</v>
      </c>
      <c r="AS71" s="21">
        <f t="shared" si="6"/>
        <v>3201</v>
      </c>
      <c r="AT71" s="21" t="s">
        <v>40</v>
      </c>
      <c r="AU71" s="98">
        <v>34</v>
      </c>
      <c r="AV71" s="112">
        <v>3341110</v>
      </c>
      <c r="AW71" s="99">
        <v>340170</v>
      </c>
      <c r="AX71" s="100">
        <v>343001000127</v>
      </c>
      <c r="AY71" s="101" t="s">
        <v>653</v>
      </c>
      <c r="AZ71" s="101" t="s">
        <v>740</v>
      </c>
      <c r="BA71" s="101"/>
      <c r="BB71" s="101"/>
      <c r="BC71" s="101"/>
      <c r="BD71" s="102" t="s">
        <v>745</v>
      </c>
      <c r="BE71" s="101" t="s">
        <v>531</v>
      </c>
      <c r="BF71" s="101"/>
      <c r="BG71" s="103" t="s">
        <v>688</v>
      </c>
      <c r="BH71" s="103" t="s">
        <v>741</v>
      </c>
      <c r="BI71" s="113" t="s">
        <v>532</v>
      </c>
      <c r="BJ71" s="117" t="s">
        <v>746</v>
      </c>
      <c r="BK71" s="104">
        <v>9311090</v>
      </c>
      <c r="BL71" s="104">
        <v>311094001</v>
      </c>
      <c r="BM71" s="104">
        <v>3201</v>
      </c>
      <c r="BN71" s="105">
        <v>45535</v>
      </c>
      <c r="BO71" s="98">
        <v>7</v>
      </c>
      <c r="BP71" s="116">
        <v>14.2857</v>
      </c>
      <c r="BQ71" s="114">
        <v>245017.60000000001</v>
      </c>
      <c r="BR71" s="107"/>
      <c r="BS71" s="114"/>
      <c r="BT71" s="106">
        <v>11667.48</v>
      </c>
      <c r="BU71" s="108">
        <v>2916.87</v>
      </c>
      <c r="BV71" s="108">
        <v>2916.87</v>
      </c>
      <c r="BW71" s="109">
        <v>17501.219999999998</v>
      </c>
      <c r="BX71" s="110">
        <v>29168.699999999997</v>
      </c>
      <c r="BY71" s="110"/>
      <c r="BZ71" s="110"/>
      <c r="CA71" s="108">
        <v>215848.90000000002</v>
      </c>
    </row>
    <row r="72" spans="3:79" x14ac:dyDescent="0.3">
      <c r="C72" s="40" t="str">
        <f>Impuestos3225[[#This Row],[Familia]]</f>
        <v>Camión EV JAC</v>
      </c>
      <c r="D72" s="7">
        <f t="shared" si="20"/>
        <v>66</v>
      </c>
      <c r="E72" s="24" t="s">
        <v>129</v>
      </c>
      <c r="F72" s="24" t="s">
        <v>37</v>
      </c>
      <c r="G72" s="25" t="s">
        <v>688</v>
      </c>
      <c r="H72" s="24">
        <v>3201</v>
      </c>
      <c r="I72" s="80">
        <v>45535</v>
      </c>
      <c r="J72" s="8">
        <v>7</v>
      </c>
      <c r="K72" s="10">
        <v>14.2857</v>
      </c>
      <c r="L72" s="81">
        <v>245017.60000000001</v>
      </c>
      <c r="M72" s="82">
        <f>Impuestos3225[[#This Row],[Valor Adquisición (S/)]]*Impuestos3225[[#This Row],[Tasa  % ]]/100</f>
        <v>35002.479283200002</v>
      </c>
      <c r="N72" s="81">
        <f>Impuestos3225[[#This Row],[Depreciación Anual]]/12</f>
        <v>2916.8732736000002</v>
      </c>
      <c r="O72" s="83">
        <f ca="1">ROUNDDOWN((TODAY()-Impuestos3225[[#This Row],[Fecha de Activación Ingreso]])/365, 0)</f>
        <v>1</v>
      </c>
      <c r="P72" s="81">
        <f ca="1">MIN(Impuestos3225[[#This Row],[Depreciación Anual]] * Impuestos3225[[#This Row],[Años Transcurridos]], Impuestos3225[[#This Row],[Valor Adquisición (S/)]])</f>
        <v>35002.479283200002</v>
      </c>
      <c r="Q72" s="81">
        <f ca="1">MAX(Impuestos3225[[#This Row],[Valor Adquisición (S/)]]-Impuestos3225[[#This Row],[Depreciación Acumulada]], 0)</f>
        <v>210015.12071680001</v>
      </c>
      <c r="R72" s="81" t="str">
        <f ca="1">IF(Impuestos3225[[#This Row],[Valor Adquisición (S/)]]="","", IF(Impuestos3225[[#This Row],[Valor Neto Actual]]=0,"Veh. Ya no deprecia",""))</f>
        <v/>
      </c>
      <c r="S72" s="81" t="s">
        <v>40</v>
      </c>
      <c r="T72" s="81">
        <f>IFERROR(VLOOKUP(Impuestos3225[[#This Row],[Placa Vehiculo]],$AR$6:$CA$159,26,0),"")</f>
        <v>245017.60000000001</v>
      </c>
      <c r="U72" s="81" t="str">
        <f>IF(Impuestos3225[[#This Row],[Buscar Monto]]=Impuestos3225[[#This Row],[Valor Adquisición (S/)]],"ok","mal")</f>
        <v>ok</v>
      </c>
      <c r="V72" s="81"/>
      <c r="Z72" s="87"/>
      <c r="AR72" s="21" t="str">
        <f t="shared" ref="AR72:AR135" si="21">CONCATENATE(MID(BE72,1,3),"-",MID(BE72,4,3))</f>
        <v>BZO-937</v>
      </c>
      <c r="AS72" s="21">
        <f t="shared" ref="AS72:AS135" si="22">BM72</f>
        <v>3201</v>
      </c>
      <c r="AT72" s="21" t="s">
        <v>40</v>
      </c>
      <c r="AU72" s="98">
        <v>34</v>
      </c>
      <c r="AV72" s="112">
        <v>3341110</v>
      </c>
      <c r="AW72" s="99">
        <v>340171</v>
      </c>
      <c r="AX72" s="100">
        <v>343001000128</v>
      </c>
      <c r="AY72" s="101" t="s">
        <v>653</v>
      </c>
      <c r="AZ72" s="101" t="s">
        <v>740</v>
      </c>
      <c r="BA72" s="101"/>
      <c r="BB72" s="101"/>
      <c r="BC72" s="101"/>
      <c r="BD72" s="102" t="s">
        <v>747</v>
      </c>
      <c r="BE72" s="101" t="s">
        <v>523</v>
      </c>
      <c r="BF72" s="101"/>
      <c r="BG72" s="103" t="s">
        <v>688</v>
      </c>
      <c r="BH72" s="103" t="s">
        <v>741</v>
      </c>
      <c r="BI72" s="113" t="s">
        <v>524</v>
      </c>
      <c r="BJ72" s="117" t="s">
        <v>748</v>
      </c>
      <c r="BK72" s="104">
        <v>9311090</v>
      </c>
      <c r="BL72" s="104">
        <v>311094001</v>
      </c>
      <c r="BM72" s="104">
        <v>3201</v>
      </c>
      <c r="BN72" s="105">
        <v>45535</v>
      </c>
      <c r="BO72" s="98">
        <v>7</v>
      </c>
      <c r="BP72" s="116">
        <v>14.2857</v>
      </c>
      <c r="BQ72" s="114">
        <v>245017.60000000001</v>
      </c>
      <c r="BR72" s="107"/>
      <c r="BS72" s="114"/>
      <c r="BT72" s="106">
        <v>11667.48</v>
      </c>
      <c r="BU72" s="108">
        <v>2916.87</v>
      </c>
      <c r="BV72" s="108">
        <v>2916.87</v>
      </c>
      <c r="BW72" s="109">
        <v>17501.219999999998</v>
      </c>
      <c r="BX72" s="110">
        <v>29168.699999999997</v>
      </c>
      <c r="BY72" s="110"/>
      <c r="BZ72" s="110"/>
      <c r="CA72" s="108">
        <v>215848.90000000002</v>
      </c>
    </row>
    <row r="73" spans="3:79" x14ac:dyDescent="0.3">
      <c r="C73" s="40" t="str">
        <f>Impuestos3225[[#This Row],[Familia]]</f>
        <v>Camión EV JAC</v>
      </c>
      <c r="D73" s="7">
        <f t="shared" si="20"/>
        <v>67</v>
      </c>
      <c r="E73" s="24" t="s">
        <v>124</v>
      </c>
      <c r="F73" s="24" t="s">
        <v>37</v>
      </c>
      <c r="G73" s="25" t="s">
        <v>688</v>
      </c>
      <c r="H73" s="24">
        <v>3201</v>
      </c>
      <c r="I73" s="80">
        <v>45535</v>
      </c>
      <c r="J73" s="8">
        <v>7</v>
      </c>
      <c r="K73" s="10">
        <v>14.2857</v>
      </c>
      <c r="L73" s="81">
        <v>245017.60000000001</v>
      </c>
      <c r="M73" s="82">
        <f>Impuestos3225[[#This Row],[Valor Adquisición (S/)]]*Impuestos3225[[#This Row],[Tasa  % ]]/100</f>
        <v>35002.479283200002</v>
      </c>
      <c r="N73" s="81">
        <f>Impuestos3225[[#This Row],[Depreciación Anual]]/12</f>
        <v>2916.8732736000002</v>
      </c>
      <c r="O73" s="83">
        <f ca="1">ROUNDDOWN((TODAY()-Impuestos3225[[#This Row],[Fecha de Activación Ingreso]])/365, 0)</f>
        <v>1</v>
      </c>
      <c r="P73" s="81">
        <f ca="1">MIN(Impuestos3225[[#This Row],[Depreciación Anual]] * Impuestos3225[[#This Row],[Años Transcurridos]], Impuestos3225[[#This Row],[Valor Adquisición (S/)]])</f>
        <v>35002.479283200002</v>
      </c>
      <c r="Q73" s="81">
        <f ca="1">MAX(Impuestos3225[[#This Row],[Valor Adquisición (S/)]]-Impuestos3225[[#This Row],[Depreciación Acumulada]], 0)</f>
        <v>210015.12071680001</v>
      </c>
      <c r="R73" s="81" t="str">
        <f ca="1">IF(Impuestos3225[[#This Row],[Valor Adquisición (S/)]]="","", IF(Impuestos3225[[#This Row],[Valor Neto Actual]]=0,"Veh. Ya no deprecia",""))</f>
        <v/>
      </c>
      <c r="S73" s="81" t="s">
        <v>40</v>
      </c>
      <c r="T73" s="81">
        <f>IFERROR(VLOOKUP(Impuestos3225[[#This Row],[Placa Vehiculo]],$AR$6:$CA$159,26,0),"")</f>
        <v>245017.60000000001</v>
      </c>
      <c r="U73" s="81" t="str">
        <f>IF(Impuestos3225[[#This Row],[Buscar Monto]]=Impuestos3225[[#This Row],[Valor Adquisición (S/)]],"ok","mal")</f>
        <v>ok</v>
      </c>
      <c r="V73" s="81"/>
      <c r="Z73" s="87"/>
      <c r="AR73" s="21" t="str">
        <f t="shared" si="21"/>
        <v>BZK-713</v>
      </c>
      <c r="AS73" s="21">
        <f t="shared" si="22"/>
        <v>3201</v>
      </c>
      <c r="AT73" s="21" t="s">
        <v>40</v>
      </c>
      <c r="AU73" s="98">
        <v>34</v>
      </c>
      <c r="AV73" s="112">
        <v>3341110</v>
      </c>
      <c r="AW73" s="99">
        <v>340172</v>
      </c>
      <c r="AX73" s="100">
        <v>343001000129</v>
      </c>
      <c r="AY73" s="101" t="s">
        <v>653</v>
      </c>
      <c r="AZ73" s="101" t="s">
        <v>740</v>
      </c>
      <c r="BA73" s="101"/>
      <c r="BB73" s="101"/>
      <c r="BC73" s="101"/>
      <c r="BD73" s="102" t="s">
        <v>749</v>
      </c>
      <c r="BE73" s="101" t="s">
        <v>533</v>
      </c>
      <c r="BF73" s="101"/>
      <c r="BG73" s="103" t="s">
        <v>688</v>
      </c>
      <c r="BH73" s="103" t="s">
        <v>741</v>
      </c>
      <c r="BI73" s="113" t="s">
        <v>534</v>
      </c>
      <c r="BJ73" s="117" t="s">
        <v>750</v>
      </c>
      <c r="BK73" s="104">
        <v>9311090</v>
      </c>
      <c r="BL73" s="104">
        <v>311094001</v>
      </c>
      <c r="BM73" s="104">
        <v>3201</v>
      </c>
      <c r="BN73" s="105">
        <v>45535</v>
      </c>
      <c r="BO73" s="98">
        <v>7</v>
      </c>
      <c r="BP73" s="116">
        <v>14.2857</v>
      </c>
      <c r="BQ73" s="114">
        <v>245017.60000000001</v>
      </c>
      <c r="BR73" s="107"/>
      <c r="BS73" s="114"/>
      <c r="BT73" s="106">
        <v>11667.48</v>
      </c>
      <c r="BU73" s="108">
        <v>2916.87</v>
      </c>
      <c r="BV73" s="108">
        <v>2916.87</v>
      </c>
      <c r="BW73" s="109">
        <v>17501.219999999998</v>
      </c>
      <c r="BX73" s="110">
        <v>29168.699999999997</v>
      </c>
      <c r="BY73" s="110"/>
      <c r="BZ73" s="110"/>
      <c r="CA73" s="108">
        <v>215848.90000000002</v>
      </c>
    </row>
    <row r="74" spans="3:79" x14ac:dyDescent="0.3">
      <c r="C74" s="40" t="str">
        <f>Impuestos3225[[#This Row],[Familia]]</f>
        <v>Camión EV JAC</v>
      </c>
      <c r="D74" s="7">
        <f t="shared" si="20"/>
        <v>68</v>
      </c>
      <c r="E74" s="24" t="s">
        <v>123</v>
      </c>
      <c r="F74" s="24" t="s">
        <v>37</v>
      </c>
      <c r="G74" s="25" t="s">
        <v>688</v>
      </c>
      <c r="H74" s="24">
        <v>3201</v>
      </c>
      <c r="I74" s="80">
        <v>45535</v>
      </c>
      <c r="J74" s="8">
        <v>7</v>
      </c>
      <c r="K74" s="10">
        <v>14.2857</v>
      </c>
      <c r="L74" s="81">
        <v>245017.60000000001</v>
      </c>
      <c r="M74" s="82">
        <f>Impuestos3225[[#This Row],[Valor Adquisición (S/)]]*Impuestos3225[[#This Row],[Tasa  % ]]/100</f>
        <v>35002.479283200002</v>
      </c>
      <c r="N74" s="81">
        <f>Impuestos3225[[#This Row],[Depreciación Anual]]/12</f>
        <v>2916.8732736000002</v>
      </c>
      <c r="O74" s="83">
        <f ca="1">ROUNDDOWN((TODAY()-Impuestos3225[[#This Row],[Fecha de Activación Ingreso]])/365, 0)</f>
        <v>1</v>
      </c>
      <c r="P74" s="81">
        <f ca="1">MIN(Impuestos3225[[#This Row],[Depreciación Anual]] * Impuestos3225[[#This Row],[Años Transcurridos]], Impuestos3225[[#This Row],[Valor Adquisición (S/)]])</f>
        <v>35002.479283200002</v>
      </c>
      <c r="Q74" s="81">
        <f ca="1">MAX(Impuestos3225[[#This Row],[Valor Adquisición (S/)]]-Impuestos3225[[#This Row],[Depreciación Acumulada]], 0)</f>
        <v>210015.12071680001</v>
      </c>
      <c r="R74" s="81" t="str">
        <f ca="1">IF(Impuestos3225[[#This Row],[Valor Adquisición (S/)]]="","", IF(Impuestos3225[[#This Row],[Valor Neto Actual]]=0,"Veh. Ya no deprecia",""))</f>
        <v/>
      </c>
      <c r="S74" s="81" t="s">
        <v>40</v>
      </c>
      <c r="T74" s="81">
        <f>IFERROR(VLOOKUP(Impuestos3225[[#This Row],[Placa Vehiculo]],$AR$6:$CA$159,26,0),"")</f>
        <v>245017.60000000001</v>
      </c>
      <c r="U74" s="81" t="str">
        <f>IF(Impuestos3225[[#This Row],[Buscar Monto]]=Impuestos3225[[#This Row],[Valor Adquisición (S/)]],"ok","mal")</f>
        <v>ok</v>
      </c>
      <c r="V74" s="81"/>
      <c r="Z74" s="87"/>
      <c r="AR74" s="21" t="str">
        <f t="shared" si="21"/>
        <v>BZK-712</v>
      </c>
      <c r="AS74" s="21">
        <f t="shared" si="22"/>
        <v>3201</v>
      </c>
      <c r="AT74" s="21" t="s">
        <v>40</v>
      </c>
      <c r="AU74" s="98">
        <v>34</v>
      </c>
      <c r="AV74" s="112">
        <v>3341110</v>
      </c>
      <c r="AW74" s="99">
        <v>340173</v>
      </c>
      <c r="AX74" s="100">
        <v>343001000130</v>
      </c>
      <c r="AY74" s="101" t="s">
        <v>653</v>
      </c>
      <c r="AZ74" s="101" t="s">
        <v>740</v>
      </c>
      <c r="BA74" s="101"/>
      <c r="BB74" s="101"/>
      <c r="BC74" s="101"/>
      <c r="BD74" s="102" t="s">
        <v>751</v>
      </c>
      <c r="BE74" s="101" t="s">
        <v>529</v>
      </c>
      <c r="BF74" s="101"/>
      <c r="BG74" s="103" t="s">
        <v>688</v>
      </c>
      <c r="BH74" s="103" t="s">
        <v>741</v>
      </c>
      <c r="BI74" s="113" t="s">
        <v>530</v>
      </c>
      <c r="BJ74" s="117" t="s">
        <v>752</v>
      </c>
      <c r="BK74" s="104">
        <v>9311090</v>
      </c>
      <c r="BL74" s="104">
        <v>311094001</v>
      </c>
      <c r="BM74" s="104">
        <v>3201</v>
      </c>
      <c r="BN74" s="105">
        <v>45535</v>
      </c>
      <c r="BO74" s="98">
        <v>7</v>
      </c>
      <c r="BP74" s="116">
        <v>14.2857</v>
      </c>
      <c r="BQ74" s="114">
        <v>245017.60000000001</v>
      </c>
      <c r="BR74" s="107"/>
      <c r="BS74" s="114"/>
      <c r="BT74" s="106">
        <v>11667.48</v>
      </c>
      <c r="BU74" s="108">
        <v>2916.87</v>
      </c>
      <c r="BV74" s="108">
        <v>2916.87</v>
      </c>
      <c r="BW74" s="109">
        <v>17501.219999999998</v>
      </c>
      <c r="BX74" s="110">
        <v>29168.699999999997</v>
      </c>
      <c r="BY74" s="110"/>
      <c r="BZ74" s="110"/>
      <c r="CA74" s="108">
        <v>215848.90000000002</v>
      </c>
    </row>
    <row r="75" spans="3:79" x14ac:dyDescent="0.3">
      <c r="C75" s="40" t="str">
        <f>Impuestos3225[[#This Row],[Familia]]</f>
        <v>Camión EV JAC</v>
      </c>
      <c r="D75" s="7">
        <f t="shared" si="20"/>
        <v>69</v>
      </c>
      <c r="E75" s="24" t="s">
        <v>126</v>
      </c>
      <c r="F75" s="24" t="s">
        <v>37</v>
      </c>
      <c r="G75" s="25" t="s">
        <v>688</v>
      </c>
      <c r="H75" s="24">
        <v>3201</v>
      </c>
      <c r="I75" s="80">
        <v>45535</v>
      </c>
      <c r="J75" s="8">
        <v>7</v>
      </c>
      <c r="K75" s="10">
        <v>14.2857</v>
      </c>
      <c r="L75" s="81">
        <v>245017.60000000001</v>
      </c>
      <c r="M75" s="82">
        <f>Impuestos3225[[#This Row],[Valor Adquisición (S/)]]*Impuestos3225[[#This Row],[Tasa  % ]]/100</f>
        <v>35002.479283200002</v>
      </c>
      <c r="N75" s="81">
        <f>Impuestos3225[[#This Row],[Depreciación Anual]]/12</f>
        <v>2916.8732736000002</v>
      </c>
      <c r="O75" s="83">
        <f ca="1">ROUNDDOWN((TODAY()-Impuestos3225[[#This Row],[Fecha de Activación Ingreso]])/365, 0)</f>
        <v>1</v>
      </c>
      <c r="P75" s="81">
        <f ca="1">MIN(Impuestos3225[[#This Row],[Depreciación Anual]] * Impuestos3225[[#This Row],[Años Transcurridos]], Impuestos3225[[#This Row],[Valor Adquisición (S/)]])</f>
        <v>35002.479283200002</v>
      </c>
      <c r="Q75" s="81">
        <f ca="1">MAX(Impuestos3225[[#This Row],[Valor Adquisición (S/)]]-Impuestos3225[[#This Row],[Depreciación Acumulada]], 0)</f>
        <v>210015.12071680001</v>
      </c>
      <c r="R75" s="81" t="str">
        <f ca="1">IF(Impuestos3225[[#This Row],[Valor Adquisición (S/)]]="","", IF(Impuestos3225[[#This Row],[Valor Neto Actual]]=0,"Veh. Ya no deprecia",""))</f>
        <v/>
      </c>
      <c r="S75" s="81" t="s">
        <v>40</v>
      </c>
      <c r="T75" s="81">
        <f>IFERROR(VLOOKUP(Impuestos3225[[#This Row],[Placa Vehiculo]],$AR$6:$CA$159,26,0),"")</f>
        <v>245017.60000000001</v>
      </c>
      <c r="U75" s="81" t="str">
        <f>IF(Impuestos3225[[#This Row],[Buscar Monto]]=Impuestos3225[[#This Row],[Valor Adquisición (S/)]],"ok","mal")</f>
        <v>ok</v>
      </c>
      <c r="V75" s="81"/>
      <c r="Z75" s="87"/>
      <c r="AR75" s="21" t="str">
        <f t="shared" si="21"/>
        <v>BZK-798</v>
      </c>
      <c r="AS75" s="21">
        <f t="shared" si="22"/>
        <v>3201</v>
      </c>
      <c r="AT75" s="21" t="s">
        <v>40</v>
      </c>
      <c r="AU75" s="98">
        <v>34</v>
      </c>
      <c r="AV75" s="112">
        <v>3341110</v>
      </c>
      <c r="AW75" s="99">
        <v>340174</v>
      </c>
      <c r="AX75" s="100">
        <v>343001000131</v>
      </c>
      <c r="AY75" s="101" t="s">
        <v>653</v>
      </c>
      <c r="AZ75" s="101" t="s">
        <v>740</v>
      </c>
      <c r="BA75" s="101"/>
      <c r="BB75" s="101"/>
      <c r="BC75" s="101"/>
      <c r="BD75" s="102" t="s">
        <v>753</v>
      </c>
      <c r="BE75" s="101" t="s">
        <v>538</v>
      </c>
      <c r="BF75" s="101"/>
      <c r="BG75" s="103" t="s">
        <v>688</v>
      </c>
      <c r="BH75" s="103" t="s">
        <v>741</v>
      </c>
      <c r="BI75" s="113" t="s">
        <v>539</v>
      </c>
      <c r="BJ75" s="117" t="s">
        <v>754</v>
      </c>
      <c r="BK75" s="104">
        <v>9311090</v>
      </c>
      <c r="BL75" s="104">
        <v>311094001</v>
      </c>
      <c r="BM75" s="104">
        <v>3201</v>
      </c>
      <c r="BN75" s="105">
        <v>45535</v>
      </c>
      <c r="BO75" s="98">
        <v>7</v>
      </c>
      <c r="BP75" s="116">
        <v>14.2857</v>
      </c>
      <c r="BQ75" s="114">
        <v>245017.60000000001</v>
      </c>
      <c r="BR75" s="107"/>
      <c r="BS75" s="114"/>
      <c r="BT75" s="106">
        <v>11667.48</v>
      </c>
      <c r="BU75" s="108">
        <v>2916.87</v>
      </c>
      <c r="BV75" s="108">
        <v>2916.87</v>
      </c>
      <c r="BW75" s="109">
        <v>17501.219999999998</v>
      </c>
      <c r="BX75" s="110">
        <v>29168.699999999997</v>
      </c>
      <c r="BY75" s="110"/>
      <c r="BZ75" s="110"/>
      <c r="CA75" s="108">
        <v>215848.90000000002</v>
      </c>
    </row>
    <row r="76" spans="3:79" x14ac:dyDescent="0.3">
      <c r="C76" s="40" t="str">
        <f>Impuestos3225[[#This Row],[Familia]]</f>
        <v>Camión EV JAC</v>
      </c>
      <c r="D76" s="7">
        <f t="shared" si="20"/>
        <v>70</v>
      </c>
      <c r="E76" s="24" t="s">
        <v>125</v>
      </c>
      <c r="F76" s="24" t="s">
        <v>37</v>
      </c>
      <c r="G76" s="25" t="s">
        <v>688</v>
      </c>
      <c r="H76" s="24">
        <v>3201</v>
      </c>
      <c r="I76" s="80">
        <v>45535</v>
      </c>
      <c r="J76" s="8">
        <v>7</v>
      </c>
      <c r="K76" s="10">
        <v>14.2857</v>
      </c>
      <c r="L76" s="81">
        <v>245017.60000000001</v>
      </c>
      <c r="M76" s="82">
        <f>Impuestos3225[[#This Row],[Valor Adquisición (S/)]]*Impuestos3225[[#This Row],[Tasa  % ]]/100</f>
        <v>35002.479283200002</v>
      </c>
      <c r="N76" s="81">
        <f>Impuestos3225[[#This Row],[Depreciación Anual]]/12</f>
        <v>2916.8732736000002</v>
      </c>
      <c r="O76" s="83">
        <f ca="1">ROUNDDOWN((TODAY()-Impuestos3225[[#This Row],[Fecha de Activación Ingreso]])/365, 0)</f>
        <v>1</v>
      </c>
      <c r="P76" s="81">
        <f ca="1">MIN(Impuestos3225[[#This Row],[Depreciación Anual]] * Impuestos3225[[#This Row],[Años Transcurridos]], Impuestos3225[[#This Row],[Valor Adquisición (S/)]])</f>
        <v>35002.479283200002</v>
      </c>
      <c r="Q76" s="81">
        <f ca="1">MAX(Impuestos3225[[#This Row],[Valor Adquisición (S/)]]-Impuestos3225[[#This Row],[Depreciación Acumulada]], 0)</f>
        <v>210015.12071680001</v>
      </c>
      <c r="R76" s="81" t="str">
        <f ca="1">IF(Impuestos3225[[#This Row],[Valor Adquisición (S/)]]="","", IF(Impuestos3225[[#This Row],[Valor Neto Actual]]=0,"Veh. Ya no deprecia",""))</f>
        <v/>
      </c>
      <c r="S76" s="81" t="s">
        <v>40</v>
      </c>
      <c r="T76" s="81">
        <f>IFERROR(VLOOKUP(Impuestos3225[[#This Row],[Placa Vehiculo]],$AR$6:$CA$159,26,0),"")</f>
        <v>245017.60000000001</v>
      </c>
      <c r="U76" s="81" t="str">
        <f>IF(Impuestos3225[[#This Row],[Buscar Monto]]=Impuestos3225[[#This Row],[Valor Adquisición (S/)]],"ok","mal")</f>
        <v>ok</v>
      </c>
      <c r="V76" s="81"/>
      <c r="Z76" s="87"/>
      <c r="AR76" s="21" t="str">
        <f t="shared" si="21"/>
        <v>BZO-888</v>
      </c>
      <c r="AS76" s="21">
        <f t="shared" si="22"/>
        <v>3201</v>
      </c>
      <c r="AT76" s="21" t="s">
        <v>40</v>
      </c>
      <c r="AU76" s="98">
        <v>34</v>
      </c>
      <c r="AV76" s="112">
        <v>3341110</v>
      </c>
      <c r="AW76" s="99">
        <v>340175</v>
      </c>
      <c r="AX76" s="100">
        <v>343001000132</v>
      </c>
      <c r="AY76" s="101" t="s">
        <v>653</v>
      </c>
      <c r="AZ76" s="101" t="s">
        <v>740</v>
      </c>
      <c r="BA76" s="101"/>
      <c r="BB76" s="101"/>
      <c r="BC76" s="101"/>
      <c r="BD76" s="102" t="s">
        <v>755</v>
      </c>
      <c r="BE76" s="101" t="s">
        <v>535</v>
      </c>
      <c r="BF76" s="101"/>
      <c r="BG76" s="103" t="s">
        <v>688</v>
      </c>
      <c r="BH76" s="103" t="s">
        <v>741</v>
      </c>
      <c r="BI76" s="113" t="s">
        <v>536</v>
      </c>
      <c r="BJ76" s="117" t="s">
        <v>756</v>
      </c>
      <c r="BK76" s="104">
        <v>9311090</v>
      </c>
      <c r="BL76" s="104">
        <v>311094001</v>
      </c>
      <c r="BM76" s="104">
        <v>3201</v>
      </c>
      <c r="BN76" s="105">
        <v>45535</v>
      </c>
      <c r="BO76" s="98">
        <v>7</v>
      </c>
      <c r="BP76" s="116">
        <v>14.2857</v>
      </c>
      <c r="BQ76" s="114">
        <v>245017.60000000001</v>
      </c>
      <c r="BR76" s="107"/>
      <c r="BS76" s="114"/>
      <c r="BT76" s="106">
        <v>11667.48</v>
      </c>
      <c r="BU76" s="108">
        <v>2916.87</v>
      </c>
      <c r="BV76" s="108">
        <v>2916.87</v>
      </c>
      <c r="BW76" s="109">
        <v>17501.219999999998</v>
      </c>
      <c r="BX76" s="110">
        <v>29168.699999999997</v>
      </c>
      <c r="BY76" s="110"/>
      <c r="BZ76" s="110"/>
      <c r="CA76" s="108">
        <v>215848.90000000002</v>
      </c>
    </row>
    <row r="77" spans="3:79" x14ac:dyDescent="0.3">
      <c r="C77" s="40" t="str">
        <f>Impuestos3225[[#This Row],[Familia]]</f>
        <v>Camión EV JAC</v>
      </c>
      <c r="D77" s="7">
        <f t="shared" si="20"/>
        <v>71</v>
      </c>
      <c r="E77" s="24" t="s">
        <v>118</v>
      </c>
      <c r="F77" s="24" t="s">
        <v>37</v>
      </c>
      <c r="G77" s="25" t="s">
        <v>688</v>
      </c>
      <c r="H77" s="24">
        <v>3201</v>
      </c>
      <c r="I77" s="80">
        <v>45535</v>
      </c>
      <c r="J77" s="8">
        <v>7</v>
      </c>
      <c r="K77" s="10">
        <v>14.2857</v>
      </c>
      <c r="L77" s="81">
        <v>245017.60000000001</v>
      </c>
      <c r="M77" s="82">
        <f>Impuestos3225[[#This Row],[Valor Adquisición (S/)]]*Impuestos3225[[#This Row],[Tasa  % ]]/100</f>
        <v>35002.479283200002</v>
      </c>
      <c r="N77" s="81">
        <f>Impuestos3225[[#This Row],[Depreciación Anual]]/12</f>
        <v>2916.8732736000002</v>
      </c>
      <c r="O77" s="83">
        <f ca="1">ROUNDDOWN((TODAY()-Impuestos3225[[#This Row],[Fecha de Activación Ingreso]])/365, 0)</f>
        <v>1</v>
      </c>
      <c r="P77" s="81">
        <f ca="1">MIN(Impuestos3225[[#This Row],[Depreciación Anual]] * Impuestos3225[[#This Row],[Años Transcurridos]], Impuestos3225[[#This Row],[Valor Adquisición (S/)]])</f>
        <v>35002.479283200002</v>
      </c>
      <c r="Q77" s="81">
        <f ca="1">MAX(Impuestos3225[[#This Row],[Valor Adquisición (S/)]]-Impuestos3225[[#This Row],[Depreciación Acumulada]], 0)</f>
        <v>210015.12071680001</v>
      </c>
      <c r="R77" s="81" t="str">
        <f ca="1">IF(Impuestos3225[[#This Row],[Valor Adquisición (S/)]]="","", IF(Impuestos3225[[#This Row],[Valor Neto Actual]]=0,"Veh. Ya no deprecia",""))</f>
        <v/>
      </c>
      <c r="S77" s="81" t="s">
        <v>40</v>
      </c>
      <c r="T77" s="81">
        <f>IFERROR(VLOOKUP(Impuestos3225[[#This Row],[Placa Vehiculo]],$AR$6:$CA$159,26,0),"")</f>
        <v>245017.60000000001</v>
      </c>
      <c r="U77" s="81" t="str">
        <f>IF(Impuestos3225[[#This Row],[Buscar Monto]]=Impuestos3225[[#This Row],[Valor Adquisición (S/)]],"ok","mal")</f>
        <v>ok</v>
      </c>
      <c r="V77" s="81"/>
      <c r="Z77" s="87"/>
      <c r="AR77" s="21" t="str">
        <f t="shared" si="21"/>
        <v>BZJ-850</v>
      </c>
      <c r="AS77" s="21">
        <f t="shared" si="22"/>
        <v>3201</v>
      </c>
      <c r="AT77" s="21" t="s">
        <v>40</v>
      </c>
      <c r="AU77" s="98">
        <v>34</v>
      </c>
      <c r="AV77" s="112">
        <v>3341110</v>
      </c>
      <c r="AW77" s="99">
        <v>340176</v>
      </c>
      <c r="AX77" s="100">
        <v>343001000133</v>
      </c>
      <c r="AY77" s="101" t="s">
        <v>653</v>
      </c>
      <c r="AZ77" s="101" t="s">
        <v>740</v>
      </c>
      <c r="BA77" s="101"/>
      <c r="BB77" s="101"/>
      <c r="BC77" s="101"/>
      <c r="BD77" s="102" t="s">
        <v>757</v>
      </c>
      <c r="BE77" s="101" t="s">
        <v>527</v>
      </c>
      <c r="BF77" s="101"/>
      <c r="BG77" s="103" t="s">
        <v>688</v>
      </c>
      <c r="BH77" s="103" t="s">
        <v>741</v>
      </c>
      <c r="BI77" s="113" t="s">
        <v>528</v>
      </c>
      <c r="BJ77" s="117" t="s">
        <v>758</v>
      </c>
      <c r="BK77" s="104">
        <v>9311090</v>
      </c>
      <c r="BL77" s="104">
        <v>311094001</v>
      </c>
      <c r="BM77" s="104">
        <v>3201</v>
      </c>
      <c r="BN77" s="105">
        <v>45535</v>
      </c>
      <c r="BO77" s="98">
        <v>7</v>
      </c>
      <c r="BP77" s="116">
        <v>14.2857</v>
      </c>
      <c r="BQ77" s="114">
        <v>245017.60000000001</v>
      </c>
      <c r="BR77" s="107"/>
      <c r="BS77" s="114"/>
      <c r="BT77" s="106">
        <v>11667.48</v>
      </c>
      <c r="BU77" s="108">
        <v>2916.87</v>
      </c>
      <c r="BV77" s="108">
        <v>2916.87</v>
      </c>
      <c r="BW77" s="109">
        <v>17501.219999999998</v>
      </c>
      <c r="BX77" s="110">
        <v>29168.699999999997</v>
      </c>
      <c r="BY77" s="110"/>
      <c r="BZ77" s="110"/>
      <c r="CA77" s="108">
        <v>215848.90000000002</v>
      </c>
    </row>
    <row r="78" spans="3:79" x14ac:dyDescent="0.3">
      <c r="C78" s="40" t="str">
        <f>Impuestos3225[[#This Row],[Familia]]</f>
        <v>Camión EV JAC</v>
      </c>
      <c r="D78" s="7">
        <f t="shared" si="20"/>
        <v>72</v>
      </c>
      <c r="E78" s="24" t="s">
        <v>128</v>
      </c>
      <c r="F78" s="24" t="s">
        <v>37</v>
      </c>
      <c r="G78" s="25" t="s">
        <v>688</v>
      </c>
      <c r="H78" s="24">
        <v>3201</v>
      </c>
      <c r="I78" s="80">
        <v>45535</v>
      </c>
      <c r="J78" s="8">
        <v>7</v>
      </c>
      <c r="K78" s="10">
        <v>14.2857</v>
      </c>
      <c r="L78" s="81">
        <v>245017.60000000001</v>
      </c>
      <c r="M78" s="82">
        <f>Impuestos3225[[#This Row],[Valor Adquisición (S/)]]*Impuestos3225[[#This Row],[Tasa  % ]]/100</f>
        <v>35002.479283200002</v>
      </c>
      <c r="N78" s="81">
        <f>Impuestos3225[[#This Row],[Depreciación Anual]]/12</f>
        <v>2916.8732736000002</v>
      </c>
      <c r="O78" s="83">
        <f ca="1">ROUNDDOWN((TODAY()-Impuestos3225[[#This Row],[Fecha de Activación Ingreso]])/365, 0)</f>
        <v>1</v>
      </c>
      <c r="P78" s="81">
        <f ca="1">MIN(Impuestos3225[[#This Row],[Depreciación Anual]] * Impuestos3225[[#This Row],[Años Transcurridos]], Impuestos3225[[#This Row],[Valor Adquisición (S/)]])</f>
        <v>35002.479283200002</v>
      </c>
      <c r="Q78" s="81">
        <f ca="1">MAX(Impuestos3225[[#This Row],[Valor Adquisición (S/)]]-Impuestos3225[[#This Row],[Depreciación Acumulada]], 0)</f>
        <v>210015.12071680001</v>
      </c>
      <c r="R78" s="81" t="str">
        <f ca="1">IF(Impuestos3225[[#This Row],[Valor Adquisición (S/)]]="","", IF(Impuestos3225[[#This Row],[Valor Neto Actual]]=0,"Veh. Ya no deprecia",""))</f>
        <v/>
      </c>
      <c r="S78" s="81" t="s">
        <v>40</v>
      </c>
      <c r="T78" s="81">
        <f>IFERROR(VLOOKUP(Impuestos3225[[#This Row],[Placa Vehiculo]],$AR$6:$CA$159,26,0),"")</f>
        <v>245017.60000000001</v>
      </c>
      <c r="U78" s="81" t="str">
        <f>IF(Impuestos3225[[#This Row],[Buscar Monto]]=Impuestos3225[[#This Row],[Valor Adquisición (S/)]],"ok","mal")</f>
        <v>ok</v>
      </c>
      <c r="V78" s="81"/>
      <c r="Z78" s="87"/>
      <c r="AR78" s="21" t="str">
        <f t="shared" si="21"/>
        <v>BZO-755</v>
      </c>
      <c r="AS78" s="21">
        <f t="shared" si="22"/>
        <v>3201</v>
      </c>
      <c r="AT78" s="21" t="s">
        <v>40</v>
      </c>
      <c r="AU78" s="98">
        <v>34</v>
      </c>
      <c r="AV78" s="112">
        <v>3341110</v>
      </c>
      <c r="AW78" s="99">
        <v>340177</v>
      </c>
      <c r="AX78" s="100">
        <v>343001000134</v>
      </c>
      <c r="AY78" s="101" t="s">
        <v>653</v>
      </c>
      <c r="AZ78" s="101" t="s">
        <v>740</v>
      </c>
      <c r="BA78" s="101"/>
      <c r="BB78" s="101"/>
      <c r="BC78" s="101"/>
      <c r="BD78" s="102" t="s">
        <v>759</v>
      </c>
      <c r="BE78" s="101" t="s">
        <v>541</v>
      </c>
      <c r="BF78" s="101"/>
      <c r="BG78" s="103" t="s">
        <v>688</v>
      </c>
      <c r="BH78" s="103" t="s">
        <v>741</v>
      </c>
      <c r="BI78" s="113" t="s">
        <v>542</v>
      </c>
      <c r="BJ78" s="117" t="s">
        <v>760</v>
      </c>
      <c r="BK78" s="104">
        <v>9311090</v>
      </c>
      <c r="BL78" s="104">
        <v>311094001</v>
      </c>
      <c r="BM78" s="104">
        <v>3201</v>
      </c>
      <c r="BN78" s="105">
        <v>45535</v>
      </c>
      <c r="BO78" s="98">
        <v>7</v>
      </c>
      <c r="BP78" s="116">
        <v>14.2857</v>
      </c>
      <c r="BQ78" s="114">
        <v>245017.60000000001</v>
      </c>
      <c r="BR78" s="107"/>
      <c r="BS78" s="114"/>
      <c r="BT78" s="106">
        <v>11667.48</v>
      </c>
      <c r="BU78" s="108">
        <v>2916.87</v>
      </c>
      <c r="BV78" s="108">
        <v>2916.87</v>
      </c>
      <c r="BW78" s="109">
        <v>17501.219999999998</v>
      </c>
      <c r="BX78" s="110">
        <v>29168.699999999997</v>
      </c>
      <c r="BY78" s="110"/>
      <c r="BZ78" s="110"/>
      <c r="CA78" s="108">
        <v>215848.90000000002</v>
      </c>
    </row>
    <row r="79" spans="3:79" x14ac:dyDescent="0.3">
      <c r="C79" s="40" t="str">
        <f>Impuestos3225[[#This Row],[Familia]]</f>
        <v>Camión EV JAC</v>
      </c>
      <c r="D79" s="7">
        <f t="shared" si="20"/>
        <v>73</v>
      </c>
      <c r="E79" s="24" t="s">
        <v>120</v>
      </c>
      <c r="F79" s="24" t="s">
        <v>37</v>
      </c>
      <c r="G79" s="25" t="s">
        <v>688</v>
      </c>
      <c r="H79" s="24">
        <v>3201</v>
      </c>
      <c r="I79" s="80">
        <v>45535</v>
      </c>
      <c r="J79" s="8">
        <v>7</v>
      </c>
      <c r="K79" s="10">
        <v>14.2857</v>
      </c>
      <c r="L79" s="81">
        <v>245017.63</v>
      </c>
      <c r="M79" s="82">
        <f>Impuestos3225[[#This Row],[Valor Adquisición (S/)]]*Impuestos3225[[#This Row],[Tasa  % ]]/100</f>
        <v>35002.48356891</v>
      </c>
      <c r="N79" s="81">
        <f>Impuestos3225[[#This Row],[Depreciación Anual]]/12</f>
        <v>2916.8736307425002</v>
      </c>
      <c r="O79" s="83">
        <f ca="1">ROUNDDOWN((TODAY()-Impuestos3225[[#This Row],[Fecha de Activación Ingreso]])/365, 0)</f>
        <v>1</v>
      </c>
      <c r="P79" s="81">
        <f ca="1">MIN(Impuestos3225[[#This Row],[Depreciación Anual]] * Impuestos3225[[#This Row],[Años Transcurridos]], Impuestos3225[[#This Row],[Valor Adquisición (S/)]])</f>
        <v>35002.48356891</v>
      </c>
      <c r="Q79" s="81">
        <f ca="1">MAX(Impuestos3225[[#This Row],[Valor Adquisición (S/)]]-Impuestos3225[[#This Row],[Depreciación Acumulada]], 0)</f>
        <v>210015.14643109002</v>
      </c>
      <c r="R79" s="81" t="str">
        <f ca="1">IF(Impuestos3225[[#This Row],[Valor Adquisición (S/)]]="","", IF(Impuestos3225[[#This Row],[Valor Neto Actual]]=0,"Veh. Ya no deprecia",""))</f>
        <v/>
      </c>
      <c r="S79" s="81" t="s">
        <v>40</v>
      </c>
      <c r="T79" s="81">
        <f>IFERROR(VLOOKUP(Impuestos3225[[#This Row],[Placa Vehiculo]],$AR$6:$CA$159,26,0),"")</f>
        <v>245017.63</v>
      </c>
      <c r="U79" s="81" t="str">
        <f>IF(Impuestos3225[[#This Row],[Buscar Monto]]=Impuestos3225[[#This Row],[Valor Adquisición (S/)]],"ok","mal")</f>
        <v>ok</v>
      </c>
      <c r="V79" s="81"/>
      <c r="Z79" s="87"/>
      <c r="AR79" s="21" t="str">
        <f t="shared" si="21"/>
        <v>BZJ-853</v>
      </c>
      <c r="AS79" s="21">
        <f t="shared" si="22"/>
        <v>3201</v>
      </c>
      <c r="AT79" s="21" t="s">
        <v>40</v>
      </c>
      <c r="AU79" s="98">
        <v>34</v>
      </c>
      <c r="AV79" s="112">
        <v>3341110</v>
      </c>
      <c r="AW79" s="99">
        <v>340178</v>
      </c>
      <c r="AX79" s="100">
        <v>343001000135</v>
      </c>
      <c r="AY79" s="101" t="s">
        <v>653</v>
      </c>
      <c r="AZ79" s="101" t="s">
        <v>740</v>
      </c>
      <c r="BA79" s="101"/>
      <c r="BB79" s="101"/>
      <c r="BC79" s="101"/>
      <c r="BD79" s="102" t="s">
        <v>761</v>
      </c>
      <c r="BE79" s="101" t="s">
        <v>521</v>
      </c>
      <c r="BF79" s="101"/>
      <c r="BG79" s="103" t="s">
        <v>688</v>
      </c>
      <c r="BH79" s="103" t="s">
        <v>741</v>
      </c>
      <c r="BI79" s="113" t="s">
        <v>522</v>
      </c>
      <c r="BJ79" s="117" t="s">
        <v>762</v>
      </c>
      <c r="BK79" s="104">
        <v>9311090</v>
      </c>
      <c r="BL79" s="104">
        <v>311094001</v>
      </c>
      <c r="BM79" s="104">
        <v>3201</v>
      </c>
      <c r="BN79" s="105">
        <v>45535</v>
      </c>
      <c r="BO79" s="98">
        <v>7</v>
      </c>
      <c r="BP79" s="116">
        <v>14.2857</v>
      </c>
      <c r="BQ79" s="114">
        <v>245017.63</v>
      </c>
      <c r="BR79" s="107"/>
      <c r="BS79" s="114"/>
      <c r="BT79" s="106">
        <v>11667.48</v>
      </c>
      <c r="BU79" s="108">
        <v>2916.87</v>
      </c>
      <c r="BV79" s="108">
        <v>2916.87</v>
      </c>
      <c r="BW79" s="109">
        <v>17501.219999999998</v>
      </c>
      <c r="BX79" s="110">
        <v>29168.699999999997</v>
      </c>
      <c r="BY79" s="110"/>
      <c r="BZ79" s="110"/>
      <c r="CA79" s="108">
        <v>215848.93</v>
      </c>
    </row>
    <row r="80" spans="3:79" x14ac:dyDescent="0.3">
      <c r="C80" s="40" t="str">
        <f>Impuestos3225[[#This Row],[Familia]]</f>
        <v>Camión EV JAC</v>
      </c>
      <c r="D80" s="7">
        <f t="shared" si="20"/>
        <v>74</v>
      </c>
      <c r="E80" s="24" t="s">
        <v>121</v>
      </c>
      <c r="F80" s="24" t="s">
        <v>37</v>
      </c>
      <c r="G80" s="25" t="s">
        <v>688</v>
      </c>
      <c r="H80" s="24">
        <v>3201</v>
      </c>
      <c r="I80" s="80">
        <v>45535</v>
      </c>
      <c r="J80" s="8">
        <v>7</v>
      </c>
      <c r="K80" s="10">
        <v>14.2857</v>
      </c>
      <c r="L80" s="81">
        <v>245017.63</v>
      </c>
      <c r="M80" s="82">
        <f>Impuestos3225[[#This Row],[Valor Adquisición (S/)]]*Impuestos3225[[#This Row],[Tasa  % ]]/100</f>
        <v>35002.48356891</v>
      </c>
      <c r="N80" s="81">
        <f>Impuestos3225[[#This Row],[Depreciación Anual]]/12</f>
        <v>2916.8736307425002</v>
      </c>
      <c r="O80" s="83">
        <f ca="1">ROUNDDOWN((TODAY()-Impuestos3225[[#This Row],[Fecha de Activación Ingreso]])/365, 0)</f>
        <v>1</v>
      </c>
      <c r="P80" s="81">
        <f ca="1">MIN(Impuestos3225[[#This Row],[Depreciación Anual]] * Impuestos3225[[#This Row],[Años Transcurridos]], Impuestos3225[[#This Row],[Valor Adquisición (S/)]])</f>
        <v>35002.48356891</v>
      </c>
      <c r="Q80" s="81">
        <f ca="1">MAX(Impuestos3225[[#This Row],[Valor Adquisición (S/)]]-Impuestos3225[[#This Row],[Depreciación Acumulada]], 0)</f>
        <v>210015.14643109002</v>
      </c>
      <c r="R80" s="81" t="str">
        <f ca="1">IF(Impuestos3225[[#This Row],[Valor Adquisición (S/)]]="","", IF(Impuestos3225[[#This Row],[Valor Neto Actual]]=0,"Veh. Ya no deprecia",""))</f>
        <v/>
      </c>
      <c r="S80" s="81" t="s">
        <v>40</v>
      </c>
      <c r="T80" s="81">
        <f>IFERROR(VLOOKUP(Impuestos3225[[#This Row],[Placa Vehiculo]],$AR$6:$CA$159,26,0),"")</f>
        <v>245017.63</v>
      </c>
      <c r="U80" s="81" t="str">
        <f>IF(Impuestos3225[[#This Row],[Buscar Monto]]=Impuestos3225[[#This Row],[Valor Adquisición (S/)]],"ok","mal")</f>
        <v>ok</v>
      </c>
      <c r="V80" s="81"/>
      <c r="Z80" s="87"/>
      <c r="AR80" s="21" t="str">
        <f t="shared" si="21"/>
        <v>BZJ-885</v>
      </c>
      <c r="AS80" s="21">
        <f t="shared" si="22"/>
        <v>3201</v>
      </c>
      <c r="AT80" s="21" t="s">
        <v>40</v>
      </c>
      <c r="AU80" s="98">
        <v>34</v>
      </c>
      <c r="AV80" s="112">
        <v>3341110</v>
      </c>
      <c r="AW80" s="99">
        <v>340179</v>
      </c>
      <c r="AX80" s="100">
        <v>343001000136</v>
      </c>
      <c r="AY80" s="101" t="s">
        <v>653</v>
      </c>
      <c r="AZ80" s="101" t="s">
        <v>740</v>
      </c>
      <c r="BA80" s="101"/>
      <c r="BB80" s="101"/>
      <c r="BC80" s="101"/>
      <c r="BD80" s="102" t="s">
        <v>763</v>
      </c>
      <c r="BE80" s="101" t="s">
        <v>549</v>
      </c>
      <c r="BF80" s="101"/>
      <c r="BG80" s="103" t="s">
        <v>688</v>
      </c>
      <c r="BH80" s="103" t="s">
        <v>741</v>
      </c>
      <c r="BI80" s="113" t="s">
        <v>550</v>
      </c>
      <c r="BJ80" s="117" t="s">
        <v>764</v>
      </c>
      <c r="BK80" s="104">
        <v>9311090</v>
      </c>
      <c r="BL80" s="104">
        <v>311094001</v>
      </c>
      <c r="BM80" s="104">
        <v>3201</v>
      </c>
      <c r="BN80" s="105">
        <v>45535</v>
      </c>
      <c r="BO80" s="98">
        <v>7</v>
      </c>
      <c r="BP80" s="116">
        <v>14.2857</v>
      </c>
      <c r="BQ80" s="114">
        <v>245017.63</v>
      </c>
      <c r="BR80" s="107"/>
      <c r="BS80" s="114"/>
      <c r="BT80" s="106">
        <v>11667.48</v>
      </c>
      <c r="BU80" s="108">
        <v>2916.87</v>
      </c>
      <c r="BV80" s="108">
        <v>2916.87</v>
      </c>
      <c r="BW80" s="109">
        <v>17501.219999999998</v>
      </c>
      <c r="BX80" s="110">
        <v>29168.699999999997</v>
      </c>
      <c r="BY80" s="110"/>
      <c r="BZ80" s="110"/>
      <c r="CA80" s="108">
        <v>215848.93</v>
      </c>
    </row>
    <row r="81" spans="3:79" x14ac:dyDescent="0.3">
      <c r="C81" s="40" t="str">
        <f>Impuestos3225[[#This Row],[Familia]]</f>
        <v>Camión Grúa CI Hino</v>
      </c>
      <c r="D81" s="7">
        <f t="shared" si="20"/>
        <v>75</v>
      </c>
      <c r="E81" s="24" t="s">
        <v>203</v>
      </c>
      <c r="F81" s="24" t="s">
        <v>179</v>
      </c>
      <c r="G81" s="25" t="s">
        <v>685</v>
      </c>
      <c r="H81" s="24">
        <v>2710</v>
      </c>
      <c r="I81" s="80">
        <v>45535</v>
      </c>
      <c r="J81" s="8">
        <v>12</v>
      </c>
      <c r="K81" s="10">
        <v>8.3330000000000002</v>
      </c>
      <c r="L81" s="81">
        <v>794804.29</v>
      </c>
      <c r="M81" s="82">
        <f>Impuestos3225[[#This Row],[Valor Adquisición (S/)]]*Impuestos3225[[#This Row],[Tasa  % ]]/100</f>
        <v>66231.0414857</v>
      </c>
      <c r="N81" s="81">
        <f>Impuestos3225[[#This Row],[Depreciación Anual]]/12</f>
        <v>5519.2534571416663</v>
      </c>
      <c r="O81" s="83">
        <f ca="1">ROUNDDOWN((TODAY()-Impuestos3225[[#This Row],[Fecha de Activación Ingreso]])/365, 0)</f>
        <v>1</v>
      </c>
      <c r="P81" s="81">
        <f ca="1">MIN(Impuestos3225[[#This Row],[Depreciación Anual]] * Impuestos3225[[#This Row],[Años Transcurridos]], Impuestos3225[[#This Row],[Valor Adquisición (S/)]])</f>
        <v>66231.0414857</v>
      </c>
      <c r="Q81" s="81">
        <f ca="1">MAX(Impuestos3225[[#This Row],[Valor Adquisición (S/)]]-Impuestos3225[[#This Row],[Depreciación Acumulada]], 0)</f>
        <v>728573.24851429998</v>
      </c>
      <c r="R81" s="81" t="str">
        <f ca="1">IF(Impuestos3225[[#This Row],[Valor Adquisición (S/)]]="","", IF(Impuestos3225[[#This Row],[Valor Neto Actual]]=0,"Veh. Ya no deprecia",""))</f>
        <v/>
      </c>
      <c r="S81" s="81" t="s">
        <v>200</v>
      </c>
      <c r="T81" s="81">
        <f>IFERROR(VLOOKUP(Impuestos3225[[#This Row],[Placa Vehiculo]],$AR$6:$CA$159,26,0),"")</f>
        <v>794804.29</v>
      </c>
      <c r="U81" s="81" t="str">
        <f>IF(Impuestos3225[[#This Row],[Buscar Monto]]=Impuestos3225[[#This Row],[Valor Adquisición (S/)]],"ok","mal")</f>
        <v>ok</v>
      </c>
      <c r="V81" s="81"/>
      <c r="Z81" s="87"/>
      <c r="AR81" s="21" t="str">
        <f t="shared" si="21"/>
        <v>CAC-802</v>
      </c>
      <c r="AS81" s="21">
        <f t="shared" si="22"/>
        <v>2710</v>
      </c>
      <c r="AT81" s="21" t="s">
        <v>200</v>
      </c>
      <c r="AU81" s="98">
        <v>34</v>
      </c>
      <c r="AV81" s="112">
        <v>3341110</v>
      </c>
      <c r="AW81" s="99">
        <v>340180</v>
      </c>
      <c r="AX81" s="100">
        <v>343001000137</v>
      </c>
      <c r="AY81" s="101" t="s">
        <v>653</v>
      </c>
      <c r="AZ81" s="101" t="s">
        <v>765</v>
      </c>
      <c r="BA81" s="101"/>
      <c r="BB81" s="101"/>
      <c r="BC81" s="101"/>
      <c r="BD81" s="102" t="s">
        <v>766</v>
      </c>
      <c r="BE81" s="101" t="s">
        <v>767</v>
      </c>
      <c r="BF81" s="101"/>
      <c r="BG81" s="103" t="s">
        <v>685</v>
      </c>
      <c r="BH81" s="103" t="s">
        <v>202</v>
      </c>
      <c r="BI81" s="113" t="s">
        <v>768</v>
      </c>
      <c r="BJ81" s="117" t="s">
        <v>769</v>
      </c>
      <c r="BK81" s="104">
        <v>9311090</v>
      </c>
      <c r="BL81" s="104">
        <v>311094002</v>
      </c>
      <c r="BM81" s="104">
        <v>2710</v>
      </c>
      <c r="BN81" s="105">
        <v>45535</v>
      </c>
      <c r="BO81" s="98">
        <v>12</v>
      </c>
      <c r="BP81" s="98">
        <v>8.3330000000000002</v>
      </c>
      <c r="BQ81" s="114">
        <v>794804.29</v>
      </c>
      <c r="BR81" s="107"/>
      <c r="BS81" s="114"/>
      <c r="BT81" s="106">
        <v>22077</v>
      </c>
      <c r="BU81" s="108">
        <v>5519.25</v>
      </c>
      <c r="BV81" s="108">
        <v>5519.25</v>
      </c>
      <c r="BW81" s="109">
        <v>33115.5</v>
      </c>
      <c r="BX81" s="110">
        <v>55192.5</v>
      </c>
      <c r="BY81" s="110"/>
      <c r="BZ81" s="110"/>
      <c r="CA81" s="108">
        <v>739611.79</v>
      </c>
    </row>
    <row r="82" spans="3:79" x14ac:dyDescent="0.3">
      <c r="C82" s="40" t="str">
        <f>Impuestos3225[[#This Row],[Familia]]</f>
        <v>Camión Grúa CI Hino</v>
      </c>
      <c r="D82" s="7">
        <f t="shared" si="20"/>
        <v>76</v>
      </c>
      <c r="E82" s="24" t="s">
        <v>204</v>
      </c>
      <c r="F82" s="24" t="s">
        <v>179</v>
      </c>
      <c r="G82" s="25" t="s">
        <v>685</v>
      </c>
      <c r="H82" s="24">
        <v>2710</v>
      </c>
      <c r="I82" s="80">
        <v>45535</v>
      </c>
      <c r="J82" s="8">
        <v>12</v>
      </c>
      <c r="K82" s="10">
        <v>8.3330000000000002</v>
      </c>
      <c r="L82" s="81">
        <v>781330.73</v>
      </c>
      <c r="M82" s="82">
        <f>Impuestos3225[[#This Row],[Valor Adquisición (S/)]]*Impuestos3225[[#This Row],[Tasa  % ]]/100</f>
        <v>65108.289730900004</v>
      </c>
      <c r="N82" s="81">
        <f>Impuestos3225[[#This Row],[Depreciación Anual]]/12</f>
        <v>5425.6908109083333</v>
      </c>
      <c r="O82" s="83">
        <f ca="1">ROUNDDOWN((TODAY()-Impuestos3225[[#This Row],[Fecha de Activación Ingreso]])/365, 0)</f>
        <v>1</v>
      </c>
      <c r="P82" s="81">
        <f ca="1">MIN(Impuestos3225[[#This Row],[Depreciación Anual]] * Impuestos3225[[#This Row],[Años Transcurridos]], Impuestos3225[[#This Row],[Valor Adquisición (S/)]])</f>
        <v>65108.289730900004</v>
      </c>
      <c r="Q82" s="81">
        <f ca="1">MAX(Impuestos3225[[#This Row],[Valor Adquisición (S/)]]-Impuestos3225[[#This Row],[Depreciación Acumulada]], 0)</f>
        <v>716222.44026910001</v>
      </c>
      <c r="R82" s="81" t="str">
        <f ca="1">IF(Impuestos3225[[#This Row],[Valor Adquisición (S/)]]="","", IF(Impuestos3225[[#This Row],[Valor Neto Actual]]=0,"Veh. Ya no deprecia",""))</f>
        <v/>
      </c>
      <c r="S82" s="81" t="s">
        <v>200</v>
      </c>
      <c r="T82" s="81">
        <f>IFERROR(VLOOKUP(Impuestos3225[[#This Row],[Placa Vehiculo]],$AR$6:$CA$159,26,0),"")</f>
        <v>781330.73</v>
      </c>
      <c r="U82" s="81" t="str">
        <f>IF(Impuestos3225[[#This Row],[Buscar Monto]]=Impuestos3225[[#This Row],[Valor Adquisición (S/)]],"ok","mal")</f>
        <v>ok</v>
      </c>
      <c r="V82" s="81"/>
      <c r="Z82" s="87"/>
      <c r="AR82" s="21" t="str">
        <f t="shared" si="21"/>
        <v>CAC-921</v>
      </c>
      <c r="AS82" s="21">
        <f t="shared" si="22"/>
        <v>2710</v>
      </c>
      <c r="AT82" s="21" t="s">
        <v>200</v>
      </c>
      <c r="AU82" s="98">
        <v>34</v>
      </c>
      <c r="AV82" s="112">
        <v>3341110</v>
      </c>
      <c r="AW82" s="99">
        <v>340181</v>
      </c>
      <c r="AX82" s="100">
        <v>343001000138</v>
      </c>
      <c r="AY82" s="101" t="s">
        <v>653</v>
      </c>
      <c r="AZ82" s="101" t="s">
        <v>765</v>
      </c>
      <c r="BA82" s="101"/>
      <c r="BB82" s="101"/>
      <c r="BC82" s="101"/>
      <c r="BD82" s="102" t="s">
        <v>770</v>
      </c>
      <c r="BE82" s="101" t="s">
        <v>771</v>
      </c>
      <c r="BF82" s="101"/>
      <c r="BG82" s="103" t="s">
        <v>685</v>
      </c>
      <c r="BH82" s="103" t="s">
        <v>202</v>
      </c>
      <c r="BI82" s="113" t="s">
        <v>772</v>
      </c>
      <c r="BJ82" s="117" t="s">
        <v>773</v>
      </c>
      <c r="BK82" s="104">
        <v>9311090</v>
      </c>
      <c r="BL82" s="104">
        <v>311094002</v>
      </c>
      <c r="BM82" s="104">
        <v>2710</v>
      </c>
      <c r="BN82" s="105">
        <v>45535</v>
      </c>
      <c r="BO82" s="98">
        <v>12</v>
      </c>
      <c r="BP82" s="98">
        <v>8.3330000000000002</v>
      </c>
      <c r="BQ82" s="114">
        <v>781330.73</v>
      </c>
      <c r="BR82" s="107"/>
      <c r="BS82" s="114"/>
      <c r="BT82" s="106">
        <v>21702.76</v>
      </c>
      <c r="BU82" s="108">
        <v>5425.69</v>
      </c>
      <c r="BV82" s="108">
        <v>5425.69</v>
      </c>
      <c r="BW82" s="109">
        <v>32554.139999999996</v>
      </c>
      <c r="BX82" s="110">
        <v>54256.899999999994</v>
      </c>
      <c r="BY82" s="110"/>
      <c r="BZ82" s="110"/>
      <c r="CA82" s="108">
        <v>727073.83</v>
      </c>
    </row>
    <row r="83" spans="3:79" x14ac:dyDescent="0.3">
      <c r="C83" s="40" t="str">
        <f>Impuestos3225[[#This Row],[Familia]]</f>
        <v>Camión Grúa CI Hino</v>
      </c>
      <c r="D83" s="7">
        <f t="shared" si="20"/>
        <v>77</v>
      </c>
      <c r="E83" s="24" t="s">
        <v>201</v>
      </c>
      <c r="F83" s="24" t="s">
        <v>179</v>
      </c>
      <c r="G83" s="25" t="s">
        <v>685</v>
      </c>
      <c r="H83" s="24">
        <v>2710</v>
      </c>
      <c r="I83" s="80">
        <v>45535</v>
      </c>
      <c r="J83" s="8">
        <v>12</v>
      </c>
      <c r="K83" s="10">
        <v>8.3330000000000002</v>
      </c>
      <c r="L83" s="81">
        <v>794804.29</v>
      </c>
      <c r="M83" s="82">
        <f>Impuestos3225[[#This Row],[Valor Adquisición (S/)]]*Impuestos3225[[#This Row],[Tasa  % ]]/100</f>
        <v>66231.0414857</v>
      </c>
      <c r="N83" s="81">
        <f>Impuestos3225[[#This Row],[Depreciación Anual]]/12</f>
        <v>5519.2534571416663</v>
      </c>
      <c r="O83" s="83">
        <f ca="1">ROUNDDOWN((TODAY()-Impuestos3225[[#This Row],[Fecha de Activación Ingreso]])/365, 0)</f>
        <v>1</v>
      </c>
      <c r="P83" s="81">
        <f ca="1">MIN(Impuestos3225[[#This Row],[Depreciación Anual]] * Impuestos3225[[#This Row],[Años Transcurridos]], Impuestos3225[[#This Row],[Valor Adquisición (S/)]])</f>
        <v>66231.0414857</v>
      </c>
      <c r="Q83" s="81">
        <f ca="1">MAX(Impuestos3225[[#This Row],[Valor Adquisición (S/)]]-Impuestos3225[[#This Row],[Depreciación Acumulada]], 0)</f>
        <v>728573.24851429998</v>
      </c>
      <c r="R83" s="81" t="str">
        <f ca="1">IF(Impuestos3225[[#This Row],[Valor Adquisición (S/)]]="","", IF(Impuestos3225[[#This Row],[Valor Neto Actual]]=0,"Veh. Ya no deprecia",""))</f>
        <v/>
      </c>
      <c r="S83" s="81" t="s">
        <v>200</v>
      </c>
      <c r="T83" s="81">
        <f>IFERROR(VLOOKUP(Impuestos3225[[#This Row],[Placa Vehiculo]],$AR$6:$CA$159,26,0),"")</f>
        <v>794804.29</v>
      </c>
      <c r="U83" s="81" t="str">
        <f>IF(Impuestos3225[[#This Row],[Buscar Monto]]=Impuestos3225[[#This Row],[Valor Adquisición (S/)]],"ok","mal")</f>
        <v>ok</v>
      </c>
      <c r="V83" s="81"/>
      <c r="Z83" s="87"/>
      <c r="AR83" s="21" t="str">
        <f t="shared" si="21"/>
        <v>CAC-805</v>
      </c>
      <c r="AS83" s="21">
        <f t="shared" si="22"/>
        <v>2710</v>
      </c>
      <c r="AT83" s="21" t="s">
        <v>200</v>
      </c>
      <c r="AU83" s="98">
        <v>34</v>
      </c>
      <c r="AV83" s="112">
        <v>3341110</v>
      </c>
      <c r="AW83" s="99">
        <v>340182</v>
      </c>
      <c r="AX83" s="100">
        <v>343001000139</v>
      </c>
      <c r="AY83" s="101" t="s">
        <v>653</v>
      </c>
      <c r="AZ83" s="101" t="s">
        <v>765</v>
      </c>
      <c r="BA83" s="101"/>
      <c r="BB83" s="101"/>
      <c r="BC83" s="101"/>
      <c r="BD83" s="102" t="s">
        <v>774</v>
      </c>
      <c r="BE83" s="101" t="s">
        <v>775</v>
      </c>
      <c r="BF83" s="101"/>
      <c r="BG83" s="103" t="s">
        <v>685</v>
      </c>
      <c r="BH83" s="103" t="s">
        <v>202</v>
      </c>
      <c r="BI83" s="113" t="s">
        <v>776</v>
      </c>
      <c r="BJ83" s="117" t="s">
        <v>777</v>
      </c>
      <c r="BK83" s="104">
        <v>9311090</v>
      </c>
      <c r="BL83" s="104">
        <v>311094002</v>
      </c>
      <c r="BM83" s="104">
        <v>2710</v>
      </c>
      <c r="BN83" s="105">
        <v>45535</v>
      </c>
      <c r="BO83" s="98">
        <v>12</v>
      </c>
      <c r="BP83" s="98">
        <v>8.3330000000000002</v>
      </c>
      <c r="BQ83" s="114">
        <v>794804.29</v>
      </c>
      <c r="BR83" s="107"/>
      <c r="BS83" s="114"/>
      <c r="BT83" s="106">
        <v>22077</v>
      </c>
      <c r="BU83" s="108">
        <v>5519.25</v>
      </c>
      <c r="BV83" s="108">
        <v>5519.25</v>
      </c>
      <c r="BW83" s="109">
        <v>33115.5</v>
      </c>
      <c r="BX83" s="110">
        <v>55192.5</v>
      </c>
      <c r="BY83" s="110"/>
      <c r="BZ83" s="110"/>
      <c r="CA83" s="108">
        <v>739611.79</v>
      </c>
    </row>
    <row r="84" spans="3:79" x14ac:dyDescent="0.3">
      <c r="C84" s="40" t="str">
        <f>Impuestos3225[[#This Row],[Familia]]</f>
        <v>Van Cargo EV BYD</v>
      </c>
      <c r="D84" s="7">
        <f t="shared" si="20"/>
        <v>78</v>
      </c>
      <c r="E84" s="24" t="s">
        <v>63</v>
      </c>
      <c r="F84" s="24" t="s">
        <v>37</v>
      </c>
      <c r="G84" s="25" t="s">
        <v>34</v>
      </c>
      <c r="H84" s="24">
        <v>3201</v>
      </c>
      <c r="I84" s="80">
        <v>45565</v>
      </c>
      <c r="J84" s="8">
        <v>7</v>
      </c>
      <c r="K84" s="10">
        <v>14.2857</v>
      </c>
      <c r="L84" s="81">
        <v>108651.37000000001</v>
      </c>
      <c r="M84" s="82">
        <f>Impuestos3225[[#This Row],[Valor Adquisición (S/)]]*Impuestos3225[[#This Row],[Tasa  % ]]/100</f>
        <v>15521.608764090002</v>
      </c>
      <c r="N84" s="81">
        <f>Impuestos3225[[#This Row],[Depreciación Anual]]/12</f>
        <v>1293.4673970075003</v>
      </c>
      <c r="O84" s="83">
        <f ca="1">ROUNDDOWN((TODAY()-Impuestos3225[[#This Row],[Fecha de Activación Ingreso]])/365, 0)</f>
        <v>1</v>
      </c>
      <c r="P84" s="81">
        <f ca="1">MIN(Impuestos3225[[#This Row],[Depreciación Anual]] * Impuestos3225[[#This Row],[Años Transcurridos]], Impuestos3225[[#This Row],[Valor Adquisición (S/)]])</f>
        <v>15521.608764090002</v>
      </c>
      <c r="Q84" s="81">
        <f ca="1">MAX(Impuestos3225[[#This Row],[Valor Adquisición (S/)]]-Impuestos3225[[#This Row],[Depreciación Acumulada]], 0)</f>
        <v>93129.761235910002</v>
      </c>
      <c r="R84" s="81" t="str">
        <f ca="1">IF(Impuestos3225[[#This Row],[Valor Adquisición (S/)]]="","", IF(Impuestos3225[[#This Row],[Valor Neto Actual]]=0,"Veh. Ya no deprecia",""))</f>
        <v/>
      </c>
      <c r="S84" s="81" t="s">
        <v>58</v>
      </c>
      <c r="T84" s="81">
        <f>IFERROR(VLOOKUP(Impuestos3225[[#This Row],[Placa Vehiculo]],$AR$6:$CA$159,26,0),"")</f>
        <v>108651.37000000001</v>
      </c>
      <c r="U84" s="81" t="str">
        <f>IF(Impuestos3225[[#This Row],[Buscar Monto]]=Impuestos3225[[#This Row],[Valor Adquisición (S/)]],"ok","mal")</f>
        <v>ok</v>
      </c>
      <c r="V84" s="81"/>
      <c r="Z84" s="87"/>
      <c r="AR84" s="21" t="str">
        <f t="shared" si="21"/>
        <v>CAU-745</v>
      </c>
      <c r="AS84" s="21">
        <f t="shared" si="22"/>
        <v>3201</v>
      </c>
      <c r="AT84" s="21" t="s">
        <v>58</v>
      </c>
      <c r="AU84" s="98">
        <v>34</v>
      </c>
      <c r="AV84" s="112">
        <v>3341110</v>
      </c>
      <c r="AW84" s="99">
        <v>340183</v>
      </c>
      <c r="AX84" s="100">
        <v>343001000140</v>
      </c>
      <c r="AY84" s="101" t="s">
        <v>653</v>
      </c>
      <c r="AZ84" s="101" t="s">
        <v>778</v>
      </c>
      <c r="BA84" s="101"/>
      <c r="BB84" s="101"/>
      <c r="BC84" s="101"/>
      <c r="BD84" s="102">
        <v>202408030</v>
      </c>
      <c r="BE84" s="101" t="s">
        <v>411</v>
      </c>
      <c r="BF84" s="101"/>
      <c r="BG84" s="103" t="s">
        <v>34</v>
      </c>
      <c r="BH84" s="103" t="s">
        <v>7</v>
      </c>
      <c r="BI84" s="113" t="s">
        <v>779</v>
      </c>
      <c r="BJ84" s="117" t="s">
        <v>780</v>
      </c>
      <c r="BK84" s="104">
        <v>9311090</v>
      </c>
      <c r="BL84" s="104">
        <v>311094001</v>
      </c>
      <c r="BM84" s="104">
        <v>3201</v>
      </c>
      <c r="BN84" s="105">
        <v>45565</v>
      </c>
      <c r="BO84" s="98">
        <v>7</v>
      </c>
      <c r="BP84" s="116">
        <v>14.2857</v>
      </c>
      <c r="BQ84" s="114">
        <v>108651.37000000001</v>
      </c>
      <c r="BR84" s="107"/>
      <c r="BS84" s="114"/>
      <c r="BT84" s="106">
        <v>3880.41</v>
      </c>
      <c r="BU84" s="108">
        <v>1293.47</v>
      </c>
      <c r="BV84" s="108">
        <v>1293.47</v>
      </c>
      <c r="BW84" s="109">
        <v>7760.8200000000006</v>
      </c>
      <c r="BX84" s="110">
        <v>11641.23</v>
      </c>
      <c r="BY84" s="110"/>
      <c r="BZ84" s="110"/>
      <c r="CA84" s="108">
        <v>97010.140000000014</v>
      </c>
    </row>
    <row r="85" spans="3:79" x14ac:dyDescent="0.3">
      <c r="C85" s="40" t="str">
        <f>Impuestos3225[[#This Row],[Familia]]</f>
        <v>Van Cargo EV BYD</v>
      </c>
      <c r="D85" s="7">
        <f t="shared" si="20"/>
        <v>79</v>
      </c>
      <c r="E85" s="24" t="s">
        <v>8</v>
      </c>
      <c r="F85" s="24" t="s">
        <v>37</v>
      </c>
      <c r="G85" s="25" t="s">
        <v>34</v>
      </c>
      <c r="H85" s="24">
        <v>3201</v>
      </c>
      <c r="I85" s="80">
        <v>45565</v>
      </c>
      <c r="J85" s="8">
        <v>7</v>
      </c>
      <c r="K85" s="10">
        <v>14.2857</v>
      </c>
      <c r="L85" s="81">
        <v>108651.39</v>
      </c>
      <c r="M85" s="82">
        <f>Impuestos3225[[#This Row],[Valor Adquisición (S/)]]*Impuestos3225[[#This Row],[Tasa  % ]]/100</f>
        <v>15521.61162123</v>
      </c>
      <c r="N85" s="81">
        <f>Impuestos3225[[#This Row],[Depreciación Anual]]/12</f>
        <v>1293.4676351025</v>
      </c>
      <c r="O85" s="83">
        <f ca="1">ROUNDDOWN((TODAY()-Impuestos3225[[#This Row],[Fecha de Activación Ingreso]])/365, 0)</f>
        <v>1</v>
      </c>
      <c r="P85" s="81">
        <f ca="1">MIN(Impuestos3225[[#This Row],[Depreciación Anual]] * Impuestos3225[[#This Row],[Años Transcurridos]], Impuestos3225[[#This Row],[Valor Adquisición (S/)]])</f>
        <v>15521.61162123</v>
      </c>
      <c r="Q85" s="81">
        <f ca="1">MAX(Impuestos3225[[#This Row],[Valor Adquisición (S/)]]-Impuestos3225[[#This Row],[Depreciación Acumulada]], 0)</f>
        <v>93129.778378770003</v>
      </c>
      <c r="R85" s="81" t="str">
        <f ca="1">IF(Impuestos3225[[#This Row],[Valor Adquisición (S/)]]="","", IF(Impuestos3225[[#This Row],[Valor Neto Actual]]=0,"Veh. Ya no deprecia",""))</f>
        <v/>
      </c>
      <c r="S85" s="81" t="s">
        <v>58</v>
      </c>
      <c r="T85" s="81">
        <f>IFERROR(VLOOKUP(Impuestos3225[[#This Row],[Placa Vehiculo]],$AR$6:$CA$159,26,0),"")</f>
        <v>108651.39</v>
      </c>
      <c r="U85" s="81" t="str">
        <f>IF(Impuestos3225[[#This Row],[Buscar Monto]]=Impuestos3225[[#This Row],[Valor Adquisición (S/)]],"ok","mal")</f>
        <v>ok</v>
      </c>
      <c r="V85" s="81"/>
      <c r="Z85" s="87"/>
      <c r="AR85" s="21" t="str">
        <f t="shared" si="21"/>
        <v>CAU-715</v>
      </c>
      <c r="AS85" s="21">
        <f t="shared" si="22"/>
        <v>3201</v>
      </c>
      <c r="AT85" s="21" t="s">
        <v>58</v>
      </c>
      <c r="AU85" s="98">
        <v>34</v>
      </c>
      <c r="AV85" s="112">
        <v>3341110</v>
      </c>
      <c r="AW85" s="99">
        <v>340184</v>
      </c>
      <c r="AX85" s="100">
        <v>343001000141</v>
      </c>
      <c r="AY85" s="101" t="s">
        <v>653</v>
      </c>
      <c r="AZ85" s="101" t="s">
        <v>778</v>
      </c>
      <c r="BA85" s="101"/>
      <c r="BB85" s="101"/>
      <c r="BC85" s="101"/>
      <c r="BD85" s="102">
        <v>202408014</v>
      </c>
      <c r="BE85" s="101" t="s">
        <v>277</v>
      </c>
      <c r="BF85" s="101"/>
      <c r="BG85" s="103" t="s">
        <v>34</v>
      </c>
      <c r="BH85" s="103" t="s">
        <v>7</v>
      </c>
      <c r="BI85" s="113" t="s">
        <v>781</v>
      </c>
      <c r="BJ85" s="117" t="s">
        <v>782</v>
      </c>
      <c r="BK85" s="104">
        <v>9311090</v>
      </c>
      <c r="BL85" s="104">
        <v>311094001</v>
      </c>
      <c r="BM85" s="104">
        <v>3201</v>
      </c>
      <c r="BN85" s="105">
        <v>45565</v>
      </c>
      <c r="BO85" s="98">
        <v>7</v>
      </c>
      <c r="BP85" s="116">
        <v>14.2857</v>
      </c>
      <c r="BQ85" s="114">
        <v>108651.39</v>
      </c>
      <c r="BR85" s="107"/>
      <c r="BS85" s="114"/>
      <c r="BT85" s="106">
        <v>3880.41</v>
      </c>
      <c r="BU85" s="108">
        <v>1293.47</v>
      </c>
      <c r="BV85" s="108">
        <v>1293.47</v>
      </c>
      <c r="BW85" s="109">
        <v>7760.8200000000006</v>
      </c>
      <c r="BX85" s="110">
        <v>11641.23</v>
      </c>
      <c r="BY85" s="110"/>
      <c r="BZ85" s="110"/>
      <c r="CA85" s="108">
        <v>97010.16</v>
      </c>
    </row>
    <row r="86" spans="3:79" x14ac:dyDescent="0.3">
      <c r="C86" s="40" t="str">
        <f>Impuestos3225[[#This Row],[Familia]]</f>
        <v>Van Cargo EV BYD</v>
      </c>
      <c r="D86" s="7">
        <f t="shared" si="20"/>
        <v>80</v>
      </c>
      <c r="E86" s="28" t="s">
        <v>65</v>
      </c>
      <c r="F86" s="24" t="s">
        <v>37</v>
      </c>
      <c r="G86" s="25" t="s">
        <v>34</v>
      </c>
      <c r="H86" s="24">
        <v>3201</v>
      </c>
      <c r="I86" s="80">
        <v>45565</v>
      </c>
      <c r="J86" s="8">
        <v>7</v>
      </c>
      <c r="K86" s="10">
        <v>14.2857</v>
      </c>
      <c r="L86" s="81">
        <v>108651.39</v>
      </c>
      <c r="M86" s="82">
        <f>Impuestos3225[[#This Row],[Valor Adquisición (S/)]]*Impuestos3225[[#This Row],[Tasa  % ]]/100</f>
        <v>15521.61162123</v>
      </c>
      <c r="N86" s="81">
        <f>Impuestos3225[[#This Row],[Depreciación Anual]]/12</f>
        <v>1293.4676351025</v>
      </c>
      <c r="O86" s="83">
        <f ca="1">ROUNDDOWN((TODAY()-Impuestos3225[[#This Row],[Fecha de Activación Ingreso]])/365, 0)</f>
        <v>1</v>
      </c>
      <c r="P86" s="81">
        <f ca="1">MIN(Impuestos3225[[#This Row],[Depreciación Anual]] * Impuestos3225[[#This Row],[Años Transcurridos]], Impuestos3225[[#This Row],[Valor Adquisición (S/)]])</f>
        <v>15521.61162123</v>
      </c>
      <c r="Q86" s="81">
        <f ca="1">MAX(Impuestos3225[[#This Row],[Valor Adquisición (S/)]]-Impuestos3225[[#This Row],[Depreciación Acumulada]], 0)</f>
        <v>93129.778378770003</v>
      </c>
      <c r="R86" s="81" t="str">
        <f ca="1">IF(Impuestos3225[[#This Row],[Valor Adquisición (S/)]]="","", IF(Impuestos3225[[#This Row],[Valor Neto Actual]]=0,"Veh. Ya no deprecia",""))</f>
        <v/>
      </c>
      <c r="S86" s="81" t="s">
        <v>58</v>
      </c>
      <c r="T86" s="81" t="str">
        <f>IFERROR(VLOOKUP(Impuestos3225[[#This Row],[Placa Vehiculo]],$AR$6:$CA$159,26,0),"")</f>
        <v/>
      </c>
      <c r="U86" s="81" t="str">
        <f>IF(Impuestos3225[[#This Row],[Buscar Monto]]=Impuestos3225[[#This Row],[Valor Adquisición (S/)]],"ok","mal")</f>
        <v>mal</v>
      </c>
      <c r="V86" s="81" t="s">
        <v>783</v>
      </c>
      <c r="Z86" s="87"/>
      <c r="AR86" s="21" t="str">
        <f t="shared" si="21"/>
        <v>CAU-741</v>
      </c>
      <c r="AS86" s="21">
        <f t="shared" si="22"/>
        <v>3201</v>
      </c>
      <c r="AT86" s="21" t="s">
        <v>58</v>
      </c>
      <c r="AU86" s="98">
        <v>34</v>
      </c>
      <c r="AV86" s="112">
        <v>3341110</v>
      </c>
      <c r="AW86" s="99">
        <v>340186</v>
      </c>
      <c r="AX86" s="100">
        <v>343001000143</v>
      </c>
      <c r="AY86" s="101" t="s">
        <v>653</v>
      </c>
      <c r="AZ86" s="101" t="s">
        <v>778</v>
      </c>
      <c r="BA86" s="101"/>
      <c r="BB86" s="101"/>
      <c r="BC86" s="101"/>
      <c r="BD86" s="102">
        <v>202408023</v>
      </c>
      <c r="BE86" s="101" t="s">
        <v>284</v>
      </c>
      <c r="BF86" s="101"/>
      <c r="BG86" s="103" t="s">
        <v>34</v>
      </c>
      <c r="BH86" s="103" t="s">
        <v>7</v>
      </c>
      <c r="BI86" s="113" t="s">
        <v>784</v>
      </c>
      <c r="BJ86" s="117" t="s">
        <v>785</v>
      </c>
      <c r="BK86" s="104">
        <v>9311090</v>
      </c>
      <c r="BL86" s="104">
        <v>311094001</v>
      </c>
      <c r="BM86" s="104">
        <v>3201</v>
      </c>
      <c r="BN86" s="105">
        <v>45565</v>
      </c>
      <c r="BO86" s="98">
        <v>7</v>
      </c>
      <c r="BP86" s="116">
        <v>14.2857</v>
      </c>
      <c r="BQ86" s="114">
        <v>108651.39</v>
      </c>
      <c r="BR86" s="107"/>
      <c r="BS86" s="114"/>
      <c r="BT86" s="106">
        <v>3880.41</v>
      </c>
      <c r="BU86" s="108">
        <v>1293.47</v>
      </c>
      <c r="BV86" s="108">
        <v>1293.47</v>
      </c>
      <c r="BW86" s="109">
        <v>7760.8200000000006</v>
      </c>
      <c r="BX86" s="110">
        <v>11641.23</v>
      </c>
      <c r="BY86" s="110"/>
      <c r="BZ86" s="110"/>
      <c r="CA86" s="108">
        <v>97010.16</v>
      </c>
    </row>
    <row r="87" spans="3:79" x14ac:dyDescent="0.3">
      <c r="C87" s="40" t="str">
        <f>Impuestos3225[[#This Row],[Familia]]</f>
        <v>Van Cargo EV BYD</v>
      </c>
      <c r="D87" s="7">
        <f t="shared" si="20"/>
        <v>81</v>
      </c>
      <c r="E87" s="24" t="s">
        <v>67</v>
      </c>
      <c r="F87" s="24" t="s">
        <v>37</v>
      </c>
      <c r="G87" s="25" t="s">
        <v>34</v>
      </c>
      <c r="H87" s="24">
        <v>3201</v>
      </c>
      <c r="I87" s="80">
        <v>45565</v>
      </c>
      <c r="J87" s="8">
        <v>7</v>
      </c>
      <c r="K87" s="10">
        <v>14.2857</v>
      </c>
      <c r="L87" s="81">
        <v>108651.39</v>
      </c>
      <c r="M87" s="82">
        <f>Impuestos3225[[#This Row],[Valor Adquisición (S/)]]*Impuestos3225[[#This Row],[Tasa  % ]]/100</f>
        <v>15521.61162123</v>
      </c>
      <c r="N87" s="81">
        <f>Impuestos3225[[#This Row],[Depreciación Anual]]/12</f>
        <v>1293.4676351025</v>
      </c>
      <c r="O87" s="83">
        <f ca="1">ROUNDDOWN((TODAY()-Impuestos3225[[#This Row],[Fecha de Activación Ingreso]])/365, 0)</f>
        <v>1</v>
      </c>
      <c r="P87" s="81">
        <f ca="1">MIN(Impuestos3225[[#This Row],[Depreciación Anual]] * Impuestos3225[[#This Row],[Años Transcurridos]], Impuestos3225[[#This Row],[Valor Adquisición (S/)]])</f>
        <v>15521.61162123</v>
      </c>
      <c r="Q87" s="81">
        <f ca="1">MAX(Impuestos3225[[#This Row],[Valor Adquisición (S/)]]-Impuestos3225[[#This Row],[Depreciación Acumulada]], 0)</f>
        <v>93129.778378770003</v>
      </c>
      <c r="R87" s="81" t="str">
        <f ca="1">IF(Impuestos3225[[#This Row],[Valor Adquisición (S/)]]="","", IF(Impuestos3225[[#This Row],[Valor Neto Actual]]=0,"Veh. Ya no deprecia",""))</f>
        <v/>
      </c>
      <c r="S87" s="81" t="s">
        <v>58</v>
      </c>
      <c r="T87" s="81">
        <f>IFERROR(VLOOKUP(Impuestos3225[[#This Row],[Placa Vehiculo]],$AR$6:$CA$159,26,0),"")</f>
        <v>108651.39</v>
      </c>
      <c r="U87" s="81" t="str">
        <f>IF(Impuestos3225[[#This Row],[Buscar Monto]]=Impuestos3225[[#This Row],[Valor Adquisición (S/)]],"ok","mal")</f>
        <v>ok</v>
      </c>
      <c r="V87" s="81"/>
      <c r="Z87" s="87"/>
      <c r="AR87" s="21" t="str">
        <f t="shared" si="21"/>
        <v>CNL-074</v>
      </c>
      <c r="AS87" s="21">
        <f t="shared" si="22"/>
        <v>3201</v>
      </c>
      <c r="AT87" s="21" t="s">
        <v>54</v>
      </c>
      <c r="AU87" s="98">
        <v>34</v>
      </c>
      <c r="AV87" s="112">
        <v>3341110</v>
      </c>
      <c r="AW87" s="99">
        <v>340187</v>
      </c>
      <c r="AX87" s="100">
        <v>343001000144</v>
      </c>
      <c r="AY87" s="101" t="s">
        <v>653</v>
      </c>
      <c r="AZ87" s="101" t="s">
        <v>786</v>
      </c>
      <c r="BA87" s="101"/>
      <c r="BB87" s="101"/>
      <c r="BC87" s="101"/>
      <c r="BD87" s="102">
        <v>202408041</v>
      </c>
      <c r="BE87" s="101" t="s">
        <v>413</v>
      </c>
      <c r="BF87" s="101"/>
      <c r="BG87" s="103" t="s">
        <v>34</v>
      </c>
      <c r="BH87" s="103" t="s">
        <v>787</v>
      </c>
      <c r="BI87" s="113" t="s">
        <v>788</v>
      </c>
      <c r="BJ87" s="117" t="s">
        <v>789</v>
      </c>
      <c r="BK87" s="104">
        <v>9311090</v>
      </c>
      <c r="BL87" s="104">
        <v>311094001</v>
      </c>
      <c r="BM87" s="104">
        <v>3201</v>
      </c>
      <c r="BN87" s="105">
        <v>45565</v>
      </c>
      <c r="BO87" s="98">
        <v>7</v>
      </c>
      <c r="BP87" s="116">
        <v>14.2857</v>
      </c>
      <c r="BQ87" s="114">
        <v>110907.37000000001</v>
      </c>
      <c r="BR87" s="107"/>
      <c r="BS87" s="114"/>
      <c r="BT87" s="106">
        <v>3960.96</v>
      </c>
      <c r="BU87" s="108">
        <v>1320.32</v>
      </c>
      <c r="BV87" s="108">
        <v>1320.32</v>
      </c>
      <c r="BW87" s="109">
        <v>7921.9199999999992</v>
      </c>
      <c r="BX87" s="110">
        <v>11882.88</v>
      </c>
      <c r="BY87" s="110"/>
      <c r="BZ87" s="110"/>
      <c r="CA87" s="108">
        <v>99024.49</v>
      </c>
    </row>
    <row r="88" spans="3:79" x14ac:dyDescent="0.3">
      <c r="C88" s="40" t="str">
        <f>Impuestos3225[[#This Row],[Familia]]</f>
        <v>SUV EV BYD</v>
      </c>
      <c r="D88" s="7">
        <f t="shared" si="20"/>
        <v>82</v>
      </c>
      <c r="E88" s="24" t="s">
        <v>74</v>
      </c>
      <c r="F88" s="24" t="s">
        <v>37</v>
      </c>
      <c r="G88" s="25" t="s">
        <v>34</v>
      </c>
      <c r="H88" s="24">
        <v>3201</v>
      </c>
      <c r="I88" s="80">
        <v>45565</v>
      </c>
      <c r="J88" s="8">
        <v>7</v>
      </c>
      <c r="K88" s="10">
        <v>14.2857</v>
      </c>
      <c r="L88" s="81">
        <v>110907.37000000001</v>
      </c>
      <c r="M88" s="82">
        <f>Impuestos3225[[#This Row],[Valor Adquisición (S/)]]*Impuestos3225[[#This Row],[Tasa  % ]]/100</f>
        <v>15843.894156090002</v>
      </c>
      <c r="N88" s="81">
        <f>Impuestos3225[[#This Row],[Depreciación Anual]]/12</f>
        <v>1320.3245130075002</v>
      </c>
      <c r="O88" s="83">
        <f ca="1">ROUNDDOWN((TODAY()-Impuestos3225[[#This Row],[Fecha de Activación Ingreso]])/365, 0)</f>
        <v>1</v>
      </c>
      <c r="P88" s="81">
        <f ca="1">MIN(Impuestos3225[[#This Row],[Depreciación Anual]] * Impuestos3225[[#This Row],[Años Transcurridos]], Impuestos3225[[#This Row],[Valor Adquisición (S/)]])</f>
        <v>15843.894156090002</v>
      </c>
      <c r="Q88" s="81">
        <f ca="1">MAX(Impuestos3225[[#This Row],[Valor Adquisición (S/)]]-Impuestos3225[[#This Row],[Depreciación Acumulada]], 0)</f>
        <v>95063.475843910011</v>
      </c>
      <c r="R88" s="81" t="str">
        <f ca="1">IF(Impuestos3225[[#This Row],[Valor Adquisición (S/)]]="","", IF(Impuestos3225[[#This Row],[Valor Neto Actual]]=0,"Veh. Ya no deprecia",""))</f>
        <v/>
      </c>
      <c r="S88" s="81" t="s">
        <v>54</v>
      </c>
      <c r="T88" s="81">
        <f>IFERROR(VLOOKUP(Impuestos3225[[#This Row],[Placa Vehiculo]],$AR$6:$CA$159,26,0),"")</f>
        <v>110907.37000000001</v>
      </c>
      <c r="U88" s="81" t="str">
        <f>IF(Impuestos3225[[#This Row],[Buscar Monto]]=Impuestos3225[[#This Row],[Valor Adquisición (S/)]],"ok","mal")</f>
        <v>ok</v>
      </c>
      <c r="V88" s="81"/>
      <c r="Z88" s="87"/>
      <c r="AR88" s="21" t="str">
        <f t="shared" si="21"/>
        <v>CNL-494</v>
      </c>
      <c r="AS88" s="21">
        <f t="shared" si="22"/>
        <v>4235</v>
      </c>
      <c r="AT88" s="21" t="s">
        <v>54</v>
      </c>
      <c r="AU88" s="98">
        <v>34</v>
      </c>
      <c r="AV88" s="112">
        <v>3341110</v>
      </c>
      <c r="AW88" s="99">
        <v>340188</v>
      </c>
      <c r="AX88" s="100">
        <v>343001000145</v>
      </c>
      <c r="AY88" s="101" t="s">
        <v>653</v>
      </c>
      <c r="AZ88" s="101" t="s">
        <v>790</v>
      </c>
      <c r="BA88" s="101"/>
      <c r="BB88" s="101"/>
      <c r="BC88" s="101"/>
      <c r="BD88" s="102">
        <v>202408044</v>
      </c>
      <c r="BE88" s="101" t="s">
        <v>416</v>
      </c>
      <c r="BF88" s="101"/>
      <c r="BG88" s="103" t="s">
        <v>34</v>
      </c>
      <c r="BH88" s="103" t="s">
        <v>6</v>
      </c>
      <c r="BI88" s="113" t="s">
        <v>791</v>
      </c>
      <c r="BJ88" s="117" t="s">
        <v>792</v>
      </c>
      <c r="BK88" s="104">
        <v>9111040</v>
      </c>
      <c r="BL88" s="104">
        <v>111040001</v>
      </c>
      <c r="BM88" s="104">
        <v>4235</v>
      </c>
      <c r="BN88" s="105">
        <v>45565</v>
      </c>
      <c r="BO88" s="98">
        <v>7</v>
      </c>
      <c r="BP88" s="116">
        <v>14.2857</v>
      </c>
      <c r="BQ88" s="114">
        <v>119555.37000000001</v>
      </c>
      <c r="BR88" s="107"/>
      <c r="BS88" s="114"/>
      <c r="BT88" s="106">
        <v>4269.84</v>
      </c>
      <c r="BU88" s="108">
        <v>1423.28</v>
      </c>
      <c r="BV88" s="108">
        <v>1423.28</v>
      </c>
      <c r="BW88" s="109">
        <v>8539.68</v>
      </c>
      <c r="BX88" s="110">
        <v>12809.52</v>
      </c>
      <c r="BY88" s="110"/>
      <c r="BZ88" s="110"/>
      <c r="CA88" s="108">
        <v>106745.85</v>
      </c>
    </row>
    <row r="89" spans="3:79" x14ac:dyDescent="0.3">
      <c r="C89" s="40" t="str">
        <f>Impuestos3225[[#This Row],[Familia]]</f>
        <v>SUV EV BYD</v>
      </c>
      <c r="D89" s="7">
        <f t="shared" si="20"/>
        <v>83</v>
      </c>
      <c r="E89" s="24" t="s">
        <v>104</v>
      </c>
      <c r="F89" s="24" t="s">
        <v>37</v>
      </c>
      <c r="G89" s="25" t="s">
        <v>34</v>
      </c>
      <c r="H89" s="24">
        <v>4235</v>
      </c>
      <c r="I89" s="80">
        <v>45565</v>
      </c>
      <c r="J89" s="8">
        <v>7</v>
      </c>
      <c r="K89" s="10">
        <v>14.2857</v>
      </c>
      <c r="L89" s="81">
        <v>119555.37000000001</v>
      </c>
      <c r="M89" s="82">
        <f>Impuestos3225[[#This Row],[Valor Adquisición (S/)]]*Impuestos3225[[#This Row],[Tasa  % ]]/100</f>
        <v>17079.321492090003</v>
      </c>
      <c r="N89" s="81">
        <f>Impuestos3225[[#This Row],[Depreciación Anual]]/12</f>
        <v>1423.2767910075002</v>
      </c>
      <c r="O89" s="83">
        <f ca="1">ROUNDDOWN((TODAY()-Impuestos3225[[#This Row],[Fecha de Activación Ingreso]])/365, 0)</f>
        <v>1</v>
      </c>
      <c r="P89" s="81">
        <f ca="1">MIN(Impuestos3225[[#This Row],[Depreciación Anual]] * Impuestos3225[[#This Row],[Años Transcurridos]], Impuestos3225[[#This Row],[Valor Adquisición (S/)]])</f>
        <v>17079.321492090003</v>
      </c>
      <c r="Q89" s="81">
        <f ca="1">MAX(Impuestos3225[[#This Row],[Valor Adquisición (S/)]]-Impuestos3225[[#This Row],[Depreciación Acumulada]], 0)</f>
        <v>102476.04850791</v>
      </c>
      <c r="R89" s="81" t="str">
        <f ca="1">IF(Impuestos3225[[#This Row],[Valor Adquisición (S/)]]="","", IF(Impuestos3225[[#This Row],[Valor Neto Actual]]=0,"Veh. Ya no deprecia",""))</f>
        <v/>
      </c>
      <c r="S89" s="81" t="s">
        <v>54</v>
      </c>
      <c r="T89" s="81">
        <f>IFERROR(VLOOKUP(Impuestos3225[[#This Row],[Placa Vehiculo]],$AR$6:$CA$159,26,0),"")</f>
        <v>119555.37000000001</v>
      </c>
      <c r="U89" s="81" t="str">
        <f>IF(Impuestos3225[[#This Row],[Buscar Monto]]=Impuestos3225[[#This Row],[Valor Adquisición (S/)]],"ok","mal")</f>
        <v>ok</v>
      </c>
      <c r="V89" s="81"/>
      <c r="Z89" s="87"/>
      <c r="AR89" s="21" t="str">
        <f t="shared" si="21"/>
        <v>CNL-091</v>
      </c>
      <c r="AS89" s="21">
        <f t="shared" si="22"/>
        <v>3201</v>
      </c>
      <c r="AT89" s="21" t="s">
        <v>54</v>
      </c>
      <c r="AU89" s="98">
        <v>34</v>
      </c>
      <c r="AV89" s="112">
        <v>3341110</v>
      </c>
      <c r="AW89" s="99">
        <v>340189</v>
      </c>
      <c r="AX89" s="100">
        <v>343001000146</v>
      </c>
      <c r="AY89" s="101" t="s">
        <v>653</v>
      </c>
      <c r="AZ89" s="101" t="s">
        <v>786</v>
      </c>
      <c r="BA89" s="101"/>
      <c r="BB89" s="101"/>
      <c r="BC89" s="101"/>
      <c r="BD89" s="102">
        <v>202408008</v>
      </c>
      <c r="BE89" s="101" t="s">
        <v>288</v>
      </c>
      <c r="BF89" s="101"/>
      <c r="BG89" s="103" t="s">
        <v>34</v>
      </c>
      <c r="BH89" s="103" t="s">
        <v>787</v>
      </c>
      <c r="BI89" s="113" t="s">
        <v>793</v>
      </c>
      <c r="BJ89" s="117" t="s">
        <v>794</v>
      </c>
      <c r="BK89" s="104">
        <v>9311090</v>
      </c>
      <c r="BL89" s="104">
        <v>311094001</v>
      </c>
      <c r="BM89" s="104">
        <v>3201</v>
      </c>
      <c r="BN89" s="105">
        <v>45565</v>
      </c>
      <c r="BO89" s="98">
        <v>7</v>
      </c>
      <c r="BP89" s="116">
        <v>14.2857</v>
      </c>
      <c r="BQ89" s="114">
        <v>110907.39</v>
      </c>
      <c r="BR89" s="107"/>
      <c r="BS89" s="114"/>
      <c r="BT89" s="106">
        <v>3960.96</v>
      </c>
      <c r="BU89" s="108">
        <v>1320.32</v>
      </c>
      <c r="BV89" s="108">
        <v>1320.32</v>
      </c>
      <c r="BW89" s="109">
        <v>7921.9199999999992</v>
      </c>
      <c r="BX89" s="110">
        <v>11882.88</v>
      </c>
      <c r="BY89" s="110"/>
      <c r="BZ89" s="110"/>
      <c r="CA89" s="108">
        <v>99024.51</v>
      </c>
    </row>
    <row r="90" spans="3:79" x14ac:dyDescent="0.3">
      <c r="C90" s="40" t="str">
        <f>Impuestos3225[[#This Row],[Familia]]</f>
        <v>SUV EV BYD</v>
      </c>
      <c r="D90" s="7">
        <f t="shared" si="20"/>
        <v>84</v>
      </c>
      <c r="E90" s="24" t="s">
        <v>76</v>
      </c>
      <c r="F90" s="24" t="s">
        <v>37</v>
      </c>
      <c r="G90" s="25" t="s">
        <v>34</v>
      </c>
      <c r="H90" s="24">
        <v>3201</v>
      </c>
      <c r="I90" s="80">
        <v>45565</v>
      </c>
      <c r="J90" s="8">
        <v>7</v>
      </c>
      <c r="K90" s="10">
        <v>14.2857</v>
      </c>
      <c r="L90" s="81">
        <v>110907.39</v>
      </c>
      <c r="M90" s="82">
        <f>Impuestos3225[[#This Row],[Valor Adquisición (S/)]]*Impuestos3225[[#This Row],[Tasa  % ]]/100</f>
        <v>15843.89701323</v>
      </c>
      <c r="N90" s="81">
        <f>Impuestos3225[[#This Row],[Depreciación Anual]]/12</f>
        <v>1320.3247511024999</v>
      </c>
      <c r="O90" s="83">
        <f ca="1">ROUNDDOWN((TODAY()-Impuestos3225[[#This Row],[Fecha de Activación Ingreso]])/365, 0)</f>
        <v>1</v>
      </c>
      <c r="P90" s="81">
        <f ca="1">MIN(Impuestos3225[[#This Row],[Depreciación Anual]] * Impuestos3225[[#This Row],[Años Transcurridos]], Impuestos3225[[#This Row],[Valor Adquisición (S/)]])</f>
        <v>15843.89701323</v>
      </c>
      <c r="Q90" s="81">
        <f ca="1">MAX(Impuestos3225[[#This Row],[Valor Adquisición (S/)]]-Impuestos3225[[#This Row],[Depreciación Acumulada]], 0)</f>
        <v>95063.492986769998</v>
      </c>
      <c r="R90" s="81" t="str">
        <f ca="1">IF(Impuestos3225[[#This Row],[Valor Adquisición (S/)]]="","", IF(Impuestos3225[[#This Row],[Valor Neto Actual]]=0,"Veh. Ya no deprecia",""))</f>
        <v/>
      </c>
      <c r="S90" s="81" t="s">
        <v>54</v>
      </c>
      <c r="T90" s="81">
        <f>IFERROR(VLOOKUP(Impuestos3225[[#This Row],[Placa Vehiculo]],$AR$6:$CA$159,26,0),"")</f>
        <v>110907.39</v>
      </c>
      <c r="U90" s="81" t="str">
        <f>IF(Impuestos3225[[#This Row],[Buscar Monto]]=Impuestos3225[[#This Row],[Valor Adquisición (S/)]],"ok","mal")</f>
        <v>ok</v>
      </c>
      <c r="V90" s="81"/>
      <c r="Z90" s="87"/>
      <c r="AR90" s="21" t="str">
        <f t="shared" si="21"/>
        <v>CNL-632</v>
      </c>
      <c r="AS90" s="21">
        <f t="shared" si="22"/>
        <v>3201</v>
      </c>
      <c r="AT90" s="21" t="s">
        <v>54</v>
      </c>
      <c r="AU90" s="98">
        <v>34</v>
      </c>
      <c r="AV90" s="112">
        <v>3341110</v>
      </c>
      <c r="AW90" s="99">
        <v>340190</v>
      </c>
      <c r="AX90" s="100">
        <v>343001000147</v>
      </c>
      <c r="AY90" s="101" t="s">
        <v>653</v>
      </c>
      <c r="AZ90" s="101" t="s">
        <v>790</v>
      </c>
      <c r="BA90" s="101"/>
      <c r="BB90" s="101"/>
      <c r="BC90" s="101"/>
      <c r="BD90" s="102">
        <v>202408024</v>
      </c>
      <c r="BE90" s="101" t="s">
        <v>292</v>
      </c>
      <c r="BF90" s="101"/>
      <c r="BG90" s="103" t="s">
        <v>34</v>
      </c>
      <c r="BH90" s="103" t="s">
        <v>6</v>
      </c>
      <c r="BI90" s="113" t="s">
        <v>795</v>
      </c>
      <c r="BJ90" s="117" t="s">
        <v>796</v>
      </c>
      <c r="BK90" s="104">
        <v>9311090</v>
      </c>
      <c r="BL90" s="104">
        <v>311094001</v>
      </c>
      <c r="BM90" s="104">
        <v>3201</v>
      </c>
      <c r="BN90" s="105">
        <v>45565</v>
      </c>
      <c r="BO90" s="98">
        <v>7</v>
      </c>
      <c r="BP90" s="116">
        <v>14.2857</v>
      </c>
      <c r="BQ90" s="114">
        <v>119555.39</v>
      </c>
      <c r="BR90" s="107"/>
      <c r="BS90" s="114"/>
      <c r="BT90" s="106">
        <v>4269.84</v>
      </c>
      <c r="BU90" s="108">
        <v>1423.28</v>
      </c>
      <c r="BV90" s="108">
        <v>1423.28</v>
      </c>
      <c r="BW90" s="109">
        <v>8539.68</v>
      </c>
      <c r="BX90" s="110">
        <v>12809.52</v>
      </c>
      <c r="BY90" s="110"/>
      <c r="BZ90" s="110"/>
      <c r="CA90" s="108">
        <v>106745.87</v>
      </c>
    </row>
    <row r="91" spans="3:79" x14ac:dyDescent="0.3">
      <c r="C91" s="40" t="str">
        <f>Impuestos3225[[#This Row],[Familia]]</f>
        <v>SUV EV BYD</v>
      </c>
      <c r="D91" s="7">
        <f t="shared" si="20"/>
        <v>85</v>
      </c>
      <c r="E91" s="24" t="s">
        <v>109</v>
      </c>
      <c r="F91" s="24" t="s">
        <v>37</v>
      </c>
      <c r="G91" s="25" t="s">
        <v>34</v>
      </c>
      <c r="H91" s="24">
        <v>3201</v>
      </c>
      <c r="I91" s="80">
        <v>45565</v>
      </c>
      <c r="J91" s="8">
        <v>7</v>
      </c>
      <c r="K91" s="10">
        <v>14.2857</v>
      </c>
      <c r="L91" s="81">
        <v>119555.39</v>
      </c>
      <c r="M91" s="82">
        <f>Impuestos3225[[#This Row],[Valor Adquisición (S/)]]*Impuestos3225[[#This Row],[Tasa  % ]]/100</f>
        <v>17079.324349229999</v>
      </c>
      <c r="N91" s="81">
        <f>Impuestos3225[[#This Row],[Depreciación Anual]]/12</f>
        <v>1423.2770291024999</v>
      </c>
      <c r="O91" s="83">
        <f ca="1">ROUNDDOWN((TODAY()-Impuestos3225[[#This Row],[Fecha de Activación Ingreso]])/365, 0)</f>
        <v>1</v>
      </c>
      <c r="P91" s="81">
        <f ca="1">MIN(Impuestos3225[[#This Row],[Depreciación Anual]] * Impuestos3225[[#This Row],[Años Transcurridos]], Impuestos3225[[#This Row],[Valor Adquisición (S/)]])</f>
        <v>17079.324349229999</v>
      </c>
      <c r="Q91" s="81">
        <f ca="1">MAX(Impuestos3225[[#This Row],[Valor Adquisición (S/)]]-Impuestos3225[[#This Row],[Depreciación Acumulada]], 0)</f>
        <v>102476.06565077</v>
      </c>
      <c r="R91" s="81" t="str">
        <f ca="1">IF(Impuestos3225[[#This Row],[Valor Adquisición (S/)]]="","", IF(Impuestos3225[[#This Row],[Valor Neto Actual]]=0,"Veh. Ya no deprecia",""))</f>
        <v/>
      </c>
      <c r="S91" s="81" t="s">
        <v>54</v>
      </c>
      <c r="T91" s="81">
        <f>IFERROR(VLOOKUP(Impuestos3225[[#This Row],[Placa Vehiculo]],$AR$6:$CA$159,26,0),"")</f>
        <v>119555.39</v>
      </c>
      <c r="U91" s="81" t="str">
        <f>IF(Impuestos3225[[#This Row],[Buscar Monto]]=Impuestos3225[[#This Row],[Valor Adquisición (S/)]],"ok","mal")</f>
        <v>ok</v>
      </c>
      <c r="V91" s="81"/>
      <c r="Z91" s="87"/>
      <c r="AR91" s="21" t="str">
        <f t="shared" si="21"/>
        <v>CNL-010</v>
      </c>
      <c r="AS91" s="21">
        <f t="shared" si="22"/>
        <v>3201</v>
      </c>
      <c r="AT91" s="21" t="s">
        <v>54</v>
      </c>
      <c r="AU91" s="98">
        <v>34</v>
      </c>
      <c r="AV91" s="112">
        <v>3341110</v>
      </c>
      <c r="AW91" s="99">
        <v>340191</v>
      </c>
      <c r="AX91" s="100">
        <v>343001000148</v>
      </c>
      <c r="AY91" s="101" t="s">
        <v>653</v>
      </c>
      <c r="AZ91" s="101" t="s">
        <v>786</v>
      </c>
      <c r="BA91" s="101"/>
      <c r="BB91" s="101"/>
      <c r="BC91" s="101"/>
      <c r="BD91" s="102">
        <v>202408015</v>
      </c>
      <c r="BE91" s="101" t="s">
        <v>296</v>
      </c>
      <c r="BF91" s="101"/>
      <c r="BG91" s="103" t="s">
        <v>34</v>
      </c>
      <c r="BH91" s="103" t="s">
        <v>787</v>
      </c>
      <c r="BI91" s="113" t="s">
        <v>797</v>
      </c>
      <c r="BJ91" s="117" t="s">
        <v>798</v>
      </c>
      <c r="BK91" s="104">
        <v>9311090</v>
      </c>
      <c r="BL91" s="104">
        <v>311094001</v>
      </c>
      <c r="BM91" s="104">
        <v>3201</v>
      </c>
      <c r="BN91" s="105">
        <v>45565</v>
      </c>
      <c r="BO91" s="98">
        <v>7</v>
      </c>
      <c r="BP91" s="116">
        <v>14.2857</v>
      </c>
      <c r="BQ91" s="114">
        <v>110907.39</v>
      </c>
      <c r="BR91" s="107"/>
      <c r="BS91" s="114"/>
      <c r="BT91" s="106">
        <v>3960.96</v>
      </c>
      <c r="BU91" s="108">
        <v>1320.32</v>
      </c>
      <c r="BV91" s="108">
        <v>1320.32</v>
      </c>
      <c r="BW91" s="109">
        <v>7921.9199999999992</v>
      </c>
      <c r="BX91" s="110">
        <v>11882.88</v>
      </c>
      <c r="BY91" s="110"/>
      <c r="BZ91" s="110"/>
      <c r="CA91" s="108">
        <v>99024.51</v>
      </c>
    </row>
    <row r="92" spans="3:79" x14ac:dyDescent="0.3">
      <c r="C92" s="40" t="str">
        <f>Impuestos3225[[#This Row],[Familia]]</f>
        <v>SUV EV BYD</v>
      </c>
      <c r="D92" s="7">
        <f t="shared" si="20"/>
        <v>86</v>
      </c>
      <c r="E92" s="24" t="s">
        <v>78</v>
      </c>
      <c r="F92" s="24" t="s">
        <v>37</v>
      </c>
      <c r="G92" s="25" t="s">
        <v>34</v>
      </c>
      <c r="H92" s="24">
        <v>3201</v>
      </c>
      <c r="I92" s="80">
        <v>45565</v>
      </c>
      <c r="J92" s="8">
        <v>7</v>
      </c>
      <c r="K92" s="10">
        <v>14.2857</v>
      </c>
      <c r="L92" s="81">
        <v>110907.39</v>
      </c>
      <c r="M92" s="82">
        <f>Impuestos3225[[#This Row],[Valor Adquisición (S/)]]*Impuestos3225[[#This Row],[Tasa  % ]]/100</f>
        <v>15843.89701323</v>
      </c>
      <c r="N92" s="81">
        <f>Impuestos3225[[#This Row],[Depreciación Anual]]/12</f>
        <v>1320.3247511024999</v>
      </c>
      <c r="O92" s="83">
        <f ca="1">ROUNDDOWN((TODAY()-Impuestos3225[[#This Row],[Fecha de Activación Ingreso]])/365, 0)</f>
        <v>1</v>
      </c>
      <c r="P92" s="81">
        <f ca="1">MIN(Impuestos3225[[#This Row],[Depreciación Anual]] * Impuestos3225[[#This Row],[Años Transcurridos]], Impuestos3225[[#This Row],[Valor Adquisición (S/)]])</f>
        <v>15843.89701323</v>
      </c>
      <c r="Q92" s="81">
        <f ca="1">MAX(Impuestos3225[[#This Row],[Valor Adquisición (S/)]]-Impuestos3225[[#This Row],[Depreciación Acumulada]], 0)</f>
        <v>95063.492986769998</v>
      </c>
      <c r="R92" s="81" t="str">
        <f ca="1">IF(Impuestos3225[[#This Row],[Valor Adquisición (S/)]]="","", IF(Impuestos3225[[#This Row],[Valor Neto Actual]]=0,"Veh. Ya no deprecia",""))</f>
        <v/>
      </c>
      <c r="S92" s="81" t="s">
        <v>54</v>
      </c>
      <c r="T92" s="81">
        <f>IFERROR(VLOOKUP(Impuestos3225[[#This Row],[Placa Vehiculo]],$AR$6:$CA$159,26,0),"")</f>
        <v>110907.39</v>
      </c>
      <c r="U92" s="81" t="str">
        <f>IF(Impuestos3225[[#This Row],[Buscar Monto]]=Impuestos3225[[#This Row],[Valor Adquisición (S/)]],"ok","mal")</f>
        <v>ok</v>
      </c>
      <c r="V92" s="81"/>
      <c r="Z92" s="87"/>
      <c r="AR92" s="21" t="str">
        <f t="shared" si="21"/>
        <v>CNL-121</v>
      </c>
      <c r="AS92" s="21">
        <f t="shared" si="22"/>
        <v>3201</v>
      </c>
      <c r="AT92" s="21" t="s">
        <v>54</v>
      </c>
      <c r="AU92" s="98">
        <v>34</v>
      </c>
      <c r="AV92" s="112">
        <v>3341110</v>
      </c>
      <c r="AW92" s="99">
        <v>340192</v>
      </c>
      <c r="AX92" s="100">
        <v>343001000149</v>
      </c>
      <c r="AY92" s="101" t="s">
        <v>653</v>
      </c>
      <c r="AZ92" s="101" t="s">
        <v>790</v>
      </c>
      <c r="BA92" s="101"/>
      <c r="BB92" s="101"/>
      <c r="BC92" s="101"/>
      <c r="BD92" s="102">
        <v>202408017</v>
      </c>
      <c r="BE92" s="101" t="s">
        <v>300</v>
      </c>
      <c r="BF92" s="101"/>
      <c r="BG92" s="103" t="s">
        <v>34</v>
      </c>
      <c r="BH92" s="103" t="s">
        <v>6</v>
      </c>
      <c r="BI92" s="113" t="s">
        <v>799</v>
      </c>
      <c r="BJ92" s="117" t="s">
        <v>800</v>
      </c>
      <c r="BK92" s="104">
        <v>9311090</v>
      </c>
      <c r="BL92" s="104">
        <v>311094001</v>
      </c>
      <c r="BM92" s="104">
        <v>3201</v>
      </c>
      <c r="BN92" s="105">
        <v>45565</v>
      </c>
      <c r="BO92" s="98">
        <v>7</v>
      </c>
      <c r="BP92" s="116">
        <v>14.2857</v>
      </c>
      <c r="BQ92" s="114">
        <v>119555.39</v>
      </c>
      <c r="BR92" s="107"/>
      <c r="BS92" s="114"/>
      <c r="BT92" s="106">
        <v>4269.84</v>
      </c>
      <c r="BU92" s="108">
        <v>1423.28</v>
      </c>
      <c r="BV92" s="108">
        <v>1423.28</v>
      </c>
      <c r="BW92" s="109">
        <v>8539.68</v>
      </c>
      <c r="BX92" s="110">
        <v>12809.52</v>
      </c>
      <c r="BY92" s="110"/>
      <c r="BZ92" s="110"/>
      <c r="CA92" s="108">
        <v>106745.87</v>
      </c>
    </row>
    <row r="93" spans="3:79" x14ac:dyDescent="0.3">
      <c r="C93" s="40" t="str">
        <f>Impuestos3225[[#This Row],[Familia]]</f>
        <v>SUV EV BYD</v>
      </c>
      <c r="D93" s="7">
        <f t="shared" si="20"/>
        <v>87</v>
      </c>
      <c r="E93" s="24" t="s">
        <v>97</v>
      </c>
      <c r="F93" s="24" t="s">
        <v>37</v>
      </c>
      <c r="G93" s="25" t="s">
        <v>34</v>
      </c>
      <c r="H93" s="24">
        <v>3201</v>
      </c>
      <c r="I93" s="80">
        <v>45565</v>
      </c>
      <c r="J93" s="8">
        <v>7</v>
      </c>
      <c r="K93" s="10">
        <v>14.2857</v>
      </c>
      <c r="L93" s="81">
        <v>119555.39</v>
      </c>
      <c r="M93" s="82">
        <f>Impuestos3225[[#This Row],[Valor Adquisición (S/)]]*Impuestos3225[[#This Row],[Tasa  % ]]/100</f>
        <v>17079.324349229999</v>
      </c>
      <c r="N93" s="81">
        <f>Impuestos3225[[#This Row],[Depreciación Anual]]/12</f>
        <v>1423.2770291024999</v>
      </c>
      <c r="O93" s="83">
        <f ca="1">ROUNDDOWN((TODAY()-Impuestos3225[[#This Row],[Fecha de Activación Ingreso]])/365, 0)</f>
        <v>1</v>
      </c>
      <c r="P93" s="81">
        <f ca="1">MIN(Impuestos3225[[#This Row],[Depreciación Anual]] * Impuestos3225[[#This Row],[Años Transcurridos]], Impuestos3225[[#This Row],[Valor Adquisición (S/)]])</f>
        <v>17079.324349229999</v>
      </c>
      <c r="Q93" s="81">
        <f ca="1">MAX(Impuestos3225[[#This Row],[Valor Adquisición (S/)]]-Impuestos3225[[#This Row],[Depreciación Acumulada]], 0)</f>
        <v>102476.06565077</v>
      </c>
      <c r="R93" s="81" t="str">
        <f ca="1">IF(Impuestos3225[[#This Row],[Valor Adquisición (S/)]]="","", IF(Impuestos3225[[#This Row],[Valor Neto Actual]]=0,"Veh. Ya no deprecia",""))</f>
        <v/>
      </c>
      <c r="S93" s="81" t="s">
        <v>54</v>
      </c>
      <c r="T93" s="81">
        <f>IFERROR(VLOOKUP(Impuestos3225[[#This Row],[Placa Vehiculo]],$AR$6:$CA$159,26,0),"")</f>
        <v>119555.39</v>
      </c>
      <c r="U93" s="81" t="str">
        <f>IF(Impuestos3225[[#This Row],[Buscar Monto]]=Impuestos3225[[#This Row],[Valor Adquisición (S/)]],"ok","mal")</f>
        <v>ok</v>
      </c>
      <c r="V93" s="81"/>
      <c r="Z93" s="87"/>
      <c r="AR93" s="21" t="str">
        <f t="shared" si="21"/>
        <v>CNK-675</v>
      </c>
      <c r="AS93" s="21">
        <f t="shared" si="22"/>
        <v>3201</v>
      </c>
      <c r="AT93" s="21" t="s">
        <v>54</v>
      </c>
      <c r="AU93" s="98">
        <v>34</v>
      </c>
      <c r="AV93" s="112">
        <v>3341110</v>
      </c>
      <c r="AW93" s="99">
        <v>340193</v>
      </c>
      <c r="AX93" s="100">
        <v>343001000150</v>
      </c>
      <c r="AY93" s="101" t="s">
        <v>653</v>
      </c>
      <c r="AZ93" s="101" t="s">
        <v>786</v>
      </c>
      <c r="BA93" s="101"/>
      <c r="BB93" s="101"/>
      <c r="BC93" s="101"/>
      <c r="BD93" s="102">
        <v>202408032</v>
      </c>
      <c r="BE93" s="101" t="s">
        <v>304</v>
      </c>
      <c r="BF93" s="101"/>
      <c r="BG93" s="103" t="s">
        <v>34</v>
      </c>
      <c r="BH93" s="103" t="s">
        <v>787</v>
      </c>
      <c r="BI93" s="113" t="s">
        <v>801</v>
      </c>
      <c r="BJ93" s="117" t="s">
        <v>802</v>
      </c>
      <c r="BK93" s="104">
        <v>9311090</v>
      </c>
      <c r="BL93" s="104">
        <v>311094001</v>
      </c>
      <c r="BM93" s="104">
        <v>3201</v>
      </c>
      <c r="BN93" s="105">
        <v>45565</v>
      </c>
      <c r="BO93" s="98">
        <v>7</v>
      </c>
      <c r="BP93" s="116">
        <v>14.2857</v>
      </c>
      <c r="BQ93" s="114">
        <v>110907.39</v>
      </c>
      <c r="BR93" s="107"/>
      <c r="BS93" s="114"/>
      <c r="BT93" s="106">
        <v>3960.96</v>
      </c>
      <c r="BU93" s="108">
        <v>1320.32</v>
      </c>
      <c r="BV93" s="108">
        <v>1320.32</v>
      </c>
      <c r="BW93" s="109">
        <v>7921.9199999999992</v>
      </c>
      <c r="BX93" s="110">
        <v>11882.88</v>
      </c>
      <c r="BY93" s="110"/>
      <c r="BZ93" s="110"/>
      <c r="CA93" s="108">
        <v>99024.51</v>
      </c>
    </row>
    <row r="94" spans="3:79" x14ac:dyDescent="0.3">
      <c r="C94" s="40" t="str">
        <f>Impuestos3225[[#This Row],[Familia]]</f>
        <v>SUV EV BYD</v>
      </c>
      <c r="D94" s="7">
        <f t="shared" si="20"/>
        <v>88</v>
      </c>
      <c r="E94" s="24" t="s">
        <v>75</v>
      </c>
      <c r="F94" s="24" t="s">
        <v>37</v>
      </c>
      <c r="G94" s="25" t="s">
        <v>34</v>
      </c>
      <c r="H94" s="24">
        <v>3201</v>
      </c>
      <c r="I94" s="80">
        <v>45565</v>
      </c>
      <c r="J94" s="8">
        <v>7</v>
      </c>
      <c r="K94" s="10">
        <v>14.2857</v>
      </c>
      <c r="L94" s="81">
        <v>110907.39</v>
      </c>
      <c r="M94" s="82">
        <f>Impuestos3225[[#This Row],[Valor Adquisición (S/)]]*Impuestos3225[[#This Row],[Tasa  % ]]/100</f>
        <v>15843.89701323</v>
      </c>
      <c r="N94" s="81">
        <f>Impuestos3225[[#This Row],[Depreciación Anual]]/12</f>
        <v>1320.3247511024999</v>
      </c>
      <c r="O94" s="83">
        <f ca="1">ROUNDDOWN((TODAY()-Impuestos3225[[#This Row],[Fecha de Activación Ingreso]])/365, 0)</f>
        <v>1</v>
      </c>
      <c r="P94" s="81">
        <f ca="1">MIN(Impuestos3225[[#This Row],[Depreciación Anual]] * Impuestos3225[[#This Row],[Años Transcurridos]], Impuestos3225[[#This Row],[Valor Adquisición (S/)]])</f>
        <v>15843.89701323</v>
      </c>
      <c r="Q94" s="81">
        <f ca="1">MAX(Impuestos3225[[#This Row],[Valor Adquisición (S/)]]-Impuestos3225[[#This Row],[Depreciación Acumulada]], 0)</f>
        <v>95063.492986769998</v>
      </c>
      <c r="R94" s="81" t="str">
        <f ca="1">IF(Impuestos3225[[#This Row],[Valor Adquisición (S/)]]="","", IF(Impuestos3225[[#This Row],[Valor Neto Actual]]=0,"Veh. Ya no deprecia",""))</f>
        <v/>
      </c>
      <c r="S94" s="81" t="s">
        <v>54</v>
      </c>
      <c r="T94" s="81">
        <f>IFERROR(VLOOKUP(Impuestos3225[[#This Row],[Placa Vehiculo]],$AR$6:$CA$159,26,0),"")</f>
        <v>110907.39</v>
      </c>
      <c r="U94" s="81" t="str">
        <f>IF(Impuestos3225[[#This Row],[Buscar Monto]]=Impuestos3225[[#This Row],[Valor Adquisición (S/)]],"ok","mal")</f>
        <v>ok</v>
      </c>
      <c r="V94" s="81"/>
      <c r="Z94" s="87"/>
      <c r="AR94" s="21" t="str">
        <f t="shared" si="21"/>
        <v>CNK-471</v>
      </c>
      <c r="AS94" s="21">
        <f t="shared" si="22"/>
        <v>4235</v>
      </c>
      <c r="AT94" s="21" t="s">
        <v>54</v>
      </c>
      <c r="AU94" s="98">
        <v>34</v>
      </c>
      <c r="AV94" s="112">
        <v>3341110</v>
      </c>
      <c r="AW94" s="99">
        <v>340194</v>
      </c>
      <c r="AX94" s="100">
        <v>343001000151</v>
      </c>
      <c r="AY94" s="101" t="s">
        <v>653</v>
      </c>
      <c r="AZ94" s="101" t="s">
        <v>790</v>
      </c>
      <c r="BA94" s="101"/>
      <c r="BB94" s="101"/>
      <c r="BC94" s="101"/>
      <c r="BD94" s="102">
        <v>202408046</v>
      </c>
      <c r="BE94" s="101" t="s">
        <v>308</v>
      </c>
      <c r="BF94" s="101"/>
      <c r="BG94" s="103" t="s">
        <v>34</v>
      </c>
      <c r="BH94" s="103" t="s">
        <v>6</v>
      </c>
      <c r="BI94" s="113" t="s">
        <v>803</v>
      </c>
      <c r="BJ94" s="117" t="s">
        <v>804</v>
      </c>
      <c r="BK94" s="104">
        <v>9111040</v>
      </c>
      <c r="BL94" s="104">
        <v>111040001</v>
      </c>
      <c r="BM94" s="104">
        <v>4235</v>
      </c>
      <c r="BN94" s="105">
        <v>45565</v>
      </c>
      <c r="BO94" s="98">
        <v>7</v>
      </c>
      <c r="BP94" s="116">
        <v>14.2857</v>
      </c>
      <c r="BQ94" s="114">
        <v>119555.39</v>
      </c>
      <c r="BR94" s="107"/>
      <c r="BS94" s="114"/>
      <c r="BT94" s="106">
        <v>4269.84</v>
      </c>
      <c r="BU94" s="108">
        <v>1423.28</v>
      </c>
      <c r="BV94" s="108">
        <v>1423.28</v>
      </c>
      <c r="BW94" s="109">
        <v>8539.68</v>
      </c>
      <c r="BX94" s="110">
        <v>12809.52</v>
      </c>
      <c r="BY94" s="110"/>
      <c r="BZ94" s="110"/>
      <c r="CA94" s="108">
        <v>106745.87</v>
      </c>
    </row>
    <row r="95" spans="3:79" x14ac:dyDescent="0.3">
      <c r="C95" s="40" t="str">
        <f>Impuestos3225[[#This Row],[Familia]]</f>
        <v>SUV EV BYD</v>
      </c>
      <c r="D95" s="7">
        <f t="shared" si="20"/>
        <v>89</v>
      </c>
      <c r="E95" s="24" t="s">
        <v>108</v>
      </c>
      <c r="F95" s="24" t="s">
        <v>37</v>
      </c>
      <c r="G95" s="25" t="s">
        <v>34</v>
      </c>
      <c r="H95" s="24">
        <v>4235</v>
      </c>
      <c r="I95" s="80">
        <v>45565</v>
      </c>
      <c r="J95" s="8">
        <v>7</v>
      </c>
      <c r="K95" s="10">
        <v>14.2857</v>
      </c>
      <c r="L95" s="81">
        <v>119555.39</v>
      </c>
      <c r="M95" s="82">
        <f>Impuestos3225[[#This Row],[Valor Adquisición (S/)]]*Impuestos3225[[#This Row],[Tasa  % ]]/100</f>
        <v>17079.324349229999</v>
      </c>
      <c r="N95" s="81">
        <f>Impuestos3225[[#This Row],[Depreciación Anual]]/12</f>
        <v>1423.2770291024999</v>
      </c>
      <c r="O95" s="83">
        <f ca="1">ROUNDDOWN((TODAY()-Impuestos3225[[#This Row],[Fecha de Activación Ingreso]])/365, 0)</f>
        <v>1</v>
      </c>
      <c r="P95" s="81">
        <f ca="1">MIN(Impuestos3225[[#This Row],[Depreciación Anual]] * Impuestos3225[[#This Row],[Años Transcurridos]], Impuestos3225[[#This Row],[Valor Adquisición (S/)]])</f>
        <v>17079.324349229999</v>
      </c>
      <c r="Q95" s="81">
        <f ca="1">MAX(Impuestos3225[[#This Row],[Valor Adquisición (S/)]]-Impuestos3225[[#This Row],[Depreciación Acumulada]], 0)</f>
        <v>102476.06565077</v>
      </c>
      <c r="R95" s="81" t="str">
        <f ca="1">IF(Impuestos3225[[#This Row],[Valor Adquisición (S/)]]="","", IF(Impuestos3225[[#This Row],[Valor Neto Actual]]=0,"Veh. Ya no deprecia",""))</f>
        <v/>
      </c>
      <c r="S95" s="81" t="s">
        <v>54</v>
      </c>
      <c r="T95" s="81">
        <f>IFERROR(VLOOKUP(Impuestos3225[[#This Row],[Placa Vehiculo]],$AR$6:$CA$159,26,0),"")</f>
        <v>119555.39</v>
      </c>
      <c r="U95" s="81" t="str">
        <f>IF(Impuestos3225[[#This Row],[Buscar Monto]]=Impuestos3225[[#This Row],[Valor Adquisición (S/)]],"ok","mal")</f>
        <v>ok</v>
      </c>
      <c r="V95" s="81"/>
      <c r="Z95" s="87"/>
      <c r="AR95" s="21" t="str">
        <f t="shared" si="21"/>
        <v>CNL-135</v>
      </c>
      <c r="AS95" s="21">
        <f t="shared" si="22"/>
        <v>3201</v>
      </c>
      <c r="AT95" s="21" t="s">
        <v>54</v>
      </c>
      <c r="AU95" s="98">
        <v>34</v>
      </c>
      <c r="AV95" s="112">
        <v>3341110</v>
      </c>
      <c r="AW95" s="99">
        <v>340195</v>
      </c>
      <c r="AX95" s="100">
        <v>343001000152</v>
      </c>
      <c r="AY95" s="101" t="s">
        <v>653</v>
      </c>
      <c r="AZ95" s="101" t="s">
        <v>786</v>
      </c>
      <c r="BA95" s="101"/>
      <c r="BB95" s="101"/>
      <c r="BC95" s="101"/>
      <c r="BD95" s="102">
        <v>202408016</v>
      </c>
      <c r="BE95" s="101" t="s">
        <v>312</v>
      </c>
      <c r="BF95" s="101"/>
      <c r="BG95" s="103" t="s">
        <v>34</v>
      </c>
      <c r="BH95" s="103" t="s">
        <v>787</v>
      </c>
      <c r="BI95" s="113" t="s">
        <v>805</v>
      </c>
      <c r="BJ95" s="117" t="s">
        <v>806</v>
      </c>
      <c r="BK95" s="104">
        <v>9311090</v>
      </c>
      <c r="BL95" s="104">
        <v>311094001</v>
      </c>
      <c r="BM95" s="104">
        <v>3201</v>
      </c>
      <c r="BN95" s="105">
        <v>45565</v>
      </c>
      <c r="BO95" s="98">
        <v>7</v>
      </c>
      <c r="BP95" s="116">
        <v>14.2857</v>
      </c>
      <c r="BQ95" s="114">
        <v>110907.38</v>
      </c>
      <c r="BR95" s="107"/>
      <c r="BS95" s="114"/>
      <c r="BT95" s="106">
        <v>3960.96</v>
      </c>
      <c r="BU95" s="108">
        <v>1320.32</v>
      </c>
      <c r="BV95" s="108">
        <v>1320.32</v>
      </c>
      <c r="BW95" s="109">
        <v>7921.9199999999992</v>
      </c>
      <c r="BX95" s="110">
        <v>11882.88</v>
      </c>
      <c r="BY95" s="110"/>
      <c r="BZ95" s="110"/>
      <c r="CA95" s="108">
        <v>99024.5</v>
      </c>
    </row>
    <row r="96" spans="3:79" x14ac:dyDescent="0.3">
      <c r="C96" s="40" t="str">
        <f>Impuestos3225[[#This Row],[Familia]]</f>
        <v>SUV EV BYD</v>
      </c>
      <c r="D96" s="7">
        <f t="shared" si="20"/>
        <v>90</v>
      </c>
      <c r="E96" s="24" t="s">
        <v>82</v>
      </c>
      <c r="F96" s="24" t="s">
        <v>37</v>
      </c>
      <c r="G96" s="25" t="s">
        <v>34</v>
      </c>
      <c r="H96" s="24">
        <v>3201</v>
      </c>
      <c r="I96" s="80">
        <v>45565</v>
      </c>
      <c r="J96" s="8">
        <v>7</v>
      </c>
      <c r="K96" s="10">
        <v>14.2857</v>
      </c>
      <c r="L96" s="81">
        <v>110907.38</v>
      </c>
      <c r="M96" s="82">
        <f>Impuestos3225[[#This Row],[Valor Adquisición (S/)]]*Impuestos3225[[#This Row],[Tasa  % ]]/100</f>
        <v>15843.89558466</v>
      </c>
      <c r="N96" s="81">
        <f>Impuestos3225[[#This Row],[Depreciación Anual]]/12</f>
        <v>1320.3246320549999</v>
      </c>
      <c r="O96" s="83">
        <f ca="1">ROUNDDOWN((TODAY()-Impuestos3225[[#This Row],[Fecha de Activación Ingreso]])/365, 0)</f>
        <v>1</v>
      </c>
      <c r="P96" s="81">
        <f ca="1">MIN(Impuestos3225[[#This Row],[Depreciación Anual]] * Impuestos3225[[#This Row],[Años Transcurridos]], Impuestos3225[[#This Row],[Valor Adquisición (S/)]])</f>
        <v>15843.89558466</v>
      </c>
      <c r="Q96" s="81">
        <f ca="1">MAX(Impuestos3225[[#This Row],[Valor Adquisición (S/)]]-Impuestos3225[[#This Row],[Depreciación Acumulada]], 0)</f>
        <v>95063.484415340004</v>
      </c>
      <c r="R96" s="81" t="str">
        <f ca="1">IF(Impuestos3225[[#This Row],[Valor Adquisición (S/)]]="","", IF(Impuestos3225[[#This Row],[Valor Neto Actual]]=0,"Veh. Ya no deprecia",""))</f>
        <v/>
      </c>
      <c r="S96" s="81" t="s">
        <v>54</v>
      </c>
      <c r="T96" s="81">
        <f>IFERROR(VLOOKUP(Impuestos3225[[#This Row],[Placa Vehiculo]],$AR$6:$CA$159,26,0),"")</f>
        <v>110907.38</v>
      </c>
      <c r="U96" s="81" t="str">
        <f>IF(Impuestos3225[[#This Row],[Buscar Monto]]=Impuestos3225[[#This Row],[Valor Adquisición (S/)]],"ok","mal")</f>
        <v>ok</v>
      </c>
      <c r="V96" s="81"/>
      <c r="Z96" s="87"/>
      <c r="AR96" s="21" t="str">
        <f t="shared" si="21"/>
        <v>CNK-505</v>
      </c>
      <c r="AS96" s="21">
        <f t="shared" si="22"/>
        <v>3201</v>
      </c>
      <c r="AT96" s="21" t="s">
        <v>54</v>
      </c>
      <c r="AU96" s="98">
        <v>34</v>
      </c>
      <c r="AV96" s="112">
        <v>3341110</v>
      </c>
      <c r="AW96" s="99">
        <v>340196</v>
      </c>
      <c r="AX96" s="100">
        <v>343001000153</v>
      </c>
      <c r="AY96" s="101" t="s">
        <v>653</v>
      </c>
      <c r="AZ96" s="101" t="s">
        <v>790</v>
      </c>
      <c r="BA96" s="101"/>
      <c r="BB96" s="101"/>
      <c r="BC96" s="101"/>
      <c r="BD96" s="102">
        <v>202408045</v>
      </c>
      <c r="BE96" s="101" t="s">
        <v>316</v>
      </c>
      <c r="BF96" s="101"/>
      <c r="BG96" s="103" t="s">
        <v>34</v>
      </c>
      <c r="BH96" s="103" t="s">
        <v>6</v>
      </c>
      <c r="BI96" s="113" t="s">
        <v>807</v>
      </c>
      <c r="BJ96" s="117" t="s">
        <v>808</v>
      </c>
      <c r="BK96" s="104">
        <v>9311090</v>
      </c>
      <c r="BL96" s="104">
        <v>311094001</v>
      </c>
      <c r="BM96" s="104">
        <v>3201</v>
      </c>
      <c r="BN96" s="105">
        <v>45565</v>
      </c>
      <c r="BO96" s="98">
        <v>7</v>
      </c>
      <c r="BP96" s="116">
        <v>14.2857</v>
      </c>
      <c r="BQ96" s="114">
        <v>119555.38</v>
      </c>
      <c r="BR96" s="107"/>
      <c r="BS96" s="114"/>
      <c r="BT96" s="106">
        <v>4269.84</v>
      </c>
      <c r="BU96" s="108">
        <v>1423.28</v>
      </c>
      <c r="BV96" s="108">
        <v>1423.28</v>
      </c>
      <c r="BW96" s="109">
        <v>8539.68</v>
      </c>
      <c r="BX96" s="110">
        <v>12809.52</v>
      </c>
      <c r="BY96" s="110"/>
      <c r="BZ96" s="110"/>
      <c r="CA96" s="108">
        <v>106745.86</v>
      </c>
    </row>
    <row r="97" spans="3:79" x14ac:dyDescent="0.3">
      <c r="C97" s="40" t="str">
        <f>Impuestos3225[[#This Row],[Familia]]</f>
        <v>SUV EV BYD</v>
      </c>
      <c r="D97" s="7">
        <f t="shared" si="20"/>
        <v>91</v>
      </c>
      <c r="E97" s="24" t="s">
        <v>99</v>
      </c>
      <c r="F97" s="24" t="s">
        <v>37</v>
      </c>
      <c r="G97" s="25" t="s">
        <v>34</v>
      </c>
      <c r="H97" s="24">
        <v>3201</v>
      </c>
      <c r="I97" s="80">
        <v>45565</v>
      </c>
      <c r="J97" s="8">
        <v>7</v>
      </c>
      <c r="K97" s="10">
        <v>14.2857</v>
      </c>
      <c r="L97" s="81">
        <v>119555.38</v>
      </c>
      <c r="M97" s="82">
        <f>Impuestos3225[[#This Row],[Valor Adquisición (S/)]]*Impuestos3225[[#This Row],[Tasa  % ]]/100</f>
        <v>17079.322920660001</v>
      </c>
      <c r="N97" s="81">
        <f>Impuestos3225[[#This Row],[Depreciación Anual]]/12</f>
        <v>1423.2769100550001</v>
      </c>
      <c r="O97" s="83">
        <f ca="1">ROUNDDOWN((TODAY()-Impuestos3225[[#This Row],[Fecha de Activación Ingreso]])/365, 0)</f>
        <v>1</v>
      </c>
      <c r="P97" s="81">
        <f ca="1">MIN(Impuestos3225[[#This Row],[Depreciación Anual]] * Impuestos3225[[#This Row],[Años Transcurridos]], Impuestos3225[[#This Row],[Valor Adquisición (S/)]])</f>
        <v>17079.322920660001</v>
      </c>
      <c r="Q97" s="81">
        <f ca="1">MAX(Impuestos3225[[#This Row],[Valor Adquisición (S/)]]-Impuestos3225[[#This Row],[Depreciación Acumulada]], 0)</f>
        <v>102476.05707934001</v>
      </c>
      <c r="R97" s="81" t="str">
        <f ca="1">IF(Impuestos3225[[#This Row],[Valor Adquisición (S/)]]="","", IF(Impuestos3225[[#This Row],[Valor Neto Actual]]=0,"Veh. Ya no deprecia",""))</f>
        <v/>
      </c>
      <c r="S97" s="81" t="s">
        <v>54</v>
      </c>
      <c r="T97" s="81">
        <f>IFERROR(VLOOKUP(Impuestos3225[[#This Row],[Placa Vehiculo]],$AR$6:$CA$159,26,0),"")</f>
        <v>119555.38</v>
      </c>
      <c r="U97" s="81" t="str">
        <f>IF(Impuestos3225[[#This Row],[Buscar Monto]]=Impuestos3225[[#This Row],[Valor Adquisición (S/)]],"ok","mal")</f>
        <v>ok</v>
      </c>
      <c r="V97" s="81"/>
      <c r="Z97" s="87"/>
      <c r="AR97" s="21" t="str">
        <f t="shared" si="21"/>
        <v>CNL-013</v>
      </c>
      <c r="AS97" s="21">
        <f t="shared" si="22"/>
        <v>3201</v>
      </c>
      <c r="AT97" s="21" t="s">
        <v>54</v>
      </c>
      <c r="AU97" s="98">
        <v>34</v>
      </c>
      <c r="AV97" s="112">
        <v>3341110</v>
      </c>
      <c r="AW97" s="99">
        <v>340197</v>
      </c>
      <c r="AX97" s="100">
        <v>343001000154</v>
      </c>
      <c r="AY97" s="101" t="s">
        <v>653</v>
      </c>
      <c r="AZ97" s="101" t="s">
        <v>786</v>
      </c>
      <c r="BA97" s="101"/>
      <c r="BB97" s="101"/>
      <c r="BC97" s="101"/>
      <c r="BD97" s="102">
        <v>202408033</v>
      </c>
      <c r="BE97" s="101" t="s">
        <v>320</v>
      </c>
      <c r="BF97" s="101"/>
      <c r="BG97" s="103" t="s">
        <v>34</v>
      </c>
      <c r="BH97" s="103" t="s">
        <v>787</v>
      </c>
      <c r="BI97" s="113" t="s">
        <v>809</v>
      </c>
      <c r="BJ97" s="117" t="s">
        <v>810</v>
      </c>
      <c r="BK97" s="104">
        <v>9311090</v>
      </c>
      <c r="BL97" s="104">
        <v>311094001</v>
      </c>
      <c r="BM97" s="104">
        <v>3201</v>
      </c>
      <c r="BN97" s="105">
        <v>45565</v>
      </c>
      <c r="BO97" s="98">
        <v>7</v>
      </c>
      <c r="BP97" s="116">
        <v>14.2857</v>
      </c>
      <c r="BQ97" s="114">
        <v>110907.38</v>
      </c>
      <c r="BR97" s="107"/>
      <c r="BS97" s="114"/>
      <c r="BT97" s="106">
        <v>3960.96</v>
      </c>
      <c r="BU97" s="108">
        <v>1320.32</v>
      </c>
      <c r="BV97" s="108">
        <v>1320.32</v>
      </c>
      <c r="BW97" s="109">
        <v>7921.9199999999992</v>
      </c>
      <c r="BX97" s="110">
        <v>11882.88</v>
      </c>
      <c r="BY97" s="110"/>
      <c r="BZ97" s="110"/>
      <c r="CA97" s="108">
        <v>99024.5</v>
      </c>
    </row>
    <row r="98" spans="3:79" x14ac:dyDescent="0.3">
      <c r="C98" s="40" t="str">
        <f>Impuestos3225[[#This Row],[Familia]]</f>
        <v>SUV EV BYD</v>
      </c>
      <c r="D98" s="7">
        <f t="shared" si="20"/>
        <v>92</v>
      </c>
      <c r="E98" s="24" t="s">
        <v>80</v>
      </c>
      <c r="F98" s="24" t="s">
        <v>37</v>
      </c>
      <c r="G98" s="25" t="s">
        <v>34</v>
      </c>
      <c r="H98" s="24">
        <v>3201</v>
      </c>
      <c r="I98" s="80">
        <v>45565</v>
      </c>
      <c r="J98" s="8">
        <v>7</v>
      </c>
      <c r="K98" s="10">
        <v>14.2857</v>
      </c>
      <c r="L98" s="81">
        <v>110907.38</v>
      </c>
      <c r="M98" s="82">
        <f>Impuestos3225[[#This Row],[Valor Adquisición (S/)]]*Impuestos3225[[#This Row],[Tasa  % ]]/100</f>
        <v>15843.89558466</v>
      </c>
      <c r="N98" s="81">
        <f>Impuestos3225[[#This Row],[Depreciación Anual]]/12</f>
        <v>1320.3246320549999</v>
      </c>
      <c r="O98" s="83">
        <f ca="1">ROUNDDOWN((TODAY()-Impuestos3225[[#This Row],[Fecha de Activación Ingreso]])/365, 0)</f>
        <v>1</v>
      </c>
      <c r="P98" s="81">
        <f ca="1">MIN(Impuestos3225[[#This Row],[Depreciación Anual]] * Impuestos3225[[#This Row],[Años Transcurridos]], Impuestos3225[[#This Row],[Valor Adquisición (S/)]])</f>
        <v>15843.89558466</v>
      </c>
      <c r="Q98" s="81">
        <f ca="1">MAX(Impuestos3225[[#This Row],[Valor Adquisición (S/)]]-Impuestos3225[[#This Row],[Depreciación Acumulada]], 0)</f>
        <v>95063.484415340004</v>
      </c>
      <c r="R98" s="81" t="str">
        <f ca="1">IF(Impuestos3225[[#This Row],[Valor Adquisición (S/)]]="","", IF(Impuestos3225[[#This Row],[Valor Neto Actual]]=0,"Veh. Ya no deprecia",""))</f>
        <v/>
      </c>
      <c r="S98" s="81" t="s">
        <v>54</v>
      </c>
      <c r="T98" s="81">
        <f>IFERROR(VLOOKUP(Impuestos3225[[#This Row],[Placa Vehiculo]],$AR$6:$CA$159,26,0),"")</f>
        <v>110907.38</v>
      </c>
      <c r="U98" s="81" t="str">
        <f>IF(Impuestos3225[[#This Row],[Buscar Monto]]=Impuestos3225[[#This Row],[Valor Adquisición (S/)]],"ok","mal")</f>
        <v>ok</v>
      </c>
      <c r="V98" s="81"/>
      <c r="Z98" s="87"/>
      <c r="AR98" s="21" t="str">
        <f t="shared" si="21"/>
        <v>CNK-263</v>
      </c>
      <c r="AS98" s="21">
        <f t="shared" si="22"/>
        <v>3201</v>
      </c>
      <c r="AT98" s="21" t="s">
        <v>54</v>
      </c>
      <c r="AU98" s="98">
        <v>34</v>
      </c>
      <c r="AV98" s="112">
        <v>3341110</v>
      </c>
      <c r="AW98" s="99">
        <v>340198</v>
      </c>
      <c r="AX98" s="100">
        <v>343001000155</v>
      </c>
      <c r="AY98" s="101" t="s">
        <v>653</v>
      </c>
      <c r="AZ98" s="101" t="s">
        <v>790</v>
      </c>
      <c r="BA98" s="101"/>
      <c r="BB98" s="101"/>
      <c r="BC98" s="101"/>
      <c r="BD98" s="102">
        <v>202408042</v>
      </c>
      <c r="BE98" s="101" t="s">
        <v>324</v>
      </c>
      <c r="BF98" s="101"/>
      <c r="BG98" s="103" t="s">
        <v>34</v>
      </c>
      <c r="BH98" s="103" t="s">
        <v>6</v>
      </c>
      <c r="BI98" s="113" t="s">
        <v>811</v>
      </c>
      <c r="BJ98" s="117" t="s">
        <v>812</v>
      </c>
      <c r="BK98" s="104">
        <v>9311090</v>
      </c>
      <c r="BL98" s="104">
        <v>311094001</v>
      </c>
      <c r="BM98" s="104">
        <v>3201</v>
      </c>
      <c r="BN98" s="105">
        <v>45565</v>
      </c>
      <c r="BO98" s="98">
        <v>7</v>
      </c>
      <c r="BP98" s="116">
        <v>14.2857</v>
      </c>
      <c r="BQ98" s="114">
        <v>119555.38</v>
      </c>
      <c r="BR98" s="107"/>
      <c r="BS98" s="114"/>
      <c r="BT98" s="106">
        <v>4269.84</v>
      </c>
      <c r="BU98" s="108">
        <v>1423.28</v>
      </c>
      <c r="BV98" s="108">
        <v>1423.28</v>
      </c>
      <c r="BW98" s="109">
        <v>8539.68</v>
      </c>
      <c r="BX98" s="110">
        <v>12809.52</v>
      </c>
      <c r="BY98" s="110"/>
      <c r="BZ98" s="110"/>
      <c r="CA98" s="108">
        <v>106745.86</v>
      </c>
    </row>
    <row r="99" spans="3:79" x14ac:dyDescent="0.3">
      <c r="C99" s="40" t="str">
        <f>Impuestos3225[[#This Row],[Familia]]</f>
        <v>SUV EV BYD</v>
      </c>
      <c r="D99" s="7">
        <f t="shared" si="20"/>
        <v>93</v>
      </c>
      <c r="E99" s="24" t="s">
        <v>96</v>
      </c>
      <c r="F99" s="24" t="s">
        <v>37</v>
      </c>
      <c r="G99" s="25" t="s">
        <v>34</v>
      </c>
      <c r="H99" s="24">
        <v>3201</v>
      </c>
      <c r="I99" s="80">
        <v>45565</v>
      </c>
      <c r="J99" s="8">
        <v>7</v>
      </c>
      <c r="K99" s="10">
        <v>14.2857</v>
      </c>
      <c r="L99" s="81">
        <v>119555.38</v>
      </c>
      <c r="M99" s="82">
        <f>Impuestos3225[[#This Row],[Valor Adquisición (S/)]]*Impuestos3225[[#This Row],[Tasa  % ]]/100</f>
        <v>17079.322920660001</v>
      </c>
      <c r="N99" s="81">
        <f>Impuestos3225[[#This Row],[Depreciación Anual]]/12</f>
        <v>1423.2769100550001</v>
      </c>
      <c r="O99" s="83">
        <f ca="1">ROUNDDOWN((TODAY()-Impuestos3225[[#This Row],[Fecha de Activación Ingreso]])/365, 0)</f>
        <v>1</v>
      </c>
      <c r="P99" s="81">
        <f ca="1">MIN(Impuestos3225[[#This Row],[Depreciación Anual]] * Impuestos3225[[#This Row],[Años Transcurridos]], Impuestos3225[[#This Row],[Valor Adquisición (S/)]])</f>
        <v>17079.322920660001</v>
      </c>
      <c r="Q99" s="81">
        <f ca="1">MAX(Impuestos3225[[#This Row],[Valor Adquisición (S/)]]-Impuestos3225[[#This Row],[Depreciación Acumulada]], 0)</f>
        <v>102476.05707934001</v>
      </c>
      <c r="R99" s="81" t="str">
        <f ca="1">IF(Impuestos3225[[#This Row],[Valor Adquisición (S/)]]="","", IF(Impuestos3225[[#This Row],[Valor Neto Actual]]=0,"Veh. Ya no deprecia",""))</f>
        <v/>
      </c>
      <c r="S99" s="81" t="s">
        <v>54</v>
      </c>
      <c r="T99" s="81">
        <f>IFERROR(VLOOKUP(Impuestos3225[[#This Row],[Placa Vehiculo]],$AR$6:$CA$159,26,0),"")</f>
        <v>119555.38</v>
      </c>
      <c r="U99" s="81" t="str">
        <f>IF(Impuestos3225[[#This Row],[Buscar Monto]]=Impuestos3225[[#This Row],[Valor Adquisición (S/)]],"ok","mal")</f>
        <v>ok</v>
      </c>
      <c r="V99" s="81"/>
      <c r="Z99" s="87"/>
      <c r="AR99" s="21" t="str">
        <f t="shared" si="21"/>
        <v>CNL-165</v>
      </c>
      <c r="AS99" s="21">
        <f t="shared" si="22"/>
        <v>4230</v>
      </c>
      <c r="AT99" s="21" t="s">
        <v>54</v>
      </c>
      <c r="AU99" s="98">
        <v>34</v>
      </c>
      <c r="AV99" s="112">
        <v>3341110</v>
      </c>
      <c r="AW99" s="99">
        <v>340199</v>
      </c>
      <c r="AX99" s="100">
        <v>343001000156</v>
      </c>
      <c r="AY99" s="101" t="s">
        <v>653</v>
      </c>
      <c r="AZ99" s="101" t="s">
        <v>786</v>
      </c>
      <c r="BA99" s="101"/>
      <c r="BB99" s="101"/>
      <c r="BC99" s="101"/>
      <c r="BD99" s="102">
        <v>202408034</v>
      </c>
      <c r="BE99" s="101" t="s">
        <v>328</v>
      </c>
      <c r="BF99" s="101"/>
      <c r="BG99" s="103" t="s">
        <v>34</v>
      </c>
      <c r="BH99" s="103" t="s">
        <v>787</v>
      </c>
      <c r="BI99" s="113" t="s">
        <v>813</v>
      </c>
      <c r="BJ99" s="117" t="s">
        <v>814</v>
      </c>
      <c r="BK99" s="111">
        <v>9111040</v>
      </c>
      <c r="BL99" s="111">
        <v>111040001</v>
      </c>
      <c r="BM99" s="104">
        <v>4230</v>
      </c>
      <c r="BN99" s="105">
        <v>45565</v>
      </c>
      <c r="BO99" s="98">
        <v>7</v>
      </c>
      <c r="BP99" s="116">
        <v>14.2857</v>
      </c>
      <c r="BQ99" s="114">
        <v>110907.38</v>
      </c>
      <c r="BR99" s="107"/>
      <c r="BS99" s="114"/>
      <c r="BT99" s="106">
        <v>3960.96</v>
      </c>
      <c r="BU99" s="108">
        <v>1320.32</v>
      </c>
      <c r="BV99" s="108">
        <v>1320.32</v>
      </c>
      <c r="BW99" s="109">
        <v>7921.9199999999992</v>
      </c>
      <c r="BX99" s="110">
        <v>11882.88</v>
      </c>
      <c r="BY99" s="110"/>
      <c r="BZ99" s="110"/>
      <c r="CA99" s="108">
        <v>99024.5</v>
      </c>
    </row>
    <row r="100" spans="3:79" x14ac:dyDescent="0.3">
      <c r="C100" s="40" t="str">
        <f>Impuestos3225[[#This Row],[Familia]]</f>
        <v>SUV EV BYD</v>
      </c>
      <c r="D100" s="7">
        <f t="shared" si="20"/>
        <v>94</v>
      </c>
      <c r="E100" s="24" t="s">
        <v>88</v>
      </c>
      <c r="F100" s="24" t="s">
        <v>37</v>
      </c>
      <c r="G100" s="25" t="s">
        <v>34</v>
      </c>
      <c r="H100" s="24">
        <v>4230</v>
      </c>
      <c r="I100" s="80">
        <v>45565</v>
      </c>
      <c r="J100" s="8">
        <v>7</v>
      </c>
      <c r="K100" s="10">
        <v>14.2857</v>
      </c>
      <c r="L100" s="81">
        <v>110907.38</v>
      </c>
      <c r="M100" s="82">
        <f>Impuestos3225[[#This Row],[Valor Adquisición (S/)]]*Impuestos3225[[#This Row],[Tasa  % ]]/100</f>
        <v>15843.89558466</v>
      </c>
      <c r="N100" s="81">
        <f>Impuestos3225[[#This Row],[Depreciación Anual]]/12</f>
        <v>1320.3246320549999</v>
      </c>
      <c r="O100" s="83">
        <f ca="1">ROUNDDOWN((TODAY()-Impuestos3225[[#This Row],[Fecha de Activación Ingreso]])/365, 0)</f>
        <v>1</v>
      </c>
      <c r="P100" s="81">
        <f ca="1">MIN(Impuestos3225[[#This Row],[Depreciación Anual]] * Impuestos3225[[#This Row],[Años Transcurridos]], Impuestos3225[[#This Row],[Valor Adquisición (S/)]])</f>
        <v>15843.89558466</v>
      </c>
      <c r="Q100" s="81">
        <f ca="1">MAX(Impuestos3225[[#This Row],[Valor Adquisición (S/)]]-Impuestos3225[[#This Row],[Depreciación Acumulada]], 0)</f>
        <v>95063.484415340004</v>
      </c>
      <c r="R100" s="81" t="str">
        <f ca="1">IF(Impuestos3225[[#This Row],[Valor Adquisición (S/)]]="","", IF(Impuestos3225[[#This Row],[Valor Neto Actual]]=0,"Veh. Ya no deprecia",""))</f>
        <v/>
      </c>
      <c r="S100" s="81" t="s">
        <v>54</v>
      </c>
      <c r="T100" s="81">
        <f>IFERROR(VLOOKUP(Impuestos3225[[#This Row],[Placa Vehiculo]],$AR$6:$CA$159,26,0),"")</f>
        <v>110907.38</v>
      </c>
      <c r="U100" s="81" t="str">
        <f>IF(Impuestos3225[[#This Row],[Buscar Monto]]=Impuestos3225[[#This Row],[Valor Adquisición (S/)]],"ok","mal")</f>
        <v>ok</v>
      </c>
      <c r="V100" s="81"/>
      <c r="Z100" s="87"/>
      <c r="AR100" s="21" t="str">
        <f t="shared" si="21"/>
        <v>CNK-573</v>
      </c>
      <c r="AS100" s="21">
        <f t="shared" si="22"/>
        <v>3201</v>
      </c>
      <c r="AT100" s="21" t="s">
        <v>54</v>
      </c>
      <c r="AU100" s="98">
        <v>34</v>
      </c>
      <c r="AV100" s="112">
        <v>3341110</v>
      </c>
      <c r="AW100" s="99">
        <v>340200</v>
      </c>
      <c r="AX100" s="100">
        <v>343001000157</v>
      </c>
      <c r="AY100" s="101" t="s">
        <v>653</v>
      </c>
      <c r="AZ100" s="101" t="s">
        <v>790</v>
      </c>
      <c r="BA100" s="101"/>
      <c r="BB100" s="101"/>
      <c r="BC100" s="101"/>
      <c r="BD100" s="102">
        <v>202408035</v>
      </c>
      <c r="BE100" s="101" t="s">
        <v>332</v>
      </c>
      <c r="BF100" s="101"/>
      <c r="BG100" s="103" t="s">
        <v>34</v>
      </c>
      <c r="BH100" s="103" t="s">
        <v>6</v>
      </c>
      <c r="BI100" s="113" t="s">
        <v>815</v>
      </c>
      <c r="BJ100" s="117" t="s">
        <v>816</v>
      </c>
      <c r="BK100" s="104">
        <v>9311090</v>
      </c>
      <c r="BL100" s="104">
        <v>311094001</v>
      </c>
      <c r="BM100" s="104">
        <v>3201</v>
      </c>
      <c r="BN100" s="105">
        <v>45565</v>
      </c>
      <c r="BO100" s="98">
        <v>7</v>
      </c>
      <c r="BP100" s="116">
        <v>14.2857</v>
      </c>
      <c r="BQ100" s="114">
        <v>119555.38</v>
      </c>
      <c r="BR100" s="107"/>
      <c r="BS100" s="114"/>
      <c r="BT100" s="106">
        <v>4269.84</v>
      </c>
      <c r="BU100" s="108">
        <v>1423.28</v>
      </c>
      <c r="BV100" s="108">
        <v>1423.28</v>
      </c>
      <c r="BW100" s="109">
        <v>8539.68</v>
      </c>
      <c r="BX100" s="110">
        <v>12809.52</v>
      </c>
      <c r="BY100" s="110"/>
      <c r="BZ100" s="110"/>
      <c r="CA100" s="108">
        <v>106745.86</v>
      </c>
    </row>
    <row r="101" spans="3:79" x14ac:dyDescent="0.3">
      <c r="C101" s="40" t="str">
        <f>Impuestos3225[[#This Row],[Familia]]</f>
        <v>SUV EV BYD</v>
      </c>
      <c r="D101" s="7">
        <f t="shared" si="20"/>
        <v>95</v>
      </c>
      <c r="E101" s="24" t="s">
        <v>100</v>
      </c>
      <c r="F101" s="24" t="s">
        <v>37</v>
      </c>
      <c r="G101" s="25" t="s">
        <v>34</v>
      </c>
      <c r="H101" s="24">
        <v>3201</v>
      </c>
      <c r="I101" s="80">
        <v>45565</v>
      </c>
      <c r="J101" s="8">
        <v>7</v>
      </c>
      <c r="K101" s="10">
        <v>14.2857</v>
      </c>
      <c r="L101" s="81">
        <v>119555.38</v>
      </c>
      <c r="M101" s="82">
        <f>Impuestos3225[[#This Row],[Valor Adquisición (S/)]]*Impuestos3225[[#This Row],[Tasa  % ]]/100</f>
        <v>17079.322920660001</v>
      </c>
      <c r="N101" s="81">
        <f>Impuestos3225[[#This Row],[Depreciación Anual]]/12</f>
        <v>1423.2769100550001</v>
      </c>
      <c r="O101" s="83">
        <f ca="1">ROUNDDOWN((TODAY()-Impuestos3225[[#This Row],[Fecha de Activación Ingreso]])/365, 0)</f>
        <v>1</v>
      </c>
      <c r="P101" s="81">
        <f ca="1">MIN(Impuestos3225[[#This Row],[Depreciación Anual]] * Impuestos3225[[#This Row],[Años Transcurridos]], Impuestos3225[[#This Row],[Valor Adquisición (S/)]])</f>
        <v>17079.322920660001</v>
      </c>
      <c r="Q101" s="81">
        <f ca="1">MAX(Impuestos3225[[#This Row],[Valor Adquisición (S/)]]-Impuestos3225[[#This Row],[Depreciación Acumulada]], 0)</f>
        <v>102476.05707934001</v>
      </c>
      <c r="R101" s="81" t="str">
        <f ca="1">IF(Impuestos3225[[#This Row],[Valor Adquisición (S/)]]="","", IF(Impuestos3225[[#This Row],[Valor Neto Actual]]=0,"Veh. Ya no deprecia",""))</f>
        <v/>
      </c>
      <c r="S101" s="81" t="s">
        <v>54</v>
      </c>
      <c r="T101" s="81">
        <f>IFERROR(VLOOKUP(Impuestos3225[[#This Row],[Placa Vehiculo]],$AR$6:$CA$159,26,0),"")</f>
        <v>119555.38</v>
      </c>
      <c r="U101" s="81" t="str">
        <f>IF(Impuestos3225[[#This Row],[Buscar Monto]]=Impuestos3225[[#This Row],[Valor Adquisición (S/)]],"ok","mal")</f>
        <v>ok</v>
      </c>
      <c r="V101" s="81"/>
      <c r="Z101" s="87"/>
      <c r="AR101" s="21" t="str">
        <f t="shared" si="21"/>
        <v>CNL-033</v>
      </c>
      <c r="AS101" s="21">
        <f t="shared" si="22"/>
        <v>4301</v>
      </c>
      <c r="AT101" s="21" t="s">
        <v>54</v>
      </c>
      <c r="AU101" s="98">
        <v>34</v>
      </c>
      <c r="AV101" s="112">
        <v>3341110</v>
      </c>
      <c r="AW101" s="99">
        <v>340201</v>
      </c>
      <c r="AX101" s="100">
        <v>343001000158</v>
      </c>
      <c r="AY101" s="101" t="s">
        <v>653</v>
      </c>
      <c r="AZ101" s="101" t="s">
        <v>786</v>
      </c>
      <c r="BA101" s="101"/>
      <c r="BB101" s="101"/>
      <c r="BC101" s="101"/>
      <c r="BD101" s="102">
        <v>202408043</v>
      </c>
      <c r="BE101" s="101" t="s">
        <v>336</v>
      </c>
      <c r="BF101" s="101"/>
      <c r="BG101" s="103" t="s">
        <v>34</v>
      </c>
      <c r="BH101" s="103" t="s">
        <v>787</v>
      </c>
      <c r="BI101" s="113" t="s">
        <v>817</v>
      </c>
      <c r="BJ101" s="117" t="s">
        <v>818</v>
      </c>
      <c r="BK101" s="104">
        <v>9111070</v>
      </c>
      <c r="BL101" s="118">
        <v>111070001</v>
      </c>
      <c r="BM101" s="104">
        <v>4301</v>
      </c>
      <c r="BN101" s="105">
        <v>45565</v>
      </c>
      <c r="BO101" s="98">
        <v>7</v>
      </c>
      <c r="BP101" s="116">
        <v>14.2857</v>
      </c>
      <c r="BQ101" s="114">
        <v>110907.38</v>
      </c>
      <c r="BR101" s="107"/>
      <c r="BS101" s="114"/>
      <c r="BT101" s="106">
        <v>3960.96</v>
      </c>
      <c r="BU101" s="108">
        <v>1320.32</v>
      </c>
      <c r="BV101" s="108">
        <v>1320.32</v>
      </c>
      <c r="BW101" s="109">
        <v>7921.9199999999992</v>
      </c>
      <c r="BX101" s="110">
        <v>11882.88</v>
      </c>
      <c r="BY101" s="110"/>
      <c r="BZ101" s="110"/>
      <c r="CA101" s="108">
        <v>99024.5</v>
      </c>
    </row>
    <row r="102" spans="3:79" x14ac:dyDescent="0.3">
      <c r="C102" s="40" t="str">
        <f>Impuestos3225[[#This Row],[Familia]]</f>
        <v>SUV EV BYD</v>
      </c>
      <c r="D102" s="7">
        <f t="shared" si="20"/>
        <v>96</v>
      </c>
      <c r="E102" s="24" t="s">
        <v>89</v>
      </c>
      <c r="F102" s="24" t="s">
        <v>37</v>
      </c>
      <c r="G102" s="25" t="s">
        <v>34</v>
      </c>
      <c r="H102" s="24">
        <v>4301</v>
      </c>
      <c r="I102" s="80">
        <v>45565</v>
      </c>
      <c r="J102" s="8">
        <v>7</v>
      </c>
      <c r="K102" s="10">
        <v>14.2857</v>
      </c>
      <c r="L102" s="81">
        <v>110907.38</v>
      </c>
      <c r="M102" s="82">
        <f>Impuestos3225[[#This Row],[Valor Adquisición (S/)]]*Impuestos3225[[#This Row],[Tasa  % ]]/100</f>
        <v>15843.89558466</v>
      </c>
      <c r="N102" s="81">
        <f>Impuestos3225[[#This Row],[Depreciación Anual]]/12</f>
        <v>1320.3246320549999</v>
      </c>
      <c r="O102" s="83">
        <f ca="1">ROUNDDOWN((TODAY()-Impuestos3225[[#This Row],[Fecha de Activación Ingreso]])/365, 0)</f>
        <v>1</v>
      </c>
      <c r="P102" s="81">
        <f ca="1">MIN(Impuestos3225[[#This Row],[Depreciación Anual]] * Impuestos3225[[#This Row],[Años Transcurridos]], Impuestos3225[[#This Row],[Valor Adquisición (S/)]])</f>
        <v>15843.89558466</v>
      </c>
      <c r="Q102" s="81">
        <f ca="1">MAX(Impuestos3225[[#This Row],[Valor Adquisición (S/)]]-Impuestos3225[[#This Row],[Depreciación Acumulada]], 0)</f>
        <v>95063.484415340004</v>
      </c>
      <c r="R102" s="81" t="str">
        <f ca="1">IF(Impuestos3225[[#This Row],[Valor Adquisición (S/)]]="","", IF(Impuestos3225[[#This Row],[Valor Neto Actual]]=0,"Veh. Ya no deprecia",""))</f>
        <v/>
      </c>
      <c r="S102" s="81" t="s">
        <v>54</v>
      </c>
      <c r="T102" s="81">
        <f>IFERROR(VLOOKUP(Impuestos3225[[#This Row],[Placa Vehiculo]],$AR$6:$CA$159,26,0),"")</f>
        <v>110907.38</v>
      </c>
      <c r="U102" s="81" t="str">
        <f>IF(Impuestos3225[[#This Row],[Buscar Monto]]=Impuestos3225[[#This Row],[Valor Adquisición (S/)]],"ok","mal")</f>
        <v>ok</v>
      </c>
      <c r="V102" s="81"/>
      <c r="Z102" s="87"/>
      <c r="AR102" s="21" t="str">
        <f t="shared" si="21"/>
        <v>CNK-690</v>
      </c>
      <c r="AS102" s="21">
        <f t="shared" si="22"/>
        <v>4301</v>
      </c>
      <c r="AT102" s="21" t="s">
        <v>54</v>
      </c>
      <c r="AU102" s="98">
        <v>34</v>
      </c>
      <c r="AV102" s="112">
        <v>3341110</v>
      </c>
      <c r="AW102" s="99">
        <v>340202</v>
      </c>
      <c r="AX102" s="100">
        <v>343001000159</v>
      </c>
      <c r="AY102" s="101" t="s">
        <v>653</v>
      </c>
      <c r="AZ102" s="101" t="s">
        <v>790</v>
      </c>
      <c r="BA102" s="101"/>
      <c r="BB102" s="101"/>
      <c r="BC102" s="101"/>
      <c r="BD102" s="102">
        <v>202408018</v>
      </c>
      <c r="BE102" s="101" t="s">
        <v>819</v>
      </c>
      <c r="BF102" s="101"/>
      <c r="BG102" s="103" t="s">
        <v>34</v>
      </c>
      <c r="BH102" s="103" t="s">
        <v>6</v>
      </c>
      <c r="BI102" s="113" t="s">
        <v>820</v>
      </c>
      <c r="BJ102" s="117" t="s">
        <v>821</v>
      </c>
      <c r="BK102" s="104">
        <v>9111070</v>
      </c>
      <c r="BL102" s="118">
        <v>111070001</v>
      </c>
      <c r="BM102" s="104">
        <v>4301</v>
      </c>
      <c r="BN102" s="105">
        <v>45565</v>
      </c>
      <c r="BO102" s="98">
        <v>7</v>
      </c>
      <c r="BP102" s="116">
        <v>14.2857</v>
      </c>
      <c r="BQ102" s="114">
        <v>119555.37000000001</v>
      </c>
      <c r="BR102" s="107"/>
      <c r="BS102" s="114"/>
      <c r="BT102" s="106">
        <v>4269.84</v>
      </c>
      <c r="BU102" s="108">
        <v>1423.28</v>
      </c>
      <c r="BV102" s="108">
        <v>1423.28</v>
      </c>
      <c r="BW102" s="109">
        <v>8539.68</v>
      </c>
      <c r="BX102" s="110">
        <v>12809.52</v>
      </c>
      <c r="BY102" s="110"/>
      <c r="BZ102" s="110"/>
      <c r="CA102" s="108">
        <v>106745.85</v>
      </c>
    </row>
    <row r="103" spans="3:79" x14ac:dyDescent="0.3">
      <c r="C103" s="40" t="str">
        <f>Impuestos3225[[#This Row],[Familia]]</f>
        <v>SUV EV BYD</v>
      </c>
      <c r="D103" s="7">
        <f t="shared" si="20"/>
        <v>97</v>
      </c>
      <c r="E103" s="24" t="s">
        <v>103</v>
      </c>
      <c r="F103" s="24" t="s">
        <v>37</v>
      </c>
      <c r="G103" s="25" t="s">
        <v>34</v>
      </c>
      <c r="H103" s="24">
        <v>4301</v>
      </c>
      <c r="I103" s="80">
        <v>45565</v>
      </c>
      <c r="J103" s="8">
        <v>7</v>
      </c>
      <c r="K103" s="10">
        <v>14.2857</v>
      </c>
      <c r="L103" s="81">
        <v>119555.37000000001</v>
      </c>
      <c r="M103" s="82">
        <f>Impuestos3225[[#This Row],[Valor Adquisición (S/)]]*Impuestos3225[[#This Row],[Tasa  % ]]/100</f>
        <v>17079.321492090003</v>
      </c>
      <c r="N103" s="81">
        <f>Impuestos3225[[#This Row],[Depreciación Anual]]/12</f>
        <v>1423.2767910075002</v>
      </c>
      <c r="O103" s="83">
        <f ca="1">ROUNDDOWN((TODAY()-Impuestos3225[[#This Row],[Fecha de Activación Ingreso]])/365, 0)</f>
        <v>1</v>
      </c>
      <c r="P103" s="81">
        <f ca="1">MIN(Impuestos3225[[#This Row],[Depreciación Anual]] * Impuestos3225[[#This Row],[Años Transcurridos]], Impuestos3225[[#This Row],[Valor Adquisición (S/)]])</f>
        <v>17079.321492090003</v>
      </c>
      <c r="Q103" s="81">
        <f ca="1">MAX(Impuestos3225[[#This Row],[Valor Adquisición (S/)]]-Impuestos3225[[#This Row],[Depreciación Acumulada]], 0)</f>
        <v>102476.04850791</v>
      </c>
      <c r="R103" s="81" t="str">
        <f ca="1">IF(Impuestos3225[[#This Row],[Valor Adquisición (S/)]]="","", IF(Impuestos3225[[#This Row],[Valor Neto Actual]]=0,"Veh. Ya no deprecia",""))</f>
        <v/>
      </c>
      <c r="S103" s="81" t="s">
        <v>54</v>
      </c>
      <c r="T103" s="81">
        <f>IFERROR(VLOOKUP(Impuestos3225[[#This Row],[Placa Vehiculo]],$AR$6:$CA$159,26,0),"")</f>
        <v>119555.37000000001</v>
      </c>
      <c r="U103" s="81" t="str">
        <f>IF(Impuestos3225[[#This Row],[Buscar Monto]]=Impuestos3225[[#This Row],[Valor Adquisición (S/)]],"ok","mal")</f>
        <v>ok</v>
      </c>
      <c r="V103" s="81"/>
      <c r="Z103" s="87"/>
      <c r="AR103" s="21" t="str">
        <f t="shared" si="21"/>
        <v>CNK-644</v>
      </c>
      <c r="AS103" s="21">
        <f t="shared" si="22"/>
        <v>4301</v>
      </c>
      <c r="AT103" s="21" t="s">
        <v>54</v>
      </c>
      <c r="AU103" s="98">
        <v>34</v>
      </c>
      <c r="AV103" s="112">
        <v>3341110</v>
      </c>
      <c r="AW103" s="99">
        <v>340203</v>
      </c>
      <c r="AX103" s="100">
        <v>343001000160</v>
      </c>
      <c r="AY103" s="101" t="s">
        <v>653</v>
      </c>
      <c r="AZ103" s="101" t="s">
        <v>786</v>
      </c>
      <c r="BA103" s="101"/>
      <c r="BB103" s="101"/>
      <c r="BC103" s="101"/>
      <c r="BD103" s="102">
        <v>202408020</v>
      </c>
      <c r="BE103" s="101" t="s">
        <v>340</v>
      </c>
      <c r="BF103" s="101"/>
      <c r="BG103" s="103" t="s">
        <v>34</v>
      </c>
      <c r="BH103" s="103" t="s">
        <v>787</v>
      </c>
      <c r="BI103" s="113" t="s">
        <v>822</v>
      </c>
      <c r="BJ103" s="117" t="s">
        <v>823</v>
      </c>
      <c r="BK103" s="104">
        <v>9111070</v>
      </c>
      <c r="BL103" s="118">
        <v>111070001</v>
      </c>
      <c r="BM103" s="104">
        <v>4301</v>
      </c>
      <c r="BN103" s="105">
        <v>45565</v>
      </c>
      <c r="BO103" s="98">
        <v>7</v>
      </c>
      <c r="BP103" s="116">
        <v>14.2857</v>
      </c>
      <c r="BQ103" s="114">
        <v>110907.37000000001</v>
      </c>
      <c r="BR103" s="107"/>
      <c r="BS103" s="114"/>
      <c r="BT103" s="106">
        <v>3960.96</v>
      </c>
      <c r="BU103" s="108">
        <v>1320.32</v>
      </c>
      <c r="BV103" s="108">
        <v>1320.32</v>
      </c>
      <c r="BW103" s="109">
        <v>7921.9199999999992</v>
      </c>
      <c r="BX103" s="110">
        <v>11882.88</v>
      </c>
      <c r="BY103" s="110"/>
      <c r="BZ103" s="110"/>
      <c r="CA103" s="108">
        <v>99024.49</v>
      </c>
    </row>
    <row r="104" spans="3:79" x14ac:dyDescent="0.3">
      <c r="C104" s="40" t="str">
        <f>Impuestos3225[[#This Row],[Familia]]</f>
        <v>SUV EV BYD</v>
      </c>
      <c r="D104" s="7">
        <f t="shared" si="20"/>
        <v>98</v>
      </c>
      <c r="E104" s="24" t="s">
        <v>87</v>
      </c>
      <c r="F104" s="24" t="s">
        <v>37</v>
      </c>
      <c r="G104" s="25" t="s">
        <v>34</v>
      </c>
      <c r="H104" s="24">
        <v>4301</v>
      </c>
      <c r="I104" s="80">
        <v>45565</v>
      </c>
      <c r="J104" s="8">
        <v>7</v>
      </c>
      <c r="K104" s="10">
        <v>14.2857</v>
      </c>
      <c r="L104" s="81">
        <v>110907.37000000001</v>
      </c>
      <c r="M104" s="82">
        <f>Impuestos3225[[#This Row],[Valor Adquisición (S/)]]*Impuestos3225[[#This Row],[Tasa  % ]]/100</f>
        <v>15843.894156090002</v>
      </c>
      <c r="N104" s="81">
        <f>Impuestos3225[[#This Row],[Depreciación Anual]]/12</f>
        <v>1320.3245130075002</v>
      </c>
      <c r="O104" s="83">
        <f ca="1">ROUNDDOWN((TODAY()-Impuestos3225[[#This Row],[Fecha de Activación Ingreso]])/365, 0)</f>
        <v>1</v>
      </c>
      <c r="P104" s="81">
        <f ca="1">MIN(Impuestos3225[[#This Row],[Depreciación Anual]] * Impuestos3225[[#This Row],[Años Transcurridos]], Impuestos3225[[#This Row],[Valor Adquisición (S/)]])</f>
        <v>15843.894156090002</v>
      </c>
      <c r="Q104" s="81">
        <f ca="1">MAX(Impuestos3225[[#This Row],[Valor Adquisición (S/)]]-Impuestos3225[[#This Row],[Depreciación Acumulada]], 0)</f>
        <v>95063.475843910011</v>
      </c>
      <c r="R104" s="81" t="str">
        <f ca="1">IF(Impuestos3225[[#This Row],[Valor Adquisición (S/)]]="","", IF(Impuestos3225[[#This Row],[Valor Neto Actual]]=0,"Veh. Ya no deprecia",""))</f>
        <v/>
      </c>
      <c r="S104" s="81" t="s">
        <v>54</v>
      </c>
      <c r="T104" s="81">
        <f>IFERROR(VLOOKUP(Impuestos3225[[#This Row],[Placa Vehiculo]],$AR$6:$CA$159,26,0),"")</f>
        <v>110907.37000000001</v>
      </c>
      <c r="U104" s="81" t="str">
        <f>IF(Impuestos3225[[#This Row],[Buscar Monto]]=Impuestos3225[[#This Row],[Valor Adquisición (S/)]],"ok","mal")</f>
        <v>ok</v>
      </c>
      <c r="V104" s="81"/>
      <c r="Z104" s="87"/>
      <c r="AR104" s="21" t="str">
        <f t="shared" si="21"/>
        <v>CNL-012</v>
      </c>
      <c r="AS104" s="21">
        <f t="shared" si="22"/>
        <v>4235</v>
      </c>
      <c r="AT104" s="21" t="s">
        <v>54</v>
      </c>
      <c r="AU104" s="98">
        <v>34</v>
      </c>
      <c r="AV104" s="112">
        <v>3341110</v>
      </c>
      <c r="AW104" s="99">
        <v>340204</v>
      </c>
      <c r="AX104" s="100">
        <v>343001000161</v>
      </c>
      <c r="AY104" s="101" t="s">
        <v>653</v>
      </c>
      <c r="AZ104" s="101" t="s">
        <v>790</v>
      </c>
      <c r="BA104" s="101"/>
      <c r="BB104" s="101"/>
      <c r="BC104" s="101"/>
      <c r="BD104" s="102">
        <v>202408009</v>
      </c>
      <c r="BE104" s="101" t="s">
        <v>344</v>
      </c>
      <c r="BF104" s="101"/>
      <c r="BG104" s="103" t="s">
        <v>34</v>
      </c>
      <c r="BH104" s="103" t="s">
        <v>6</v>
      </c>
      <c r="BI104" s="113" t="s">
        <v>824</v>
      </c>
      <c r="BJ104" s="117" t="s">
        <v>825</v>
      </c>
      <c r="BK104" s="104">
        <v>9111040</v>
      </c>
      <c r="BL104" s="104">
        <v>111040001</v>
      </c>
      <c r="BM104" s="104">
        <v>4235</v>
      </c>
      <c r="BN104" s="105">
        <v>45565</v>
      </c>
      <c r="BO104" s="98">
        <v>7</v>
      </c>
      <c r="BP104" s="116">
        <v>14.2857</v>
      </c>
      <c r="BQ104" s="114">
        <v>119555.37000000001</v>
      </c>
      <c r="BR104" s="107"/>
      <c r="BS104" s="114"/>
      <c r="BT104" s="106">
        <v>4269.84</v>
      </c>
      <c r="BU104" s="108">
        <v>1423.28</v>
      </c>
      <c r="BV104" s="108">
        <v>1423.28</v>
      </c>
      <c r="BW104" s="109">
        <v>8539.68</v>
      </c>
      <c r="BX104" s="110">
        <v>12809.52</v>
      </c>
      <c r="BY104" s="110"/>
      <c r="BZ104" s="110"/>
      <c r="CA104" s="108">
        <v>106745.85</v>
      </c>
    </row>
    <row r="105" spans="3:79" x14ac:dyDescent="0.3">
      <c r="C105" s="40" t="str">
        <f>Impuestos3225[[#This Row],[Familia]]</f>
        <v>SUV EV BYD</v>
      </c>
      <c r="D105" s="7">
        <f t="shared" si="20"/>
        <v>99</v>
      </c>
      <c r="E105" s="24" t="s">
        <v>105</v>
      </c>
      <c r="F105" s="24" t="s">
        <v>37</v>
      </c>
      <c r="G105" s="25" t="s">
        <v>34</v>
      </c>
      <c r="H105" s="24">
        <v>4235</v>
      </c>
      <c r="I105" s="80">
        <v>45565</v>
      </c>
      <c r="J105" s="8">
        <v>7</v>
      </c>
      <c r="K105" s="10">
        <v>14.2857</v>
      </c>
      <c r="L105" s="81">
        <v>119555.37000000001</v>
      </c>
      <c r="M105" s="82">
        <f>Impuestos3225[[#This Row],[Valor Adquisición (S/)]]*Impuestos3225[[#This Row],[Tasa  % ]]/100</f>
        <v>17079.321492090003</v>
      </c>
      <c r="N105" s="81">
        <f>Impuestos3225[[#This Row],[Depreciación Anual]]/12</f>
        <v>1423.2767910075002</v>
      </c>
      <c r="O105" s="83">
        <f ca="1">ROUNDDOWN((TODAY()-Impuestos3225[[#This Row],[Fecha de Activación Ingreso]])/365, 0)</f>
        <v>1</v>
      </c>
      <c r="P105" s="81">
        <f ca="1">MIN(Impuestos3225[[#This Row],[Depreciación Anual]] * Impuestos3225[[#This Row],[Años Transcurridos]], Impuestos3225[[#This Row],[Valor Adquisición (S/)]])</f>
        <v>17079.321492090003</v>
      </c>
      <c r="Q105" s="81">
        <f ca="1">MAX(Impuestos3225[[#This Row],[Valor Adquisición (S/)]]-Impuestos3225[[#This Row],[Depreciación Acumulada]], 0)</f>
        <v>102476.04850791</v>
      </c>
      <c r="R105" s="81" t="str">
        <f ca="1">IF(Impuestos3225[[#This Row],[Valor Adquisición (S/)]]="","", IF(Impuestos3225[[#This Row],[Valor Neto Actual]]=0,"Veh. Ya no deprecia",""))</f>
        <v/>
      </c>
      <c r="S105" s="81" t="s">
        <v>54</v>
      </c>
      <c r="T105" s="81">
        <f>IFERROR(VLOOKUP(Impuestos3225[[#This Row],[Placa Vehiculo]],$AR$6:$CA$159,26,0),"")</f>
        <v>119555.37000000001</v>
      </c>
      <c r="U105" s="81" t="str">
        <f>IF(Impuestos3225[[#This Row],[Buscar Monto]]=Impuestos3225[[#This Row],[Valor Adquisición (S/)]],"ok","mal")</f>
        <v>ok</v>
      </c>
      <c r="V105" s="81"/>
      <c r="Z105" s="87"/>
      <c r="AR105" s="21" t="str">
        <f t="shared" si="21"/>
        <v>CNL-075</v>
      </c>
      <c r="AS105" s="21">
        <f t="shared" si="22"/>
        <v>4301</v>
      </c>
      <c r="AT105" s="21" t="s">
        <v>54</v>
      </c>
      <c r="AU105" s="98">
        <v>34</v>
      </c>
      <c r="AV105" s="112">
        <v>3341110</v>
      </c>
      <c r="AW105" s="99">
        <v>340205</v>
      </c>
      <c r="AX105" s="100">
        <v>343001000162</v>
      </c>
      <c r="AY105" s="101" t="s">
        <v>653</v>
      </c>
      <c r="AZ105" s="101" t="s">
        <v>786</v>
      </c>
      <c r="BA105" s="101"/>
      <c r="BB105" s="101"/>
      <c r="BC105" s="101"/>
      <c r="BD105" s="102">
        <v>202408021</v>
      </c>
      <c r="BE105" s="101" t="s">
        <v>348</v>
      </c>
      <c r="BF105" s="101"/>
      <c r="BG105" s="103" t="s">
        <v>34</v>
      </c>
      <c r="BH105" s="103" t="s">
        <v>787</v>
      </c>
      <c r="BI105" s="113" t="s">
        <v>826</v>
      </c>
      <c r="BJ105" s="117" t="s">
        <v>827</v>
      </c>
      <c r="BK105" s="104">
        <v>9111070</v>
      </c>
      <c r="BL105" s="118">
        <v>111070001</v>
      </c>
      <c r="BM105" s="104">
        <v>4301</v>
      </c>
      <c r="BN105" s="105">
        <v>45565</v>
      </c>
      <c r="BO105" s="98">
        <v>7</v>
      </c>
      <c r="BP105" s="116">
        <v>14.2857</v>
      </c>
      <c r="BQ105" s="114">
        <v>110907.37000000001</v>
      </c>
      <c r="BR105" s="107"/>
      <c r="BS105" s="114"/>
      <c r="BT105" s="106">
        <v>3960.96</v>
      </c>
      <c r="BU105" s="108">
        <v>1320.32</v>
      </c>
      <c r="BV105" s="108">
        <v>1320.32</v>
      </c>
      <c r="BW105" s="109">
        <v>7921.9199999999992</v>
      </c>
      <c r="BX105" s="110">
        <v>11882.88</v>
      </c>
      <c r="BY105" s="110"/>
      <c r="BZ105" s="110"/>
      <c r="CA105" s="108">
        <v>99024.49</v>
      </c>
    </row>
    <row r="106" spans="3:79" x14ac:dyDescent="0.3">
      <c r="C106" s="40" t="str">
        <f>Impuestos3225[[#This Row],[Familia]]</f>
        <v>SUV EV BYD</v>
      </c>
      <c r="D106" s="7">
        <f t="shared" si="20"/>
        <v>100</v>
      </c>
      <c r="E106" s="24" t="s">
        <v>90</v>
      </c>
      <c r="F106" s="24" t="s">
        <v>37</v>
      </c>
      <c r="G106" s="25" t="s">
        <v>34</v>
      </c>
      <c r="H106" s="24">
        <v>4301</v>
      </c>
      <c r="I106" s="80">
        <v>45565</v>
      </c>
      <c r="J106" s="8">
        <v>7</v>
      </c>
      <c r="K106" s="10">
        <v>14.2857</v>
      </c>
      <c r="L106" s="81">
        <v>110907.37000000001</v>
      </c>
      <c r="M106" s="82">
        <f>Impuestos3225[[#This Row],[Valor Adquisición (S/)]]*Impuestos3225[[#This Row],[Tasa  % ]]/100</f>
        <v>15843.894156090002</v>
      </c>
      <c r="N106" s="81">
        <f>Impuestos3225[[#This Row],[Depreciación Anual]]/12</f>
        <v>1320.3245130075002</v>
      </c>
      <c r="O106" s="83">
        <f ca="1">ROUNDDOWN((TODAY()-Impuestos3225[[#This Row],[Fecha de Activación Ingreso]])/365, 0)</f>
        <v>1</v>
      </c>
      <c r="P106" s="81">
        <f ca="1">MIN(Impuestos3225[[#This Row],[Depreciación Anual]] * Impuestos3225[[#This Row],[Años Transcurridos]], Impuestos3225[[#This Row],[Valor Adquisición (S/)]])</f>
        <v>15843.894156090002</v>
      </c>
      <c r="Q106" s="81">
        <f ca="1">MAX(Impuestos3225[[#This Row],[Valor Adquisición (S/)]]-Impuestos3225[[#This Row],[Depreciación Acumulada]], 0)</f>
        <v>95063.475843910011</v>
      </c>
      <c r="R106" s="81" t="str">
        <f ca="1">IF(Impuestos3225[[#This Row],[Valor Adquisición (S/)]]="","", IF(Impuestos3225[[#This Row],[Valor Neto Actual]]=0,"Veh. Ya no deprecia",""))</f>
        <v/>
      </c>
      <c r="S106" s="81" t="s">
        <v>54</v>
      </c>
      <c r="T106" s="81">
        <f>IFERROR(VLOOKUP(Impuestos3225[[#This Row],[Placa Vehiculo]],$AR$6:$CA$159,26,0),"")</f>
        <v>110907.37000000001</v>
      </c>
      <c r="U106" s="81" t="str">
        <f>IF(Impuestos3225[[#This Row],[Buscar Monto]]=Impuestos3225[[#This Row],[Valor Adquisición (S/)]],"ok","mal")</f>
        <v>ok</v>
      </c>
      <c r="V106" s="81"/>
      <c r="Z106" s="87"/>
      <c r="AR106" s="21" t="str">
        <f t="shared" si="21"/>
        <v>CNK-641</v>
      </c>
      <c r="AS106" s="21">
        <f t="shared" si="22"/>
        <v>4235</v>
      </c>
      <c r="AT106" s="21" t="s">
        <v>54</v>
      </c>
      <c r="AU106" s="98">
        <v>34</v>
      </c>
      <c r="AV106" s="112">
        <v>3341110</v>
      </c>
      <c r="AW106" s="99">
        <v>340206</v>
      </c>
      <c r="AX106" s="100">
        <v>343001000163</v>
      </c>
      <c r="AY106" s="101" t="s">
        <v>653</v>
      </c>
      <c r="AZ106" s="101" t="s">
        <v>790</v>
      </c>
      <c r="BA106" s="101"/>
      <c r="BB106" s="101"/>
      <c r="BC106" s="101"/>
      <c r="BD106" s="102">
        <v>202408025</v>
      </c>
      <c r="BE106" s="101" t="s">
        <v>349</v>
      </c>
      <c r="BF106" s="101"/>
      <c r="BG106" s="103" t="s">
        <v>34</v>
      </c>
      <c r="BH106" s="103" t="s">
        <v>6</v>
      </c>
      <c r="BI106" s="113" t="s">
        <v>828</v>
      </c>
      <c r="BJ106" s="117" t="s">
        <v>829</v>
      </c>
      <c r="BK106" s="104">
        <v>9111040</v>
      </c>
      <c r="BL106" s="104">
        <v>111040001</v>
      </c>
      <c r="BM106" s="104">
        <v>4235</v>
      </c>
      <c r="BN106" s="105">
        <v>45565</v>
      </c>
      <c r="BO106" s="98">
        <v>7</v>
      </c>
      <c r="BP106" s="116">
        <v>14.2857</v>
      </c>
      <c r="BQ106" s="114">
        <v>119555.37000000001</v>
      </c>
      <c r="BR106" s="107"/>
      <c r="BS106" s="114"/>
      <c r="BT106" s="106">
        <v>4269.84</v>
      </c>
      <c r="BU106" s="108">
        <v>1423.28</v>
      </c>
      <c r="BV106" s="108">
        <v>1423.28</v>
      </c>
      <c r="BW106" s="109">
        <v>8539.68</v>
      </c>
      <c r="BX106" s="110">
        <v>12809.52</v>
      </c>
      <c r="BY106" s="110"/>
      <c r="BZ106" s="110"/>
      <c r="CA106" s="108">
        <v>106745.85</v>
      </c>
    </row>
    <row r="107" spans="3:79" x14ac:dyDescent="0.3">
      <c r="C107" s="40" t="str">
        <f>Impuestos3225[[#This Row],[Familia]]</f>
        <v>SUV EV BYD</v>
      </c>
      <c r="D107" s="7">
        <f t="shared" si="20"/>
        <v>101</v>
      </c>
      <c r="E107" s="24" t="s">
        <v>106</v>
      </c>
      <c r="F107" s="24" t="s">
        <v>37</v>
      </c>
      <c r="G107" s="25" t="s">
        <v>34</v>
      </c>
      <c r="H107" s="24">
        <v>4235</v>
      </c>
      <c r="I107" s="80">
        <v>45565</v>
      </c>
      <c r="J107" s="8">
        <v>7</v>
      </c>
      <c r="K107" s="10">
        <v>14.2857</v>
      </c>
      <c r="L107" s="81">
        <v>119555.37000000001</v>
      </c>
      <c r="M107" s="82">
        <f>Impuestos3225[[#This Row],[Valor Adquisición (S/)]]*Impuestos3225[[#This Row],[Tasa  % ]]/100</f>
        <v>17079.321492090003</v>
      </c>
      <c r="N107" s="81">
        <f>Impuestos3225[[#This Row],[Depreciación Anual]]/12</f>
        <v>1423.2767910075002</v>
      </c>
      <c r="O107" s="83">
        <f ca="1">ROUNDDOWN((TODAY()-Impuestos3225[[#This Row],[Fecha de Activación Ingreso]])/365, 0)</f>
        <v>1</v>
      </c>
      <c r="P107" s="81">
        <f ca="1">MIN(Impuestos3225[[#This Row],[Depreciación Anual]] * Impuestos3225[[#This Row],[Años Transcurridos]], Impuestos3225[[#This Row],[Valor Adquisición (S/)]])</f>
        <v>17079.321492090003</v>
      </c>
      <c r="Q107" s="81">
        <f ca="1">MAX(Impuestos3225[[#This Row],[Valor Adquisición (S/)]]-Impuestos3225[[#This Row],[Depreciación Acumulada]], 0)</f>
        <v>102476.04850791</v>
      </c>
      <c r="R107" s="81" t="str">
        <f ca="1">IF(Impuestos3225[[#This Row],[Valor Adquisición (S/)]]="","", IF(Impuestos3225[[#This Row],[Valor Neto Actual]]=0,"Veh. Ya no deprecia",""))</f>
        <v/>
      </c>
      <c r="S107" s="81" t="s">
        <v>54</v>
      </c>
      <c r="T107" s="81">
        <f>IFERROR(VLOOKUP(Impuestos3225[[#This Row],[Placa Vehiculo]],$AR$6:$CA$159,26,0),"")</f>
        <v>119555.37000000001</v>
      </c>
      <c r="U107" s="81" t="str">
        <f>IF(Impuestos3225[[#This Row],[Buscar Monto]]=Impuestos3225[[#This Row],[Valor Adquisición (S/)]],"ok","mal")</f>
        <v>ok</v>
      </c>
      <c r="V107" s="81"/>
      <c r="Z107" s="87"/>
      <c r="AR107" s="21" t="str">
        <f t="shared" si="21"/>
        <v>CNK-615</v>
      </c>
      <c r="AS107" s="21">
        <f t="shared" si="22"/>
        <v>5410</v>
      </c>
      <c r="AT107" s="21" t="s">
        <v>54</v>
      </c>
      <c r="AU107" s="98">
        <v>34</v>
      </c>
      <c r="AV107" s="112">
        <v>3341110</v>
      </c>
      <c r="AW107" s="99">
        <v>340207</v>
      </c>
      <c r="AX107" s="100">
        <v>343001000164</v>
      </c>
      <c r="AY107" s="101" t="s">
        <v>653</v>
      </c>
      <c r="AZ107" s="101" t="s">
        <v>786</v>
      </c>
      <c r="BA107" s="101"/>
      <c r="BB107" s="101"/>
      <c r="BC107" s="101"/>
      <c r="BD107" s="102">
        <v>202408022</v>
      </c>
      <c r="BE107" s="101" t="s">
        <v>350</v>
      </c>
      <c r="BF107" s="101"/>
      <c r="BG107" s="103" t="s">
        <v>34</v>
      </c>
      <c r="BH107" s="103" t="s">
        <v>787</v>
      </c>
      <c r="BI107" s="113" t="s">
        <v>830</v>
      </c>
      <c r="BJ107" s="117" t="s">
        <v>831</v>
      </c>
      <c r="BK107" s="104">
        <v>9111102</v>
      </c>
      <c r="BL107" s="111">
        <v>911020001</v>
      </c>
      <c r="BM107" s="104">
        <v>5410</v>
      </c>
      <c r="BN107" s="105">
        <v>45565</v>
      </c>
      <c r="BO107" s="98">
        <v>7</v>
      </c>
      <c r="BP107" s="116">
        <v>14.2857</v>
      </c>
      <c r="BQ107" s="114">
        <v>110907.37000000001</v>
      </c>
      <c r="BR107" s="107"/>
      <c r="BS107" s="114"/>
      <c r="BT107" s="106">
        <v>3960.96</v>
      </c>
      <c r="BU107" s="108">
        <v>1320.32</v>
      </c>
      <c r="BV107" s="108">
        <v>1320.32</v>
      </c>
      <c r="BW107" s="109">
        <v>7921.9199999999992</v>
      </c>
      <c r="BX107" s="110">
        <v>11882.88</v>
      </c>
      <c r="BY107" s="110"/>
      <c r="BZ107" s="110"/>
      <c r="CA107" s="108">
        <v>99024.49</v>
      </c>
    </row>
    <row r="108" spans="3:79" x14ac:dyDescent="0.3">
      <c r="C108" s="40" t="str">
        <f>Impuestos3225[[#This Row],[Familia]]</f>
        <v>SUV EV BYD</v>
      </c>
      <c r="D108" s="7">
        <f t="shared" si="20"/>
        <v>102</v>
      </c>
      <c r="E108" s="24" t="s">
        <v>85</v>
      </c>
      <c r="F108" s="24" t="s">
        <v>37</v>
      </c>
      <c r="G108" s="25" t="s">
        <v>34</v>
      </c>
      <c r="H108" s="24">
        <v>5410</v>
      </c>
      <c r="I108" s="80">
        <v>45565</v>
      </c>
      <c r="J108" s="8">
        <v>7</v>
      </c>
      <c r="K108" s="10">
        <v>14.2857</v>
      </c>
      <c r="L108" s="81">
        <v>110907.37000000001</v>
      </c>
      <c r="M108" s="82">
        <f>Impuestos3225[[#This Row],[Valor Adquisición (S/)]]*Impuestos3225[[#This Row],[Tasa  % ]]/100</f>
        <v>15843.894156090002</v>
      </c>
      <c r="N108" s="81">
        <f>Impuestos3225[[#This Row],[Depreciación Anual]]/12</f>
        <v>1320.3245130075002</v>
      </c>
      <c r="O108" s="83">
        <f ca="1">ROUNDDOWN((TODAY()-Impuestos3225[[#This Row],[Fecha de Activación Ingreso]])/365, 0)</f>
        <v>1</v>
      </c>
      <c r="P108" s="81">
        <f ca="1">MIN(Impuestos3225[[#This Row],[Depreciación Anual]] * Impuestos3225[[#This Row],[Años Transcurridos]], Impuestos3225[[#This Row],[Valor Adquisición (S/)]])</f>
        <v>15843.894156090002</v>
      </c>
      <c r="Q108" s="81">
        <f ca="1">MAX(Impuestos3225[[#This Row],[Valor Adquisición (S/)]]-Impuestos3225[[#This Row],[Depreciación Acumulada]], 0)</f>
        <v>95063.475843910011</v>
      </c>
      <c r="R108" s="81" t="str">
        <f ca="1">IF(Impuestos3225[[#This Row],[Valor Adquisición (S/)]]="","", IF(Impuestos3225[[#This Row],[Valor Neto Actual]]=0,"Veh. Ya no deprecia",""))</f>
        <v/>
      </c>
      <c r="S108" s="81" t="s">
        <v>54</v>
      </c>
      <c r="T108" s="81">
        <f>IFERROR(VLOOKUP(Impuestos3225[[#This Row],[Placa Vehiculo]],$AR$6:$CA$159,26,0),"")</f>
        <v>110907.37000000001</v>
      </c>
      <c r="U108" s="81" t="str">
        <f>IF(Impuestos3225[[#This Row],[Buscar Monto]]=Impuestos3225[[#This Row],[Valor Adquisición (S/)]],"ok","mal")</f>
        <v>ok</v>
      </c>
      <c r="V108" s="81"/>
      <c r="Z108" s="87"/>
      <c r="AR108" s="21" t="str">
        <f t="shared" si="21"/>
        <v>CNL-689</v>
      </c>
      <c r="AS108" s="21">
        <f t="shared" si="22"/>
        <v>4301</v>
      </c>
      <c r="AT108" s="21" t="s">
        <v>54</v>
      </c>
      <c r="AU108" s="98">
        <v>34</v>
      </c>
      <c r="AV108" s="112">
        <v>3341110</v>
      </c>
      <c r="AW108" s="99">
        <v>340208</v>
      </c>
      <c r="AX108" s="100">
        <v>343001000165</v>
      </c>
      <c r="AY108" s="101" t="s">
        <v>653</v>
      </c>
      <c r="AZ108" s="101" t="s">
        <v>790</v>
      </c>
      <c r="BA108" s="101"/>
      <c r="BB108" s="101"/>
      <c r="BC108" s="101"/>
      <c r="BD108" s="102">
        <v>202408026</v>
      </c>
      <c r="BE108" s="101" t="s">
        <v>351</v>
      </c>
      <c r="BF108" s="101"/>
      <c r="BG108" s="103" t="s">
        <v>34</v>
      </c>
      <c r="BH108" s="103" t="s">
        <v>6</v>
      </c>
      <c r="BI108" s="113" t="s">
        <v>832</v>
      </c>
      <c r="BJ108" s="117" t="s">
        <v>833</v>
      </c>
      <c r="BK108" s="104">
        <v>9111070</v>
      </c>
      <c r="BL108" s="118">
        <v>111070001</v>
      </c>
      <c r="BM108" s="104">
        <v>4301</v>
      </c>
      <c r="BN108" s="105">
        <v>45565</v>
      </c>
      <c r="BO108" s="98">
        <v>7</v>
      </c>
      <c r="BP108" s="116">
        <v>14.2857</v>
      </c>
      <c r="BQ108" s="114">
        <v>119555.37000000001</v>
      </c>
      <c r="BR108" s="107"/>
      <c r="BS108" s="114"/>
      <c r="BT108" s="106">
        <v>4269.84</v>
      </c>
      <c r="BU108" s="108">
        <v>1423.28</v>
      </c>
      <c r="BV108" s="108">
        <v>1423.28</v>
      </c>
      <c r="BW108" s="109">
        <v>8539.68</v>
      </c>
      <c r="BX108" s="110">
        <v>12809.52</v>
      </c>
      <c r="BY108" s="110"/>
      <c r="BZ108" s="110"/>
      <c r="CA108" s="108">
        <v>106745.85</v>
      </c>
    </row>
    <row r="109" spans="3:79" x14ac:dyDescent="0.3">
      <c r="C109" s="40" t="str">
        <f>Impuestos3225[[#This Row],[Familia]]</f>
        <v>SUV EV BYD</v>
      </c>
      <c r="D109" s="7">
        <f t="shared" si="20"/>
        <v>103</v>
      </c>
      <c r="E109" s="24" t="s">
        <v>102</v>
      </c>
      <c r="F109" s="24" t="s">
        <v>37</v>
      </c>
      <c r="G109" s="25" t="s">
        <v>34</v>
      </c>
      <c r="H109" s="24">
        <v>4301</v>
      </c>
      <c r="I109" s="80">
        <v>45565</v>
      </c>
      <c r="J109" s="8">
        <v>7</v>
      </c>
      <c r="K109" s="10">
        <v>14.2857</v>
      </c>
      <c r="L109" s="81">
        <v>119555.37000000001</v>
      </c>
      <c r="M109" s="82">
        <f>Impuestos3225[[#This Row],[Valor Adquisición (S/)]]*Impuestos3225[[#This Row],[Tasa  % ]]/100</f>
        <v>17079.321492090003</v>
      </c>
      <c r="N109" s="81">
        <f>Impuestos3225[[#This Row],[Depreciación Anual]]/12</f>
        <v>1423.2767910075002</v>
      </c>
      <c r="O109" s="83">
        <f ca="1">ROUNDDOWN((TODAY()-Impuestos3225[[#This Row],[Fecha de Activación Ingreso]])/365, 0)</f>
        <v>1</v>
      </c>
      <c r="P109" s="81">
        <f ca="1">MIN(Impuestos3225[[#This Row],[Depreciación Anual]] * Impuestos3225[[#This Row],[Años Transcurridos]], Impuestos3225[[#This Row],[Valor Adquisición (S/)]])</f>
        <v>17079.321492090003</v>
      </c>
      <c r="Q109" s="81">
        <f ca="1">MAX(Impuestos3225[[#This Row],[Valor Adquisición (S/)]]-Impuestos3225[[#This Row],[Depreciación Acumulada]], 0)</f>
        <v>102476.04850791</v>
      </c>
      <c r="R109" s="81" t="str">
        <f ca="1">IF(Impuestos3225[[#This Row],[Valor Adquisición (S/)]]="","", IF(Impuestos3225[[#This Row],[Valor Neto Actual]]=0,"Veh. Ya no deprecia",""))</f>
        <v/>
      </c>
      <c r="S109" s="81" t="s">
        <v>54</v>
      </c>
      <c r="T109" s="81">
        <f>IFERROR(VLOOKUP(Impuestos3225[[#This Row],[Placa Vehiculo]],$AR$6:$CA$159,26,0),"")</f>
        <v>119555.37000000001</v>
      </c>
      <c r="U109" s="81" t="str">
        <f>IF(Impuestos3225[[#This Row],[Buscar Monto]]=Impuestos3225[[#This Row],[Valor Adquisición (S/)]],"ok","mal")</f>
        <v>ok</v>
      </c>
      <c r="V109" s="81"/>
      <c r="Z109" s="87"/>
      <c r="AR109" s="21" t="str">
        <f t="shared" si="21"/>
        <v>CNL-017</v>
      </c>
      <c r="AS109" s="21">
        <f t="shared" si="22"/>
        <v>3201</v>
      </c>
      <c r="AT109" s="21" t="s">
        <v>39</v>
      </c>
      <c r="AU109" s="98">
        <v>34</v>
      </c>
      <c r="AV109" s="112">
        <v>3341110</v>
      </c>
      <c r="AW109" s="99">
        <v>340209</v>
      </c>
      <c r="AX109" s="100">
        <v>343001000166</v>
      </c>
      <c r="AY109" s="101" t="s">
        <v>653</v>
      </c>
      <c r="AZ109" s="101" t="s">
        <v>834</v>
      </c>
      <c r="BA109" s="101"/>
      <c r="BB109" s="101"/>
      <c r="BC109" s="101"/>
      <c r="BD109" s="102">
        <v>202408036</v>
      </c>
      <c r="BE109" s="101" t="s">
        <v>352</v>
      </c>
      <c r="BF109" s="101"/>
      <c r="BG109" s="103" t="s">
        <v>34</v>
      </c>
      <c r="BH109" s="103" t="s">
        <v>3</v>
      </c>
      <c r="BI109" s="113" t="s">
        <v>835</v>
      </c>
      <c r="BJ109" s="117" t="s">
        <v>836</v>
      </c>
      <c r="BK109" s="104">
        <v>9311090</v>
      </c>
      <c r="BL109" s="104">
        <v>311094001</v>
      </c>
      <c r="BM109" s="104">
        <v>3201</v>
      </c>
      <c r="BN109" s="105">
        <v>45565</v>
      </c>
      <c r="BO109" s="98">
        <v>7</v>
      </c>
      <c r="BP109" s="116">
        <v>14.2857</v>
      </c>
      <c r="BQ109" s="114">
        <v>195883.37</v>
      </c>
      <c r="BR109" s="107"/>
      <c r="BS109" s="114"/>
      <c r="BT109" s="106">
        <v>6995.82</v>
      </c>
      <c r="BU109" s="108">
        <v>2331.94</v>
      </c>
      <c r="BV109" s="108">
        <v>2331.94</v>
      </c>
      <c r="BW109" s="109">
        <v>13991.640000000001</v>
      </c>
      <c r="BX109" s="110">
        <v>20987.46</v>
      </c>
      <c r="BY109" s="110"/>
      <c r="BZ109" s="110"/>
      <c r="CA109" s="108">
        <v>174895.91</v>
      </c>
    </row>
    <row r="110" spans="3:79" x14ac:dyDescent="0.3">
      <c r="C110" s="40" t="str">
        <f>Impuestos3225[[#This Row],[Familia]]</f>
        <v>Sedan EV BYD (Gerencia)</v>
      </c>
      <c r="D110" s="7">
        <f t="shared" si="20"/>
        <v>104</v>
      </c>
      <c r="E110" s="24" t="s">
        <v>33</v>
      </c>
      <c r="F110" s="24" t="s">
        <v>37</v>
      </c>
      <c r="G110" s="25" t="s">
        <v>34</v>
      </c>
      <c r="H110" s="24">
        <v>3201</v>
      </c>
      <c r="I110" s="80">
        <v>45565</v>
      </c>
      <c r="J110" s="8">
        <v>7</v>
      </c>
      <c r="K110" s="10">
        <v>14.2857</v>
      </c>
      <c r="L110" s="81">
        <v>195883.37</v>
      </c>
      <c r="M110" s="82">
        <f>Impuestos3225[[#This Row],[Valor Adquisición (S/)]]*Impuestos3225[[#This Row],[Tasa  % ]]/100</f>
        <v>27983.31058809</v>
      </c>
      <c r="N110" s="81">
        <f>Impuestos3225[[#This Row],[Depreciación Anual]]/12</f>
        <v>2331.9425490075</v>
      </c>
      <c r="O110" s="83">
        <f ca="1">ROUNDDOWN((TODAY()-Impuestos3225[[#This Row],[Fecha de Activación Ingreso]])/365, 0)</f>
        <v>1</v>
      </c>
      <c r="P110" s="81">
        <f ca="1">MIN(Impuestos3225[[#This Row],[Depreciación Anual]] * Impuestos3225[[#This Row],[Años Transcurridos]], Impuestos3225[[#This Row],[Valor Adquisición (S/)]])</f>
        <v>27983.31058809</v>
      </c>
      <c r="Q110" s="81">
        <f ca="1">MAX(Impuestos3225[[#This Row],[Valor Adquisición (S/)]]-Impuestos3225[[#This Row],[Depreciación Acumulada]], 0)</f>
        <v>167900.05941190998</v>
      </c>
      <c r="R110" s="81" t="str">
        <f ca="1">IF(Impuestos3225[[#This Row],[Valor Adquisición (S/)]]="","", IF(Impuestos3225[[#This Row],[Valor Neto Actual]]=0,"Veh. Ya no deprecia",""))</f>
        <v/>
      </c>
      <c r="S110" s="81" t="s">
        <v>39</v>
      </c>
      <c r="T110" s="81">
        <f>IFERROR(VLOOKUP(Impuestos3225[[#This Row],[Placa Vehiculo]],$AR$6:$CA$159,26,0),"")</f>
        <v>195883.37</v>
      </c>
      <c r="U110" s="81" t="str">
        <f>IF(Impuestos3225[[#This Row],[Buscar Monto]]=Impuestos3225[[#This Row],[Valor Adquisición (S/)]],"ok","mal")</f>
        <v>ok</v>
      </c>
      <c r="V110" s="81"/>
      <c r="Z110" s="87"/>
      <c r="AR110" s="21" t="str">
        <f t="shared" si="21"/>
        <v>CAT-947</v>
      </c>
      <c r="AS110" s="21">
        <f t="shared" si="22"/>
        <v>3201</v>
      </c>
      <c r="AT110" s="21" t="s">
        <v>58</v>
      </c>
      <c r="AU110" s="98">
        <v>34</v>
      </c>
      <c r="AV110" s="112">
        <v>3341110</v>
      </c>
      <c r="AW110" s="99">
        <v>340210</v>
      </c>
      <c r="AX110" s="100">
        <v>343001000167</v>
      </c>
      <c r="AY110" s="101" t="s">
        <v>653</v>
      </c>
      <c r="AZ110" s="101" t="s">
        <v>778</v>
      </c>
      <c r="BA110" s="101"/>
      <c r="BB110" s="101"/>
      <c r="BC110" s="101"/>
      <c r="BD110" s="102">
        <v>202408038</v>
      </c>
      <c r="BE110" s="101" t="s">
        <v>355</v>
      </c>
      <c r="BF110" s="101"/>
      <c r="BG110" s="103" t="s">
        <v>34</v>
      </c>
      <c r="BH110" s="103" t="s">
        <v>7</v>
      </c>
      <c r="BI110" s="113" t="s">
        <v>837</v>
      </c>
      <c r="BJ110" s="117" t="s">
        <v>838</v>
      </c>
      <c r="BK110" s="104">
        <v>9311090</v>
      </c>
      <c r="BL110" s="104">
        <v>311094001</v>
      </c>
      <c r="BM110" s="104">
        <v>3201</v>
      </c>
      <c r="BN110" s="105">
        <v>45565</v>
      </c>
      <c r="BO110" s="98">
        <v>7</v>
      </c>
      <c r="BP110" s="116">
        <v>14.2857</v>
      </c>
      <c r="BQ110" s="114">
        <v>108651.37000000001</v>
      </c>
      <c r="BR110" s="107"/>
      <c r="BS110" s="114"/>
      <c r="BT110" s="106">
        <v>3880.41</v>
      </c>
      <c r="BU110" s="108">
        <v>1293.47</v>
      </c>
      <c r="BV110" s="108">
        <v>1293.47</v>
      </c>
      <c r="BW110" s="109">
        <v>7760.8200000000006</v>
      </c>
      <c r="BX110" s="110">
        <v>11641.23</v>
      </c>
      <c r="BY110" s="110"/>
      <c r="BZ110" s="110"/>
      <c r="CA110" s="108">
        <v>97010.140000000014</v>
      </c>
    </row>
    <row r="111" spans="3:79" x14ac:dyDescent="0.3">
      <c r="C111" s="40" t="str">
        <f>Impuestos3225[[#This Row],[Familia]]</f>
        <v>Van Cargo EV BYD</v>
      </c>
      <c r="D111" s="7">
        <f t="shared" si="20"/>
        <v>105</v>
      </c>
      <c r="E111" s="24" t="s">
        <v>62</v>
      </c>
      <c r="F111" s="24" t="s">
        <v>37</v>
      </c>
      <c r="G111" s="25" t="s">
        <v>34</v>
      </c>
      <c r="H111" s="24">
        <v>3201</v>
      </c>
      <c r="I111" s="80">
        <v>45565</v>
      </c>
      <c r="J111" s="8">
        <v>7</v>
      </c>
      <c r="K111" s="10">
        <v>14.2857</v>
      </c>
      <c r="L111" s="81">
        <v>108651.37000000001</v>
      </c>
      <c r="M111" s="82">
        <f>Impuestos3225[[#This Row],[Valor Adquisición (S/)]]*Impuestos3225[[#This Row],[Tasa  % ]]/100</f>
        <v>15521.608764090002</v>
      </c>
      <c r="N111" s="81">
        <f>Impuestos3225[[#This Row],[Depreciación Anual]]/12</f>
        <v>1293.4673970075003</v>
      </c>
      <c r="O111" s="83">
        <f ca="1">ROUNDDOWN((TODAY()-Impuestos3225[[#This Row],[Fecha de Activación Ingreso]])/365, 0)</f>
        <v>1</v>
      </c>
      <c r="P111" s="81">
        <f ca="1">MIN(Impuestos3225[[#This Row],[Depreciación Anual]] * Impuestos3225[[#This Row],[Años Transcurridos]], Impuestos3225[[#This Row],[Valor Adquisición (S/)]])</f>
        <v>15521.608764090002</v>
      </c>
      <c r="Q111" s="81">
        <f ca="1">MAX(Impuestos3225[[#This Row],[Valor Adquisición (S/)]]-Impuestos3225[[#This Row],[Depreciación Acumulada]], 0)</f>
        <v>93129.761235910002</v>
      </c>
      <c r="R111" s="81" t="str">
        <f ca="1">IF(Impuestos3225[[#This Row],[Valor Adquisición (S/)]]="","", IF(Impuestos3225[[#This Row],[Valor Neto Actual]]=0,"Veh. Ya no deprecia",""))</f>
        <v/>
      </c>
      <c r="S111" s="81" t="s">
        <v>58</v>
      </c>
      <c r="T111" s="81">
        <f>IFERROR(VLOOKUP(Impuestos3225[[#This Row],[Placa Vehiculo]],$AR$6:$CA$159,26,0),"")</f>
        <v>108651.37000000001</v>
      </c>
      <c r="U111" s="81" t="str">
        <f>IF(Impuestos3225[[#This Row],[Buscar Monto]]=Impuestos3225[[#This Row],[Valor Adquisición (S/)]],"ok","mal")</f>
        <v>ok</v>
      </c>
      <c r="V111" s="81"/>
      <c r="Z111" s="87"/>
      <c r="AR111" s="21" t="str">
        <f t="shared" si="21"/>
        <v>CNK-530</v>
      </c>
      <c r="AS111" s="21">
        <f t="shared" si="22"/>
        <v>3201</v>
      </c>
      <c r="AT111" s="21" t="s">
        <v>54</v>
      </c>
      <c r="AU111" s="98">
        <v>34</v>
      </c>
      <c r="AV111" s="112">
        <v>3341110</v>
      </c>
      <c r="AW111" s="99">
        <v>340211</v>
      </c>
      <c r="AX111" s="100">
        <v>343001000168</v>
      </c>
      <c r="AY111" s="101" t="s">
        <v>653</v>
      </c>
      <c r="AZ111" s="101" t="s">
        <v>786</v>
      </c>
      <c r="BA111" s="101"/>
      <c r="BB111" s="101"/>
      <c r="BC111" s="101"/>
      <c r="BD111" s="102">
        <v>202408001</v>
      </c>
      <c r="BE111" s="101" t="s">
        <v>358</v>
      </c>
      <c r="BF111" s="101"/>
      <c r="BG111" s="103" t="s">
        <v>34</v>
      </c>
      <c r="BH111" s="103" t="s">
        <v>787</v>
      </c>
      <c r="BI111" s="113" t="s">
        <v>839</v>
      </c>
      <c r="BJ111" s="117" t="s">
        <v>840</v>
      </c>
      <c r="BK111" s="104">
        <v>9311090</v>
      </c>
      <c r="BL111" s="104">
        <v>311094001</v>
      </c>
      <c r="BM111" s="104">
        <v>3201</v>
      </c>
      <c r="BN111" s="105">
        <v>45565</v>
      </c>
      <c r="BO111" s="98">
        <v>7</v>
      </c>
      <c r="BP111" s="116">
        <v>14.2857</v>
      </c>
      <c r="BQ111" s="114">
        <v>110907.37000000001</v>
      </c>
      <c r="BR111" s="107"/>
      <c r="BS111" s="114"/>
      <c r="BT111" s="106">
        <v>3960.96</v>
      </c>
      <c r="BU111" s="108">
        <v>1320.32</v>
      </c>
      <c r="BV111" s="108">
        <v>1320.32</v>
      </c>
      <c r="BW111" s="109">
        <v>7921.9199999999992</v>
      </c>
      <c r="BX111" s="110">
        <v>11882.88</v>
      </c>
      <c r="BY111" s="110"/>
      <c r="BZ111" s="110"/>
      <c r="CA111" s="108">
        <v>99024.49</v>
      </c>
    </row>
    <row r="112" spans="3:79" x14ac:dyDescent="0.3">
      <c r="C112" s="40" t="str">
        <f>Impuestos3225[[#This Row],[Familia]]</f>
        <v>SUV EV BYD</v>
      </c>
      <c r="D112" s="7">
        <f t="shared" si="20"/>
        <v>106</v>
      </c>
      <c r="E112" s="24" t="s">
        <v>81</v>
      </c>
      <c r="F112" s="24" t="s">
        <v>37</v>
      </c>
      <c r="G112" s="25" t="s">
        <v>34</v>
      </c>
      <c r="H112" s="24">
        <v>3201</v>
      </c>
      <c r="I112" s="80">
        <v>45565</v>
      </c>
      <c r="J112" s="8">
        <v>7</v>
      </c>
      <c r="K112" s="10">
        <v>14.2857</v>
      </c>
      <c r="L112" s="81">
        <v>110907.37000000001</v>
      </c>
      <c r="M112" s="82">
        <f>Impuestos3225[[#This Row],[Valor Adquisición (S/)]]*Impuestos3225[[#This Row],[Tasa  % ]]/100</f>
        <v>15843.894156090002</v>
      </c>
      <c r="N112" s="81">
        <f>Impuestos3225[[#This Row],[Depreciación Anual]]/12</f>
        <v>1320.3245130075002</v>
      </c>
      <c r="O112" s="83">
        <f ca="1">ROUNDDOWN((TODAY()-Impuestos3225[[#This Row],[Fecha de Activación Ingreso]])/365, 0)</f>
        <v>1</v>
      </c>
      <c r="P112" s="81">
        <f ca="1">MIN(Impuestos3225[[#This Row],[Depreciación Anual]] * Impuestos3225[[#This Row],[Años Transcurridos]], Impuestos3225[[#This Row],[Valor Adquisición (S/)]])</f>
        <v>15843.894156090002</v>
      </c>
      <c r="Q112" s="81">
        <f ca="1">MAX(Impuestos3225[[#This Row],[Valor Adquisición (S/)]]-Impuestos3225[[#This Row],[Depreciación Acumulada]], 0)</f>
        <v>95063.475843910011</v>
      </c>
      <c r="R112" s="81" t="str">
        <f ca="1">IF(Impuestos3225[[#This Row],[Valor Adquisición (S/)]]="","", IF(Impuestos3225[[#This Row],[Valor Neto Actual]]=0,"Veh. Ya no deprecia",""))</f>
        <v/>
      </c>
      <c r="S112" s="81" t="s">
        <v>54</v>
      </c>
      <c r="T112" s="81">
        <f>IFERROR(VLOOKUP(Impuestos3225[[#This Row],[Placa Vehiculo]],$AR$6:$CA$159,26,0),"")</f>
        <v>110907.37000000001</v>
      </c>
      <c r="U112" s="81" t="str">
        <f>IF(Impuestos3225[[#This Row],[Buscar Monto]]=Impuestos3225[[#This Row],[Valor Adquisición (S/)]],"ok","mal")</f>
        <v>ok</v>
      </c>
      <c r="V112" s="81"/>
      <c r="Z112" s="87"/>
      <c r="AR112" s="21" t="str">
        <f t="shared" si="21"/>
        <v>CNK-639</v>
      </c>
      <c r="AS112" s="21">
        <f t="shared" si="22"/>
        <v>4235</v>
      </c>
      <c r="AT112" s="21" t="s">
        <v>54</v>
      </c>
      <c r="AU112" s="98">
        <v>34</v>
      </c>
      <c r="AV112" s="112">
        <v>3341110</v>
      </c>
      <c r="AW112" s="99">
        <v>340212</v>
      </c>
      <c r="AX112" s="100">
        <v>343001000169</v>
      </c>
      <c r="AY112" s="101" t="s">
        <v>653</v>
      </c>
      <c r="AZ112" s="101" t="s">
        <v>790</v>
      </c>
      <c r="BA112" s="101"/>
      <c r="BB112" s="101"/>
      <c r="BC112" s="101"/>
      <c r="BD112" s="102">
        <v>202408006</v>
      </c>
      <c r="BE112" s="101" t="s">
        <v>362</v>
      </c>
      <c r="BF112" s="101"/>
      <c r="BG112" s="103" t="s">
        <v>34</v>
      </c>
      <c r="BH112" s="103" t="s">
        <v>6</v>
      </c>
      <c r="BI112" s="113" t="s">
        <v>841</v>
      </c>
      <c r="BJ112" s="117" t="s">
        <v>842</v>
      </c>
      <c r="BK112" s="104">
        <v>9111040</v>
      </c>
      <c r="BL112" s="104">
        <v>111040001</v>
      </c>
      <c r="BM112" s="104">
        <v>4235</v>
      </c>
      <c r="BN112" s="105">
        <v>45565</v>
      </c>
      <c r="BO112" s="98">
        <v>7</v>
      </c>
      <c r="BP112" s="116">
        <v>14.2857</v>
      </c>
      <c r="BQ112" s="114">
        <v>119555.37000000001</v>
      </c>
      <c r="BR112" s="107"/>
      <c r="BS112" s="114"/>
      <c r="BT112" s="106">
        <v>4269.84</v>
      </c>
      <c r="BU112" s="108">
        <v>1423.28</v>
      </c>
      <c r="BV112" s="108">
        <v>1423.28</v>
      </c>
      <c r="BW112" s="109">
        <v>8539.68</v>
      </c>
      <c r="BX112" s="110">
        <v>12809.52</v>
      </c>
      <c r="BY112" s="110"/>
      <c r="BZ112" s="110"/>
      <c r="CA112" s="108">
        <v>106745.85</v>
      </c>
    </row>
    <row r="113" spans="3:79" x14ac:dyDescent="0.3">
      <c r="C113" s="40" t="str">
        <f>Impuestos3225[[#This Row],[Familia]]</f>
        <v>SUV EV BYD</v>
      </c>
      <c r="D113" s="7">
        <f t="shared" si="20"/>
        <v>107</v>
      </c>
      <c r="E113" s="24" t="s">
        <v>107</v>
      </c>
      <c r="F113" s="24" t="s">
        <v>37</v>
      </c>
      <c r="G113" s="25" t="s">
        <v>34</v>
      </c>
      <c r="H113" s="24">
        <v>4235</v>
      </c>
      <c r="I113" s="80">
        <v>45565</v>
      </c>
      <c r="J113" s="8">
        <v>7</v>
      </c>
      <c r="K113" s="10">
        <v>14.2857</v>
      </c>
      <c r="L113" s="81">
        <v>119555.37000000001</v>
      </c>
      <c r="M113" s="82">
        <f>Impuestos3225[[#This Row],[Valor Adquisición (S/)]]*Impuestos3225[[#This Row],[Tasa  % ]]/100</f>
        <v>17079.321492090003</v>
      </c>
      <c r="N113" s="81">
        <f>Impuestos3225[[#This Row],[Depreciación Anual]]/12</f>
        <v>1423.2767910075002</v>
      </c>
      <c r="O113" s="83">
        <f ca="1">ROUNDDOWN((TODAY()-Impuestos3225[[#This Row],[Fecha de Activación Ingreso]])/365, 0)</f>
        <v>1</v>
      </c>
      <c r="P113" s="81">
        <f ca="1">MIN(Impuestos3225[[#This Row],[Depreciación Anual]] * Impuestos3225[[#This Row],[Años Transcurridos]], Impuestos3225[[#This Row],[Valor Adquisición (S/)]])</f>
        <v>17079.321492090003</v>
      </c>
      <c r="Q113" s="81">
        <f ca="1">MAX(Impuestos3225[[#This Row],[Valor Adquisición (S/)]]-Impuestos3225[[#This Row],[Depreciación Acumulada]], 0)</f>
        <v>102476.04850791</v>
      </c>
      <c r="R113" s="81" t="str">
        <f ca="1">IF(Impuestos3225[[#This Row],[Valor Adquisición (S/)]]="","", IF(Impuestos3225[[#This Row],[Valor Neto Actual]]=0,"Veh. Ya no deprecia",""))</f>
        <v/>
      </c>
      <c r="S113" s="81" t="s">
        <v>54</v>
      </c>
      <c r="T113" s="81">
        <f>IFERROR(VLOOKUP(Impuestos3225[[#This Row],[Placa Vehiculo]],$AR$6:$CA$159,26,0),"")</f>
        <v>119555.37000000001</v>
      </c>
      <c r="U113" s="81" t="str">
        <f>IF(Impuestos3225[[#This Row],[Buscar Monto]]=Impuestos3225[[#This Row],[Valor Adquisición (S/)]],"ok","mal")</f>
        <v>ok</v>
      </c>
      <c r="V113" s="81"/>
      <c r="Z113" s="87"/>
      <c r="AR113" s="21" t="str">
        <f t="shared" si="21"/>
        <v>CNK-646</v>
      </c>
      <c r="AS113" s="21">
        <f t="shared" si="22"/>
        <v>3201</v>
      </c>
      <c r="AT113" s="21" t="s">
        <v>54</v>
      </c>
      <c r="AU113" s="98">
        <v>34</v>
      </c>
      <c r="AV113" s="112">
        <v>3341110</v>
      </c>
      <c r="AW113" s="99">
        <v>340214</v>
      </c>
      <c r="AX113" s="100">
        <v>343001000171</v>
      </c>
      <c r="AY113" s="101" t="s">
        <v>653</v>
      </c>
      <c r="AZ113" s="101" t="s">
        <v>786</v>
      </c>
      <c r="BA113" s="101"/>
      <c r="BB113" s="101"/>
      <c r="BC113" s="101"/>
      <c r="BD113" s="102">
        <v>202408002</v>
      </c>
      <c r="BE113" s="101" t="s">
        <v>366</v>
      </c>
      <c r="BF113" s="101"/>
      <c r="BG113" s="103" t="s">
        <v>34</v>
      </c>
      <c r="BH113" s="103" t="s">
        <v>787</v>
      </c>
      <c r="BI113" s="113" t="s">
        <v>843</v>
      </c>
      <c r="BJ113" s="117" t="s">
        <v>844</v>
      </c>
      <c r="BK113" s="104">
        <v>9311090</v>
      </c>
      <c r="BL113" s="104">
        <v>311094001</v>
      </c>
      <c r="BM113" s="104">
        <v>3201</v>
      </c>
      <c r="BN113" s="105">
        <v>45565</v>
      </c>
      <c r="BO113" s="98">
        <v>7</v>
      </c>
      <c r="BP113" s="116">
        <v>14.2857</v>
      </c>
      <c r="BQ113" s="114">
        <v>110907.37000000001</v>
      </c>
      <c r="BR113" s="107"/>
      <c r="BS113" s="114"/>
      <c r="BT113" s="106">
        <v>3960.96</v>
      </c>
      <c r="BU113" s="108">
        <v>1320.32</v>
      </c>
      <c r="BV113" s="108">
        <v>1320.32</v>
      </c>
      <c r="BW113" s="109">
        <v>7921.9199999999992</v>
      </c>
      <c r="BX113" s="110">
        <v>11882.88</v>
      </c>
      <c r="BY113" s="110"/>
      <c r="BZ113" s="110"/>
      <c r="CA113" s="108">
        <v>99024.49</v>
      </c>
    </row>
    <row r="114" spans="3:79" x14ac:dyDescent="0.3">
      <c r="C114" s="40" t="str">
        <f>Impuestos3225[[#This Row],[Familia]]</f>
        <v>Van Cargo EV BYD</v>
      </c>
      <c r="D114" s="7">
        <f t="shared" si="20"/>
        <v>108</v>
      </c>
      <c r="E114" s="28" t="s">
        <v>68</v>
      </c>
      <c r="F114" s="24" t="s">
        <v>37</v>
      </c>
      <c r="G114" s="25" t="s">
        <v>34</v>
      </c>
      <c r="H114" s="24">
        <v>3201</v>
      </c>
      <c r="I114" s="80">
        <v>45565</v>
      </c>
      <c r="J114" s="8">
        <v>7</v>
      </c>
      <c r="K114" s="10">
        <v>14.2857</v>
      </c>
      <c r="L114" s="81">
        <v>108651.37000000001</v>
      </c>
      <c r="M114" s="82">
        <f>Impuestos3225[[#This Row],[Valor Adquisición (S/)]]*Impuestos3225[[#This Row],[Tasa  % ]]/100</f>
        <v>15521.608764090002</v>
      </c>
      <c r="N114" s="81">
        <f>Impuestos3225[[#This Row],[Depreciación Anual]]/12</f>
        <v>1293.4673970075003</v>
      </c>
      <c r="O114" s="83">
        <f ca="1">ROUNDDOWN((TODAY()-Impuestos3225[[#This Row],[Fecha de Activación Ingreso]])/365, 0)</f>
        <v>1</v>
      </c>
      <c r="P114" s="81">
        <f ca="1">MIN(Impuestos3225[[#This Row],[Depreciación Anual]] * Impuestos3225[[#This Row],[Años Transcurridos]], Impuestos3225[[#This Row],[Valor Adquisición (S/)]])</f>
        <v>15521.608764090002</v>
      </c>
      <c r="Q114" s="81">
        <f ca="1">MAX(Impuestos3225[[#This Row],[Valor Adquisición (S/)]]-Impuestos3225[[#This Row],[Depreciación Acumulada]], 0)</f>
        <v>93129.761235910002</v>
      </c>
      <c r="R114" s="81" t="str">
        <f ca="1">IF(Impuestos3225[[#This Row],[Valor Adquisición (S/)]]="","", IF(Impuestos3225[[#This Row],[Valor Neto Actual]]=0,"Veh. Ya no deprecia",""))</f>
        <v/>
      </c>
      <c r="S114" s="81" t="s">
        <v>58</v>
      </c>
      <c r="T114" s="81" t="str">
        <f>IFERROR(VLOOKUP(Impuestos3225[[#This Row],[Placa Vehiculo]],$AR$6:$CA$159,26,0),"")</f>
        <v/>
      </c>
      <c r="U114" s="81" t="str">
        <f>IF(Impuestos3225[[#This Row],[Buscar Monto]]=Impuestos3225[[#This Row],[Valor Adquisición (S/)]],"ok","mal")</f>
        <v>mal</v>
      </c>
      <c r="V114" s="81" t="s">
        <v>783</v>
      </c>
      <c r="Z114" s="87"/>
      <c r="AR114" s="21" t="str">
        <f t="shared" si="21"/>
        <v>CNK-485</v>
      </c>
      <c r="AS114" s="21">
        <f t="shared" si="22"/>
        <v>3201</v>
      </c>
      <c r="AT114" s="21" t="s">
        <v>54</v>
      </c>
      <c r="AU114" s="98">
        <v>34</v>
      </c>
      <c r="AV114" s="112">
        <v>3341110</v>
      </c>
      <c r="AW114" s="99">
        <v>340215</v>
      </c>
      <c r="AX114" s="100">
        <v>343001000172</v>
      </c>
      <c r="AY114" s="101" t="s">
        <v>653</v>
      </c>
      <c r="AZ114" s="101" t="s">
        <v>790</v>
      </c>
      <c r="BA114" s="101"/>
      <c r="BB114" s="101"/>
      <c r="BC114" s="101"/>
      <c r="BD114" s="102">
        <v>202408028</v>
      </c>
      <c r="BE114" s="101" t="s">
        <v>370</v>
      </c>
      <c r="BF114" s="101"/>
      <c r="BG114" s="103" t="s">
        <v>34</v>
      </c>
      <c r="BH114" s="103" t="s">
        <v>6</v>
      </c>
      <c r="BI114" s="113" t="s">
        <v>845</v>
      </c>
      <c r="BJ114" s="117" t="s">
        <v>846</v>
      </c>
      <c r="BK114" s="104">
        <v>9311090</v>
      </c>
      <c r="BL114" s="104">
        <v>311094001</v>
      </c>
      <c r="BM114" s="104">
        <v>3201</v>
      </c>
      <c r="BN114" s="105">
        <v>45565</v>
      </c>
      <c r="BO114" s="98">
        <v>7</v>
      </c>
      <c r="BP114" s="116">
        <v>14.2857</v>
      </c>
      <c r="BQ114" s="114">
        <v>119555.37000000001</v>
      </c>
      <c r="BR114" s="107"/>
      <c r="BS114" s="114"/>
      <c r="BT114" s="106">
        <v>4269.84</v>
      </c>
      <c r="BU114" s="108">
        <v>1423.28</v>
      </c>
      <c r="BV114" s="108">
        <v>1423.28</v>
      </c>
      <c r="BW114" s="109">
        <v>8539.68</v>
      </c>
      <c r="BX114" s="110">
        <v>12809.52</v>
      </c>
      <c r="BY114" s="110"/>
      <c r="BZ114" s="110"/>
      <c r="CA114" s="108">
        <v>106745.85</v>
      </c>
    </row>
    <row r="115" spans="3:79" x14ac:dyDescent="0.3">
      <c r="C115" s="40" t="str">
        <f>Impuestos3225[[#This Row],[Familia]]</f>
        <v>SUV EV BYD</v>
      </c>
      <c r="D115" s="7">
        <f t="shared" si="20"/>
        <v>109</v>
      </c>
      <c r="E115" s="24" t="s">
        <v>83</v>
      </c>
      <c r="F115" s="24" t="s">
        <v>37</v>
      </c>
      <c r="G115" s="25" t="s">
        <v>34</v>
      </c>
      <c r="H115" s="24">
        <v>3201</v>
      </c>
      <c r="I115" s="80">
        <v>45565</v>
      </c>
      <c r="J115" s="8">
        <v>7</v>
      </c>
      <c r="K115" s="10">
        <v>14.2857</v>
      </c>
      <c r="L115" s="81">
        <v>110907.37000000001</v>
      </c>
      <c r="M115" s="82">
        <f>Impuestos3225[[#This Row],[Valor Adquisición (S/)]]*Impuestos3225[[#This Row],[Tasa  % ]]/100</f>
        <v>15843.894156090002</v>
      </c>
      <c r="N115" s="81">
        <f>Impuestos3225[[#This Row],[Depreciación Anual]]/12</f>
        <v>1320.3245130075002</v>
      </c>
      <c r="O115" s="83">
        <f ca="1">ROUNDDOWN((TODAY()-Impuestos3225[[#This Row],[Fecha de Activación Ingreso]])/365, 0)</f>
        <v>1</v>
      </c>
      <c r="P115" s="81">
        <f ca="1">MIN(Impuestos3225[[#This Row],[Depreciación Anual]] * Impuestos3225[[#This Row],[Años Transcurridos]], Impuestos3225[[#This Row],[Valor Adquisición (S/)]])</f>
        <v>15843.894156090002</v>
      </c>
      <c r="Q115" s="81">
        <f ca="1">MAX(Impuestos3225[[#This Row],[Valor Adquisición (S/)]]-Impuestos3225[[#This Row],[Depreciación Acumulada]], 0)</f>
        <v>95063.475843910011</v>
      </c>
      <c r="R115" s="81" t="str">
        <f ca="1">IF(Impuestos3225[[#This Row],[Valor Adquisición (S/)]]="","", IF(Impuestos3225[[#This Row],[Valor Neto Actual]]=0,"Veh. Ya no deprecia",""))</f>
        <v/>
      </c>
      <c r="S115" s="81" t="s">
        <v>54</v>
      </c>
      <c r="T115" s="81">
        <f>IFERROR(VLOOKUP(Impuestos3225[[#This Row],[Placa Vehiculo]],$AR$6:$CA$159,26,0),"")</f>
        <v>110907.37000000001</v>
      </c>
      <c r="U115" s="81" t="str">
        <f>IF(Impuestos3225[[#This Row],[Buscar Monto]]=Impuestos3225[[#This Row],[Valor Adquisición (S/)]],"ok","mal")</f>
        <v>ok</v>
      </c>
      <c r="V115" s="81"/>
      <c r="Z115" s="87"/>
      <c r="AR115" s="21" t="str">
        <f t="shared" si="21"/>
        <v>CAU-746</v>
      </c>
      <c r="AS115" s="21">
        <f t="shared" si="22"/>
        <v>3201</v>
      </c>
      <c r="AT115" s="21" t="s">
        <v>58</v>
      </c>
      <c r="AU115" s="98">
        <v>34</v>
      </c>
      <c r="AV115" s="112">
        <v>3341110</v>
      </c>
      <c r="AW115" s="99">
        <v>340216</v>
      </c>
      <c r="AX115" s="100">
        <v>343001000173</v>
      </c>
      <c r="AY115" s="101" t="s">
        <v>653</v>
      </c>
      <c r="AZ115" s="101" t="s">
        <v>778</v>
      </c>
      <c r="BA115" s="101"/>
      <c r="BB115" s="101"/>
      <c r="BC115" s="101"/>
      <c r="BD115" s="102">
        <v>202408005</v>
      </c>
      <c r="BE115" s="101" t="s">
        <v>374</v>
      </c>
      <c r="BF115" s="101"/>
      <c r="BG115" s="103" t="s">
        <v>34</v>
      </c>
      <c r="BH115" s="103" t="s">
        <v>7</v>
      </c>
      <c r="BI115" s="113" t="s">
        <v>847</v>
      </c>
      <c r="BJ115" s="117" t="s">
        <v>848</v>
      </c>
      <c r="BK115" s="104">
        <v>9311090</v>
      </c>
      <c r="BL115" s="104">
        <v>311094001</v>
      </c>
      <c r="BM115" s="104">
        <v>3201</v>
      </c>
      <c r="BN115" s="105">
        <v>45565</v>
      </c>
      <c r="BO115" s="98">
        <v>7</v>
      </c>
      <c r="BP115" s="116">
        <v>14.2857</v>
      </c>
      <c r="BQ115" s="114">
        <v>108651.37000000001</v>
      </c>
      <c r="BR115" s="107"/>
      <c r="BS115" s="114"/>
      <c r="BT115" s="106">
        <v>3880.41</v>
      </c>
      <c r="BU115" s="108">
        <v>1293.47</v>
      </c>
      <c r="BV115" s="108">
        <v>1293.47</v>
      </c>
      <c r="BW115" s="109">
        <v>7760.8200000000006</v>
      </c>
      <c r="BX115" s="110">
        <v>11641.23</v>
      </c>
      <c r="BY115" s="110"/>
      <c r="BZ115" s="110"/>
      <c r="CA115" s="108">
        <v>97010.140000000014</v>
      </c>
    </row>
    <row r="116" spans="3:79" x14ac:dyDescent="0.3">
      <c r="C116" s="40" t="str">
        <f>Impuestos3225[[#This Row],[Familia]]</f>
        <v>SUV EV BYD</v>
      </c>
      <c r="D116" s="7">
        <f t="shared" si="20"/>
        <v>110</v>
      </c>
      <c r="E116" s="24" t="s">
        <v>98</v>
      </c>
      <c r="F116" s="24" t="s">
        <v>37</v>
      </c>
      <c r="G116" s="25" t="s">
        <v>34</v>
      </c>
      <c r="H116" s="24">
        <v>3201</v>
      </c>
      <c r="I116" s="80">
        <v>45565</v>
      </c>
      <c r="J116" s="8">
        <v>7</v>
      </c>
      <c r="K116" s="10">
        <v>14.2857</v>
      </c>
      <c r="L116" s="81">
        <v>119555.37000000001</v>
      </c>
      <c r="M116" s="82">
        <f>Impuestos3225[[#This Row],[Valor Adquisición (S/)]]*Impuestos3225[[#This Row],[Tasa  % ]]/100</f>
        <v>17079.321492090003</v>
      </c>
      <c r="N116" s="81">
        <f>Impuestos3225[[#This Row],[Depreciación Anual]]/12</f>
        <v>1423.2767910075002</v>
      </c>
      <c r="O116" s="83">
        <f ca="1">ROUNDDOWN((TODAY()-Impuestos3225[[#This Row],[Fecha de Activación Ingreso]])/365, 0)</f>
        <v>1</v>
      </c>
      <c r="P116" s="81">
        <f ca="1">MIN(Impuestos3225[[#This Row],[Depreciación Anual]] * Impuestos3225[[#This Row],[Años Transcurridos]], Impuestos3225[[#This Row],[Valor Adquisición (S/)]])</f>
        <v>17079.321492090003</v>
      </c>
      <c r="Q116" s="81">
        <f ca="1">MAX(Impuestos3225[[#This Row],[Valor Adquisición (S/)]]-Impuestos3225[[#This Row],[Depreciación Acumulada]], 0)</f>
        <v>102476.04850791</v>
      </c>
      <c r="R116" s="81" t="str">
        <f ca="1">IF(Impuestos3225[[#This Row],[Valor Adquisición (S/)]]="","", IF(Impuestos3225[[#This Row],[Valor Neto Actual]]=0,"Veh. Ya no deprecia",""))</f>
        <v/>
      </c>
      <c r="S116" s="81" t="s">
        <v>54</v>
      </c>
      <c r="T116" s="81">
        <f>IFERROR(VLOOKUP(Impuestos3225[[#This Row],[Placa Vehiculo]],$AR$6:$CA$159,26,0),"")</f>
        <v>119555.37000000001</v>
      </c>
      <c r="U116" s="81" t="str">
        <f>IF(Impuestos3225[[#This Row],[Buscar Monto]]=Impuestos3225[[#This Row],[Valor Adquisición (S/)]],"ok","mal")</f>
        <v>ok</v>
      </c>
      <c r="V116" s="81"/>
      <c r="Z116" s="87"/>
      <c r="AR116" s="21" t="str">
        <f t="shared" si="21"/>
        <v>CNL-003</v>
      </c>
      <c r="AS116" s="21">
        <f t="shared" si="22"/>
        <v>3201</v>
      </c>
      <c r="AT116" s="21" t="s">
        <v>54</v>
      </c>
      <c r="AU116" s="98">
        <v>34</v>
      </c>
      <c r="AV116" s="112">
        <v>3341110</v>
      </c>
      <c r="AW116" s="99">
        <v>340217</v>
      </c>
      <c r="AX116" s="100">
        <v>343001000174</v>
      </c>
      <c r="AY116" s="101" t="s">
        <v>653</v>
      </c>
      <c r="AZ116" s="101" t="s">
        <v>786</v>
      </c>
      <c r="BA116" s="101"/>
      <c r="BB116" s="101"/>
      <c r="BC116" s="101"/>
      <c r="BD116" s="102">
        <v>202408011</v>
      </c>
      <c r="BE116" s="101" t="s">
        <v>381</v>
      </c>
      <c r="BF116" s="101"/>
      <c r="BG116" s="103" t="s">
        <v>34</v>
      </c>
      <c r="BH116" s="103" t="s">
        <v>787</v>
      </c>
      <c r="BI116" s="113" t="s">
        <v>849</v>
      </c>
      <c r="BJ116" s="117" t="s">
        <v>850</v>
      </c>
      <c r="BK116" s="104">
        <v>9311090</v>
      </c>
      <c r="BL116" s="104">
        <v>311094001</v>
      </c>
      <c r="BM116" s="104">
        <v>3201</v>
      </c>
      <c r="BN116" s="105">
        <v>45565</v>
      </c>
      <c r="BO116" s="98">
        <v>7</v>
      </c>
      <c r="BP116" s="116">
        <v>14.2857</v>
      </c>
      <c r="BQ116" s="114">
        <v>110907.37000000001</v>
      </c>
      <c r="BR116" s="107"/>
      <c r="BS116" s="114"/>
      <c r="BT116" s="106">
        <v>3960.96</v>
      </c>
      <c r="BU116" s="108">
        <v>1320.32</v>
      </c>
      <c r="BV116" s="108">
        <v>1320.32</v>
      </c>
      <c r="BW116" s="109">
        <v>7921.9199999999992</v>
      </c>
      <c r="BX116" s="110">
        <v>11882.88</v>
      </c>
      <c r="BY116" s="110"/>
      <c r="BZ116" s="110"/>
      <c r="CA116" s="108">
        <v>99024.49</v>
      </c>
    </row>
    <row r="117" spans="3:79" x14ac:dyDescent="0.3">
      <c r="C117" s="40" t="str">
        <f>Impuestos3225[[#This Row],[Familia]]</f>
        <v>Van Cargo EV BYD</v>
      </c>
      <c r="D117" s="7">
        <f t="shared" si="20"/>
        <v>111</v>
      </c>
      <c r="E117" s="24" t="s">
        <v>59</v>
      </c>
      <c r="F117" s="24" t="s">
        <v>37</v>
      </c>
      <c r="G117" s="25" t="s">
        <v>34</v>
      </c>
      <c r="H117" s="24">
        <v>3201</v>
      </c>
      <c r="I117" s="80">
        <v>45565</v>
      </c>
      <c r="J117" s="8">
        <v>7</v>
      </c>
      <c r="K117" s="10">
        <v>14.2857</v>
      </c>
      <c r="L117" s="81">
        <v>108651.37000000001</v>
      </c>
      <c r="M117" s="82">
        <f>Impuestos3225[[#This Row],[Valor Adquisición (S/)]]*Impuestos3225[[#This Row],[Tasa  % ]]/100</f>
        <v>15521.608764090002</v>
      </c>
      <c r="N117" s="81">
        <f>Impuestos3225[[#This Row],[Depreciación Anual]]/12</f>
        <v>1293.4673970075003</v>
      </c>
      <c r="O117" s="83">
        <f ca="1">ROUNDDOWN((TODAY()-Impuestos3225[[#This Row],[Fecha de Activación Ingreso]])/365, 0)</f>
        <v>1</v>
      </c>
      <c r="P117" s="81">
        <f ca="1">MIN(Impuestos3225[[#This Row],[Depreciación Anual]] * Impuestos3225[[#This Row],[Años Transcurridos]], Impuestos3225[[#This Row],[Valor Adquisición (S/)]])</f>
        <v>15521.608764090002</v>
      </c>
      <c r="Q117" s="81">
        <f ca="1">MAX(Impuestos3225[[#This Row],[Valor Adquisición (S/)]]-Impuestos3225[[#This Row],[Depreciación Acumulada]], 0)</f>
        <v>93129.761235910002</v>
      </c>
      <c r="R117" s="81" t="str">
        <f ca="1">IF(Impuestos3225[[#This Row],[Valor Adquisición (S/)]]="","", IF(Impuestos3225[[#This Row],[Valor Neto Actual]]=0,"Veh. Ya no deprecia",""))</f>
        <v/>
      </c>
      <c r="S117" s="81" t="s">
        <v>58</v>
      </c>
      <c r="T117" s="81">
        <f>IFERROR(VLOOKUP(Impuestos3225[[#This Row],[Placa Vehiculo]],$AR$6:$CA$159,26,0),"")</f>
        <v>108651.37000000001</v>
      </c>
      <c r="U117" s="81" t="str">
        <f>IF(Impuestos3225[[#This Row],[Buscar Monto]]=Impuestos3225[[#This Row],[Valor Adquisición (S/)]],"ok","mal")</f>
        <v>ok</v>
      </c>
      <c r="V117" s="81"/>
      <c r="Z117" s="87"/>
      <c r="AR117" s="21" t="str">
        <f t="shared" si="21"/>
        <v>CNK-542</v>
      </c>
      <c r="AS117" s="21">
        <f t="shared" si="22"/>
        <v>3201</v>
      </c>
      <c r="AT117" s="21" t="s">
        <v>54</v>
      </c>
      <c r="AU117" s="98">
        <v>34</v>
      </c>
      <c r="AV117" s="112">
        <v>3341110</v>
      </c>
      <c r="AW117" s="99">
        <v>340218</v>
      </c>
      <c r="AX117" s="100">
        <v>343001000175</v>
      </c>
      <c r="AY117" s="101" t="s">
        <v>653</v>
      </c>
      <c r="AZ117" s="101" t="s">
        <v>790</v>
      </c>
      <c r="BA117" s="101"/>
      <c r="BB117" s="101"/>
      <c r="BC117" s="101"/>
      <c r="BD117" s="102">
        <v>202408012</v>
      </c>
      <c r="BE117" s="101" t="s">
        <v>386</v>
      </c>
      <c r="BF117" s="101"/>
      <c r="BG117" s="103" t="s">
        <v>34</v>
      </c>
      <c r="BH117" s="103" t="s">
        <v>6</v>
      </c>
      <c r="BI117" s="113" t="s">
        <v>851</v>
      </c>
      <c r="BJ117" s="117" t="s">
        <v>852</v>
      </c>
      <c r="BK117" s="104">
        <v>9311090</v>
      </c>
      <c r="BL117" s="104">
        <v>311094001</v>
      </c>
      <c r="BM117" s="104">
        <v>3201</v>
      </c>
      <c r="BN117" s="105">
        <v>45565</v>
      </c>
      <c r="BO117" s="98">
        <v>7</v>
      </c>
      <c r="BP117" s="116">
        <v>14.2857</v>
      </c>
      <c r="BQ117" s="114">
        <v>119555.37000000001</v>
      </c>
      <c r="BR117" s="107"/>
      <c r="BS117" s="114"/>
      <c r="BT117" s="106">
        <v>4269.84</v>
      </c>
      <c r="BU117" s="108">
        <v>1423.28</v>
      </c>
      <c r="BV117" s="108">
        <v>1423.28</v>
      </c>
      <c r="BW117" s="109">
        <v>8539.68</v>
      </c>
      <c r="BX117" s="110">
        <v>12809.52</v>
      </c>
      <c r="BY117" s="110"/>
      <c r="BZ117" s="110"/>
      <c r="CA117" s="108">
        <v>106745.85</v>
      </c>
    </row>
    <row r="118" spans="3:79" x14ac:dyDescent="0.3">
      <c r="C118" s="40" t="str">
        <f>Impuestos3225[[#This Row],[Familia]]</f>
        <v>SUV EV BYD</v>
      </c>
      <c r="D118" s="7">
        <f t="shared" si="20"/>
        <v>112</v>
      </c>
      <c r="E118" s="24" t="s">
        <v>79</v>
      </c>
      <c r="F118" s="24" t="s">
        <v>37</v>
      </c>
      <c r="G118" s="25" t="s">
        <v>34</v>
      </c>
      <c r="H118" s="24">
        <v>3201</v>
      </c>
      <c r="I118" s="80">
        <v>45565</v>
      </c>
      <c r="J118" s="8">
        <v>7</v>
      </c>
      <c r="K118" s="10">
        <v>14.2857</v>
      </c>
      <c r="L118" s="81">
        <v>110907.37000000001</v>
      </c>
      <c r="M118" s="82">
        <f>Impuestos3225[[#This Row],[Valor Adquisición (S/)]]*Impuestos3225[[#This Row],[Tasa  % ]]/100</f>
        <v>15843.894156090002</v>
      </c>
      <c r="N118" s="81">
        <f>Impuestos3225[[#This Row],[Depreciación Anual]]/12</f>
        <v>1320.3245130075002</v>
      </c>
      <c r="O118" s="83">
        <f ca="1">ROUNDDOWN((TODAY()-Impuestos3225[[#This Row],[Fecha de Activación Ingreso]])/365, 0)</f>
        <v>1</v>
      </c>
      <c r="P118" s="81">
        <f ca="1">MIN(Impuestos3225[[#This Row],[Depreciación Anual]] * Impuestos3225[[#This Row],[Años Transcurridos]], Impuestos3225[[#This Row],[Valor Adquisición (S/)]])</f>
        <v>15843.894156090002</v>
      </c>
      <c r="Q118" s="81">
        <f ca="1">MAX(Impuestos3225[[#This Row],[Valor Adquisición (S/)]]-Impuestos3225[[#This Row],[Depreciación Acumulada]], 0)</f>
        <v>95063.475843910011</v>
      </c>
      <c r="R118" s="81" t="str">
        <f ca="1">IF(Impuestos3225[[#This Row],[Valor Adquisición (S/)]]="","", IF(Impuestos3225[[#This Row],[Valor Neto Actual]]=0,"Veh. Ya no deprecia",""))</f>
        <v/>
      </c>
      <c r="S118" s="81" t="s">
        <v>54</v>
      </c>
      <c r="T118" s="81">
        <f>IFERROR(VLOOKUP(Impuestos3225[[#This Row],[Placa Vehiculo]],$AR$6:$CA$159,26,0),"")</f>
        <v>110907.37000000001</v>
      </c>
      <c r="U118" s="81" t="str">
        <f>IF(Impuestos3225[[#This Row],[Buscar Monto]]=Impuestos3225[[#This Row],[Valor Adquisición (S/)]],"ok","mal")</f>
        <v>ok</v>
      </c>
      <c r="V118" s="81"/>
      <c r="Z118" s="87"/>
      <c r="AR118" s="21" t="str">
        <f t="shared" si="21"/>
        <v>CAT-936</v>
      </c>
      <c r="AS118" s="21">
        <f t="shared" si="22"/>
        <v>3201</v>
      </c>
      <c r="AT118" s="21" t="s">
        <v>58</v>
      </c>
      <c r="AU118" s="98">
        <v>34</v>
      </c>
      <c r="AV118" s="112">
        <v>3341110</v>
      </c>
      <c r="AW118" s="99">
        <v>340219</v>
      </c>
      <c r="AX118" s="100">
        <v>343001000176</v>
      </c>
      <c r="AY118" s="101" t="s">
        <v>653</v>
      </c>
      <c r="AZ118" s="101" t="s">
        <v>778</v>
      </c>
      <c r="BA118" s="101"/>
      <c r="BB118" s="101"/>
      <c r="BC118" s="101"/>
      <c r="BD118" s="102">
        <v>202408040</v>
      </c>
      <c r="BE118" s="101" t="s">
        <v>391</v>
      </c>
      <c r="BF118" s="101"/>
      <c r="BG118" s="103" t="s">
        <v>34</v>
      </c>
      <c r="BH118" s="103" t="s">
        <v>7</v>
      </c>
      <c r="BI118" s="113" t="s">
        <v>853</v>
      </c>
      <c r="BJ118" s="117" t="s">
        <v>854</v>
      </c>
      <c r="BK118" s="104">
        <v>9311090</v>
      </c>
      <c r="BL118" s="104">
        <v>311094001</v>
      </c>
      <c r="BM118" s="104">
        <v>3201</v>
      </c>
      <c r="BN118" s="105">
        <v>45565</v>
      </c>
      <c r="BO118" s="98">
        <v>7</v>
      </c>
      <c r="BP118" s="116">
        <v>14.2857</v>
      </c>
      <c r="BQ118" s="114">
        <v>108651.37000000001</v>
      </c>
      <c r="BR118" s="107"/>
      <c r="BS118" s="114"/>
      <c r="BT118" s="106">
        <v>3880.41</v>
      </c>
      <c r="BU118" s="108">
        <v>1293.47</v>
      </c>
      <c r="BV118" s="108">
        <v>1293.47</v>
      </c>
      <c r="BW118" s="109">
        <v>7760.8200000000006</v>
      </c>
      <c r="BX118" s="110">
        <v>11641.23</v>
      </c>
      <c r="BY118" s="110"/>
      <c r="BZ118" s="110"/>
      <c r="CA118" s="108">
        <v>97010.140000000014</v>
      </c>
    </row>
    <row r="119" spans="3:79" x14ac:dyDescent="0.3">
      <c r="C119" s="40" t="str">
        <f>Impuestos3225[[#This Row],[Familia]]</f>
        <v>SUV EV BYD</v>
      </c>
      <c r="D119" s="7">
        <f t="shared" si="20"/>
        <v>113</v>
      </c>
      <c r="E119" s="24" t="s">
        <v>93</v>
      </c>
      <c r="F119" s="24" t="s">
        <v>37</v>
      </c>
      <c r="G119" s="25" t="s">
        <v>34</v>
      </c>
      <c r="H119" s="24">
        <v>3201</v>
      </c>
      <c r="I119" s="80">
        <v>45565</v>
      </c>
      <c r="J119" s="8">
        <v>7</v>
      </c>
      <c r="K119" s="10">
        <v>14.2857</v>
      </c>
      <c r="L119" s="81">
        <v>119555.37000000001</v>
      </c>
      <c r="M119" s="82">
        <f>Impuestos3225[[#This Row],[Valor Adquisición (S/)]]*Impuestos3225[[#This Row],[Tasa  % ]]/100</f>
        <v>17079.321492090003</v>
      </c>
      <c r="N119" s="81">
        <f>Impuestos3225[[#This Row],[Depreciación Anual]]/12</f>
        <v>1423.2767910075002</v>
      </c>
      <c r="O119" s="83">
        <f ca="1">ROUNDDOWN((TODAY()-Impuestos3225[[#This Row],[Fecha de Activación Ingreso]])/365, 0)</f>
        <v>1</v>
      </c>
      <c r="P119" s="81">
        <f ca="1">MIN(Impuestos3225[[#This Row],[Depreciación Anual]] * Impuestos3225[[#This Row],[Años Transcurridos]], Impuestos3225[[#This Row],[Valor Adquisición (S/)]])</f>
        <v>17079.321492090003</v>
      </c>
      <c r="Q119" s="81">
        <f ca="1">MAX(Impuestos3225[[#This Row],[Valor Adquisición (S/)]]-Impuestos3225[[#This Row],[Depreciación Acumulada]], 0)</f>
        <v>102476.04850791</v>
      </c>
      <c r="R119" s="81" t="str">
        <f ca="1">IF(Impuestos3225[[#This Row],[Valor Adquisición (S/)]]="","", IF(Impuestos3225[[#This Row],[Valor Neto Actual]]=0,"Veh. Ya no deprecia",""))</f>
        <v/>
      </c>
      <c r="S119" s="81" t="s">
        <v>54</v>
      </c>
      <c r="T119" s="81">
        <f>IFERROR(VLOOKUP(Impuestos3225[[#This Row],[Placa Vehiculo]],$AR$6:$CA$159,26,0),"")</f>
        <v>119555.37000000001</v>
      </c>
      <c r="U119" s="81" t="str">
        <f>IF(Impuestos3225[[#This Row],[Buscar Monto]]=Impuestos3225[[#This Row],[Valor Adquisición (S/)]],"ok","mal")</f>
        <v>ok</v>
      </c>
      <c r="V119" s="81"/>
      <c r="Z119" s="87"/>
      <c r="AR119" s="21" t="str">
        <f t="shared" si="21"/>
        <v>CNK-622</v>
      </c>
      <c r="AS119" s="21">
        <f t="shared" si="22"/>
        <v>3201</v>
      </c>
      <c r="AT119" s="21" t="s">
        <v>54</v>
      </c>
      <c r="AU119" s="98">
        <v>34</v>
      </c>
      <c r="AV119" s="112">
        <v>3341110</v>
      </c>
      <c r="AW119" s="99">
        <v>340220</v>
      </c>
      <c r="AX119" s="100">
        <v>343001000177</v>
      </c>
      <c r="AY119" s="101" t="s">
        <v>653</v>
      </c>
      <c r="AZ119" s="101" t="s">
        <v>786</v>
      </c>
      <c r="BA119" s="101"/>
      <c r="BB119" s="101"/>
      <c r="BC119" s="101"/>
      <c r="BD119" s="102">
        <v>202408027</v>
      </c>
      <c r="BE119" s="101" t="s">
        <v>393</v>
      </c>
      <c r="BF119" s="101"/>
      <c r="BG119" s="103" t="s">
        <v>34</v>
      </c>
      <c r="BH119" s="103" t="s">
        <v>787</v>
      </c>
      <c r="BI119" s="113" t="s">
        <v>855</v>
      </c>
      <c r="BJ119" s="117" t="s">
        <v>856</v>
      </c>
      <c r="BK119" s="104">
        <v>9311090</v>
      </c>
      <c r="BL119" s="104">
        <v>311094001</v>
      </c>
      <c r="BM119" s="104">
        <v>3201</v>
      </c>
      <c r="BN119" s="105">
        <v>45565</v>
      </c>
      <c r="BO119" s="98">
        <v>7</v>
      </c>
      <c r="BP119" s="116">
        <v>14.2857</v>
      </c>
      <c r="BQ119" s="114">
        <v>110907.37000000001</v>
      </c>
      <c r="BR119" s="107"/>
      <c r="BS119" s="114"/>
      <c r="BT119" s="106">
        <v>3960.96</v>
      </c>
      <c r="BU119" s="108">
        <v>1320.32</v>
      </c>
      <c r="BV119" s="108">
        <v>1320.32</v>
      </c>
      <c r="BW119" s="109">
        <v>7921.9199999999992</v>
      </c>
      <c r="BX119" s="110">
        <v>11882.88</v>
      </c>
      <c r="BY119" s="110"/>
      <c r="BZ119" s="110"/>
      <c r="CA119" s="108">
        <v>99024.49</v>
      </c>
    </row>
    <row r="120" spans="3:79" x14ac:dyDescent="0.3">
      <c r="C120" s="40" t="str">
        <f>Impuestos3225[[#This Row],[Familia]]</f>
        <v>Van Cargo EV BYD</v>
      </c>
      <c r="D120" s="7">
        <f t="shared" si="20"/>
        <v>114</v>
      </c>
      <c r="E120" s="24" t="s">
        <v>64</v>
      </c>
      <c r="F120" s="24" t="s">
        <v>37</v>
      </c>
      <c r="G120" s="25" t="s">
        <v>34</v>
      </c>
      <c r="H120" s="24">
        <v>3201</v>
      </c>
      <c r="I120" s="80">
        <v>45565</v>
      </c>
      <c r="J120" s="8">
        <v>7</v>
      </c>
      <c r="K120" s="10">
        <v>14.2857</v>
      </c>
      <c r="L120" s="81">
        <v>108651.37000000001</v>
      </c>
      <c r="M120" s="82">
        <f>Impuestos3225[[#This Row],[Valor Adquisición (S/)]]*Impuestos3225[[#This Row],[Tasa  % ]]/100</f>
        <v>15521.608764090002</v>
      </c>
      <c r="N120" s="81">
        <f>Impuestos3225[[#This Row],[Depreciación Anual]]/12</f>
        <v>1293.4673970075003</v>
      </c>
      <c r="O120" s="83">
        <f ca="1">ROUNDDOWN((TODAY()-Impuestos3225[[#This Row],[Fecha de Activación Ingreso]])/365, 0)</f>
        <v>1</v>
      </c>
      <c r="P120" s="81">
        <f ca="1">MIN(Impuestos3225[[#This Row],[Depreciación Anual]] * Impuestos3225[[#This Row],[Años Transcurridos]], Impuestos3225[[#This Row],[Valor Adquisición (S/)]])</f>
        <v>15521.608764090002</v>
      </c>
      <c r="Q120" s="81">
        <f ca="1">MAX(Impuestos3225[[#This Row],[Valor Adquisición (S/)]]-Impuestos3225[[#This Row],[Depreciación Acumulada]], 0)</f>
        <v>93129.761235910002</v>
      </c>
      <c r="R120" s="81" t="str">
        <f ca="1">IF(Impuestos3225[[#This Row],[Valor Adquisición (S/)]]="","", IF(Impuestos3225[[#This Row],[Valor Neto Actual]]=0,"Veh. Ya no deprecia",""))</f>
        <v/>
      </c>
      <c r="S120" s="81" t="s">
        <v>58</v>
      </c>
      <c r="T120" s="81">
        <f>IFERROR(VLOOKUP(Impuestos3225[[#This Row],[Placa Vehiculo]],$AR$6:$CA$159,26,0),"")</f>
        <v>108651.37000000001</v>
      </c>
      <c r="U120" s="81" t="str">
        <f>IF(Impuestos3225[[#This Row],[Buscar Monto]]=Impuestos3225[[#This Row],[Valor Adquisición (S/)]],"ok","mal")</f>
        <v>ok</v>
      </c>
      <c r="V120" s="81"/>
      <c r="Z120" s="87"/>
      <c r="AR120" s="21" t="str">
        <f t="shared" si="21"/>
        <v>CNL-076</v>
      </c>
      <c r="AS120" s="21">
        <f t="shared" si="22"/>
        <v>3201</v>
      </c>
      <c r="AT120" s="21" t="s">
        <v>54</v>
      </c>
      <c r="AU120" s="98">
        <v>34</v>
      </c>
      <c r="AV120" s="112">
        <v>3341110</v>
      </c>
      <c r="AW120" s="99">
        <v>340221</v>
      </c>
      <c r="AX120" s="100">
        <v>343001000178</v>
      </c>
      <c r="AY120" s="101" t="s">
        <v>653</v>
      </c>
      <c r="AZ120" s="101" t="s">
        <v>790</v>
      </c>
      <c r="BA120" s="101"/>
      <c r="BB120" s="101"/>
      <c r="BC120" s="101"/>
      <c r="BD120" s="102">
        <v>202408013</v>
      </c>
      <c r="BE120" s="101" t="s">
        <v>395</v>
      </c>
      <c r="BF120" s="101"/>
      <c r="BG120" s="103" t="s">
        <v>34</v>
      </c>
      <c r="BH120" s="103" t="s">
        <v>6</v>
      </c>
      <c r="BI120" s="113" t="s">
        <v>857</v>
      </c>
      <c r="BJ120" s="117" t="s">
        <v>858</v>
      </c>
      <c r="BK120" s="104">
        <v>9311090</v>
      </c>
      <c r="BL120" s="104">
        <v>311094001</v>
      </c>
      <c r="BM120" s="104">
        <v>3201</v>
      </c>
      <c r="BN120" s="105">
        <v>45565</v>
      </c>
      <c r="BO120" s="98">
        <v>7</v>
      </c>
      <c r="BP120" s="116">
        <v>14.2857</v>
      </c>
      <c r="BQ120" s="114">
        <v>119555.37000000001</v>
      </c>
      <c r="BR120" s="107"/>
      <c r="BS120" s="114"/>
      <c r="BT120" s="106">
        <v>4269.84</v>
      </c>
      <c r="BU120" s="108">
        <v>1423.28</v>
      </c>
      <c r="BV120" s="108">
        <v>1423.28</v>
      </c>
      <c r="BW120" s="109">
        <v>8539.68</v>
      </c>
      <c r="BX120" s="110">
        <v>12809.52</v>
      </c>
      <c r="BY120" s="110"/>
      <c r="BZ120" s="110"/>
      <c r="CA120" s="108">
        <v>106745.85</v>
      </c>
    </row>
    <row r="121" spans="3:79" x14ac:dyDescent="0.3">
      <c r="C121" s="40" t="str">
        <f>Impuestos3225[[#This Row],[Familia]]</f>
        <v>SUV EV BYD</v>
      </c>
      <c r="D121" s="7">
        <f t="shared" si="20"/>
        <v>115</v>
      </c>
      <c r="E121" s="24" t="s">
        <v>72</v>
      </c>
      <c r="F121" s="24" t="s">
        <v>37</v>
      </c>
      <c r="G121" s="25" t="s">
        <v>34</v>
      </c>
      <c r="H121" s="24">
        <v>3201</v>
      </c>
      <c r="I121" s="80">
        <v>45565</v>
      </c>
      <c r="J121" s="8">
        <v>7</v>
      </c>
      <c r="K121" s="10">
        <v>14.2857</v>
      </c>
      <c r="L121" s="81">
        <v>110907.37000000001</v>
      </c>
      <c r="M121" s="82">
        <f>Impuestos3225[[#This Row],[Valor Adquisición (S/)]]*Impuestos3225[[#This Row],[Tasa  % ]]/100</f>
        <v>15843.894156090002</v>
      </c>
      <c r="N121" s="81">
        <f>Impuestos3225[[#This Row],[Depreciación Anual]]/12</f>
        <v>1320.3245130075002</v>
      </c>
      <c r="O121" s="83">
        <f ca="1">ROUNDDOWN((TODAY()-Impuestos3225[[#This Row],[Fecha de Activación Ingreso]])/365, 0)</f>
        <v>1</v>
      </c>
      <c r="P121" s="81">
        <f ca="1">MIN(Impuestos3225[[#This Row],[Depreciación Anual]] * Impuestos3225[[#This Row],[Años Transcurridos]], Impuestos3225[[#This Row],[Valor Adquisición (S/)]])</f>
        <v>15843.894156090002</v>
      </c>
      <c r="Q121" s="81">
        <f ca="1">MAX(Impuestos3225[[#This Row],[Valor Adquisición (S/)]]-Impuestos3225[[#This Row],[Depreciación Acumulada]], 0)</f>
        <v>95063.475843910011</v>
      </c>
      <c r="R121" s="81" t="str">
        <f ca="1">IF(Impuestos3225[[#This Row],[Valor Adquisición (S/)]]="","", IF(Impuestos3225[[#This Row],[Valor Neto Actual]]=0,"Veh. Ya no deprecia",""))</f>
        <v/>
      </c>
      <c r="S121" s="81" t="s">
        <v>54</v>
      </c>
      <c r="T121" s="81">
        <f>IFERROR(VLOOKUP(Impuestos3225[[#This Row],[Placa Vehiculo]],$AR$6:$CA$159,26,0),"")</f>
        <v>110907.37000000001</v>
      </c>
      <c r="U121" s="81" t="str">
        <f>IF(Impuestos3225[[#This Row],[Buscar Monto]]=Impuestos3225[[#This Row],[Valor Adquisición (S/)]],"ok","mal")</f>
        <v>ok</v>
      </c>
      <c r="V121" s="81"/>
      <c r="Z121" s="87"/>
      <c r="AR121" s="21" t="str">
        <f t="shared" si="21"/>
        <v>CNL-072</v>
      </c>
      <c r="AS121" s="21">
        <f t="shared" si="22"/>
        <v>3201</v>
      </c>
      <c r="AT121" s="21" t="s">
        <v>54</v>
      </c>
      <c r="AU121" s="98">
        <v>34</v>
      </c>
      <c r="AV121" s="112">
        <v>3341110</v>
      </c>
      <c r="AW121" s="99">
        <v>340222</v>
      </c>
      <c r="AX121" s="100">
        <v>343001000179</v>
      </c>
      <c r="AY121" s="101" t="s">
        <v>653</v>
      </c>
      <c r="AZ121" s="101" t="s">
        <v>786</v>
      </c>
      <c r="BA121" s="101"/>
      <c r="BB121" s="101"/>
      <c r="BC121" s="101"/>
      <c r="BD121" s="102">
        <v>202408010</v>
      </c>
      <c r="BE121" s="101" t="s">
        <v>397</v>
      </c>
      <c r="BF121" s="101"/>
      <c r="BG121" s="103" t="s">
        <v>34</v>
      </c>
      <c r="BH121" s="103" t="s">
        <v>787</v>
      </c>
      <c r="BI121" s="113" t="s">
        <v>859</v>
      </c>
      <c r="BJ121" s="117" t="s">
        <v>860</v>
      </c>
      <c r="BK121" s="104">
        <v>9311090</v>
      </c>
      <c r="BL121" s="104">
        <v>311094001</v>
      </c>
      <c r="BM121" s="104">
        <v>3201</v>
      </c>
      <c r="BN121" s="105">
        <v>45565</v>
      </c>
      <c r="BO121" s="98">
        <v>7</v>
      </c>
      <c r="BP121" s="116">
        <v>14.2857</v>
      </c>
      <c r="BQ121" s="114">
        <v>110907.37000000001</v>
      </c>
      <c r="BR121" s="107"/>
      <c r="BS121" s="114"/>
      <c r="BT121" s="106">
        <v>3960.96</v>
      </c>
      <c r="BU121" s="108">
        <v>1320.32</v>
      </c>
      <c r="BV121" s="108">
        <v>1320.32</v>
      </c>
      <c r="BW121" s="109">
        <v>7921.9199999999992</v>
      </c>
      <c r="BX121" s="110">
        <v>11882.88</v>
      </c>
      <c r="BY121" s="110"/>
      <c r="BZ121" s="110"/>
      <c r="CA121" s="108">
        <v>99024.49</v>
      </c>
    </row>
    <row r="122" spans="3:79" x14ac:dyDescent="0.3">
      <c r="C122" s="40" t="str">
        <f>Impuestos3225[[#This Row],[Familia]]</f>
        <v>SUV EV BYD</v>
      </c>
      <c r="D122" s="7">
        <f t="shared" si="20"/>
        <v>116</v>
      </c>
      <c r="E122" s="24" t="s">
        <v>91</v>
      </c>
      <c r="F122" s="24" t="s">
        <v>37</v>
      </c>
      <c r="G122" s="25" t="s">
        <v>34</v>
      </c>
      <c r="H122" s="24">
        <v>3201</v>
      </c>
      <c r="I122" s="80">
        <v>45565</v>
      </c>
      <c r="J122" s="8">
        <v>7</v>
      </c>
      <c r="K122" s="10">
        <v>14.2857</v>
      </c>
      <c r="L122" s="81">
        <v>119555.37000000001</v>
      </c>
      <c r="M122" s="82">
        <f>Impuestos3225[[#This Row],[Valor Adquisición (S/)]]*Impuestos3225[[#This Row],[Tasa  % ]]/100</f>
        <v>17079.321492090003</v>
      </c>
      <c r="N122" s="81">
        <f>Impuestos3225[[#This Row],[Depreciación Anual]]/12</f>
        <v>1423.2767910075002</v>
      </c>
      <c r="O122" s="83">
        <f ca="1">ROUNDDOWN((TODAY()-Impuestos3225[[#This Row],[Fecha de Activación Ingreso]])/365, 0)</f>
        <v>1</v>
      </c>
      <c r="P122" s="81">
        <f ca="1">MIN(Impuestos3225[[#This Row],[Depreciación Anual]] * Impuestos3225[[#This Row],[Años Transcurridos]], Impuestos3225[[#This Row],[Valor Adquisición (S/)]])</f>
        <v>17079.321492090003</v>
      </c>
      <c r="Q122" s="81">
        <f ca="1">MAX(Impuestos3225[[#This Row],[Valor Adquisición (S/)]]-Impuestos3225[[#This Row],[Depreciación Acumulada]], 0)</f>
        <v>102476.04850791</v>
      </c>
      <c r="R122" s="81" t="str">
        <f ca="1">IF(Impuestos3225[[#This Row],[Valor Adquisición (S/)]]="","", IF(Impuestos3225[[#This Row],[Valor Neto Actual]]=0,"Veh. Ya no deprecia",""))</f>
        <v/>
      </c>
      <c r="S122" s="81" t="s">
        <v>54</v>
      </c>
      <c r="T122" s="81">
        <f>IFERROR(VLOOKUP(Impuestos3225[[#This Row],[Placa Vehiculo]],$AR$6:$CA$159,26,0),"")</f>
        <v>119555.37000000001</v>
      </c>
      <c r="U122" s="81" t="str">
        <f>IF(Impuestos3225[[#This Row],[Buscar Monto]]=Impuestos3225[[#This Row],[Valor Adquisición (S/)]],"ok","mal")</f>
        <v>ok</v>
      </c>
      <c r="V122" s="81"/>
      <c r="Z122" s="87"/>
      <c r="AR122" s="21" t="str">
        <f t="shared" si="21"/>
        <v>CNL-009</v>
      </c>
      <c r="AS122" s="21">
        <f t="shared" si="22"/>
        <v>3201</v>
      </c>
      <c r="AT122" s="21" t="s">
        <v>54</v>
      </c>
      <c r="AU122" s="98">
        <v>34</v>
      </c>
      <c r="AV122" s="112">
        <v>3341110</v>
      </c>
      <c r="AW122" s="99">
        <v>340223</v>
      </c>
      <c r="AX122" s="100">
        <v>343001000180</v>
      </c>
      <c r="AY122" s="101" t="s">
        <v>653</v>
      </c>
      <c r="AZ122" s="101" t="s">
        <v>790</v>
      </c>
      <c r="BA122" s="101"/>
      <c r="BB122" s="101"/>
      <c r="BC122" s="101"/>
      <c r="BD122" s="102">
        <v>202408007</v>
      </c>
      <c r="BE122" s="101" t="s">
        <v>399</v>
      </c>
      <c r="BF122" s="101"/>
      <c r="BG122" s="103" t="s">
        <v>34</v>
      </c>
      <c r="BH122" s="103" t="s">
        <v>6</v>
      </c>
      <c r="BI122" s="113" t="s">
        <v>861</v>
      </c>
      <c r="BJ122" s="117" t="s">
        <v>862</v>
      </c>
      <c r="BK122" s="104">
        <v>9311090</v>
      </c>
      <c r="BL122" s="104">
        <v>311094001</v>
      </c>
      <c r="BM122" s="104">
        <v>3201</v>
      </c>
      <c r="BN122" s="105">
        <v>45565</v>
      </c>
      <c r="BO122" s="98">
        <v>7</v>
      </c>
      <c r="BP122" s="116">
        <v>14.2857</v>
      </c>
      <c r="BQ122" s="114">
        <v>119555.37000000001</v>
      </c>
      <c r="BR122" s="107"/>
      <c r="BS122" s="114"/>
      <c r="BT122" s="106">
        <v>4269.84</v>
      </c>
      <c r="BU122" s="108">
        <v>1423.28</v>
      </c>
      <c r="BV122" s="108">
        <v>1423.28</v>
      </c>
      <c r="BW122" s="109">
        <v>8539.68</v>
      </c>
      <c r="BX122" s="110">
        <v>12809.52</v>
      </c>
      <c r="BY122" s="110"/>
      <c r="BZ122" s="110"/>
      <c r="CA122" s="108">
        <v>106745.85</v>
      </c>
    </row>
    <row r="123" spans="3:79" x14ac:dyDescent="0.3">
      <c r="C123" s="40" t="str">
        <f>Impuestos3225[[#This Row],[Familia]]</f>
        <v>SUV EV BYD</v>
      </c>
      <c r="D123" s="7">
        <f t="shared" si="20"/>
        <v>117</v>
      </c>
      <c r="E123" s="24" t="s">
        <v>84</v>
      </c>
      <c r="F123" s="24" t="s">
        <v>37</v>
      </c>
      <c r="G123" s="25" t="s">
        <v>34</v>
      </c>
      <c r="H123" s="24">
        <v>3201</v>
      </c>
      <c r="I123" s="80">
        <v>45565</v>
      </c>
      <c r="J123" s="8">
        <v>7</v>
      </c>
      <c r="K123" s="10">
        <v>14.2857</v>
      </c>
      <c r="L123" s="81">
        <v>110907.37000000001</v>
      </c>
      <c r="M123" s="82">
        <f>Impuestos3225[[#This Row],[Valor Adquisición (S/)]]*Impuestos3225[[#This Row],[Tasa  % ]]/100</f>
        <v>15843.894156090002</v>
      </c>
      <c r="N123" s="81">
        <f>Impuestos3225[[#This Row],[Depreciación Anual]]/12</f>
        <v>1320.3245130075002</v>
      </c>
      <c r="O123" s="83">
        <f ca="1">ROUNDDOWN((TODAY()-Impuestos3225[[#This Row],[Fecha de Activación Ingreso]])/365, 0)</f>
        <v>1</v>
      </c>
      <c r="P123" s="81">
        <f ca="1">MIN(Impuestos3225[[#This Row],[Depreciación Anual]] * Impuestos3225[[#This Row],[Años Transcurridos]], Impuestos3225[[#This Row],[Valor Adquisición (S/)]])</f>
        <v>15843.894156090002</v>
      </c>
      <c r="Q123" s="81">
        <f ca="1">MAX(Impuestos3225[[#This Row],[Valor Adquisición (S/)]]-Impuestos3225[[#This Row],[Depreciación Acumulada]], 0)</f>
        <v>95063.475843910011</v>
      </c>
      <c r="R123" s="81" t="str">
        <f ca="1">IF(Impuestos3225[[#This Row],[Valor Adquisición (S/)]]="","", IF(Impuestos3225[[#This Row],[Valor Neto Actual]]=0,"Veh. Ya no deprecia",""))</f>
        <v/>
      </c>
      <c r="S123" s="81" t="s">
        <v>54</v>
      </c>
      <c r="T123" s="81">
        <f>IFERROR(VLOOKUP(Impuestos3225[[#This Row],[Placa Vehiculo]],$AR$6:$CA$159,26,0),"")</f>
        <v>110907.37000000001</v>
      </c>
      <c r="U123" s="81" t="str">
        <f>IF(Impuestos3225[[#This Row],[Buscar Monto]]=Impuestos3225[[#This Row],[Valor Adquisición (S/)]],"ok","mal")</f>
        <v>ok</v>
      </c>
      <c r="V123" s="81"/>
      <c r="Z123" s="87"/>
      <c r="AR123" s="21" t="str">
        <f t="shared" si="21"/>
        <v>CNK-587</v>
      </c>
      <c r="AS123" s="21">
        <f t="shared" si="22"/>
        <v>3201</v>
      </c>
      <c r="AT123" s="21" t="s">
        <v>54</v>
      </c>
      <c r="AU123" s="98">
        <v>34</v>
      </c>
      <c r="AV123" s="112">
        <v>3341110</v>
      </c>
      <c r="AW123" s="99">
        <v>340224</v>
      </c>
      <c r="AX123" s="100">
        <v>343001000181</v>
      </c>
      <c r="AY123" s="101" t="s">
        <v>653</v>
      </c>
      <c r="AZ123" s="101" t="s">
        <v>786</v>
      </c>
      <c r="BA123" s="101"/>
      <c r="BB123" s="101"/>
      <c r="BC123" s="101"/>
      <c r="BD123" s="102">
        <v>202408003</v>
      </c>
      <c r="BE123" s="101" t="s">
        <v>401</v>
      </c>
      <c r="BF123" s="101"/>
      <c r="BG123" s="103" t="s">
        <v>34</v>
      </c>
      <c r="BH123" s="103" t="s">
        <v>787</v>
      </c>
      <c r="BI123" s="113" t="s">
        <v>863</v>
      </c>
      <c r="BJ123" s="117" t="s">
        <v>864</v>
      </c>
      <c r="BK123" s="104">
        <v>9311090</v>
      </c>
      <c r="BL123" s="104">
        <v>311094001</v>
      </c>
      <c r="BM123" s="104">
        <v>3201</v>
      </c>
      <c r="BN123" s="105">
        <v>45565</v>
      </c>
      <c r="BO123" s="98">
        <v>7</v>
      </c>
      <c r="BP123" s="116">
        <v>14.2857</v>
      </c>
      <c r="BQ123" s="114">
        <v>110907.37000000001</v>
      </c>
      <c r="BR123" s="107"/>
      <c r="BS123" s="114"/>
      <c r="BT123" s="106">
        <v>3960.96</v>
      </c>
      <c r="BU123" s="108">
        <v>1320.32</v>
      </c>
      <c r="BV123" s="108">
        <v>1320.32</v>
      </c>
      <c r="BW123" s="109">
        <v>7921.9199999999992</v>
      </c>
      <c r="BX123" s="110">
        <v>11882.88</v>
      </c>
      <c r="BY123" s="110"/>
      <c r="BZ123" s="110"/>
      <c r="CA123" s="108">
        <v>99024.49</v>
      </c>
    </row>
    <row r="124" spans="3:79" x14ac:dyDescent="0.3">
      <c r="C124" s="40" t="str">
        <f>Impuestos3225[[#This Row],[Familia]]</f>
        <v>SUV EV BYD</v>
      </c>
      <c r="D124" s="7">
        <f t="shared" si="20"/>
        <v>118</v>
      </c>
      <c r="E124" s="24" t="s">
        <v>94</v>
      </c>
      <c r="F124" s="24" t="s">
        <v>37</v>
      </c>
      <c r="G124" s="25" t="s">
        <v>34</v>
      </c>
      <c r="H124" s="24">
        <v>3201</v>
      </c>
      <c r="I124" s="80">
        <v>45565</v>
      </c>
      <c r="J124" s="8">
        <v>7</v>
      </c>
      <c r="K124" s="10">
        <v>14.2857</v>
      </c>
      <c r="L124" s="81">
        <v>119555.37000000001</v>
      </c>
      <c r="M124" s="82">
        <f>Impuestos3225[[#This Row],[Valor Adquisición (S/)]]*Impuestos3225[[#This Row],[Tasa  % ]]/100</f>
        <v>17079.321492090003</v>
      </c>
      <c r="N124" s="81">
        <f>Impuestos3225[[#This Row],[Depreciación Anual]]/12</f>
        <v>1423.2767910075002</v>
      </c>
      <c r="O124" s="83">
        <f ca="1">ROUNDDOWN((TODAY()-Impuestos3225[[#This Row],[Fecha de Activación Ingreso]])/365, 0)</f>
        <v>1</v>
      </c>
      <c r="P124" s="81">
        <f ca="1">MIN(Impuestos3225[[#This Row],[Depreciación Anual]] * Impuestos3225[[#This Row],[Años Transcurridos]], Impuestos3225[[#This Row],[Valor Adquisición (S/)]])</f>
        <v>17079.321492090003</v>
      </c>
      <c r="Q124" s="81">
        <f ca="1">MAX(Impuestos3225[[#This Row],[Valor Adquisición (S/)]]-Impuestos3225[[#This Row],[Depreciación Acumulada]], 0)</f>
        <v>102476.04850791</v>
      </c>
      <c r="R124" s="81" t="str">
        <f ca="1">IF(Impuestos3225[[#This Row],[Valor Adquisición (S/)]]="","", IF(Impuestos3225[[#This Row],[Valor Neto Actual]]=0,"Veh. Ya no deprecia",""))</f>
        <v/>
      </c>
      <c r="S124" s="81" t="s">
        <v>54</v>
      </c>
      <c r="T124" s="81">
        <f>IFERROR(VLOOKUP(Impuestos3225[[#This Row],[Placa Vehiculo]],$AR$6:$CA$159,26,0),"")</f>
        <v>119555.37000000001</v>
      </c>
      <c r="U124" s="81" t="str">
        <f>IF(Impuestos3225[[#This Row],[Buscar Monto]]=Impuestos3225[[#This Row],[Valor Adquisición (S/)]],"ok","mal")</f>
        <v>ok</v>
      </c>
      <c r="V124" s="81"/>
      <c r="Z124" s="87"/>
      <c r="AR124" s="21" t="str">
        <f t="shared" si="21"/>
        <v>CNK-503</v>
      </c>
      <c r="AS124" s="21">
        <f t="shared" si="22"/>
        <v>3201</v>
      </c>
      <c r="AT124" s="21" t="s">
        <v>54</v>
      </c>
      <c r="AU124" s="98">
        <v>34</v>
      </c>
      <c r="AV124" s="112">
        <v>3341110</v>
      </c>
      <c r="AW124" s="99">
        <v>340225</v>
      </c>
      <c r="AX124" s="100">
        <v>343001000182</v>
      </c>
      <c r="AY124" s="101" t="s">
        <v>653</v>
      </c>
      <c r="AZ124" s="101" t="s">
        <v>790</v>
      </c>
      <c r="BA124" s="101"/>
      <c r="BB124" s="101"/>
      <c r="BC124" s="101"/>
      <c r="BD124" s="102">
        <v>202408029</v>
      </c>
      <c r="BE124" s="101" t="s">
        <v>403</v>
      </c>
      <c r="BF124" s="101"/>
      <c r="BG124" s="103" t="s">
        <v>34</v>
      </c>
      <c r="BH124" s="103" t="s">
        <v>6</v>
      </c>
      <c r="BI124" s="113" t="s">
        <v>865</v>
      </c>
      <c r="BJ124" s="117" t="s">
        <v>866</v>
      </c>
      <c r="BK124" s="104">
        <v>9311090</v>
      </c>
      <c r="BL124" s="104">
        <v>311094001</v>
      </c>
      <c r="BM124" s="104">
        <v>3201</v>
      </c>
      <c r="BN124" s="105">
        <v>45565</v>
      </c>
      <c r="BO124" s="98">
        <v>7</v>
      </c>
      <c r="BP124" s="116">
        <v>14.2857</v>
      </c>
      <c r="BQ124" s="114">
        <v>119555.37000000001</v>
      </c>
      <c r="BR124" s="107"/>
      <c r="BS124" s="114"/>
      <c r="BT124" s="106">
        <v>4269.84</v>
      </c>
      <c r="BU124" s="108">
        <v>1423.28</v>
      </c>
      <c r="BV124" s="108">
        <v>1423.28</v>
      </c>
      <c r="BW124" s="109">
        <v>8539.68</v>
      </c>
      <c r="BX124" s="110">
        <v>12809.52</v>
      </c>
      <c r="BY124" s="110"/>
      <c r="BZ124" s="110"/>
      <c r="CA124" s="108">
        <v>106745.85</v>
      </c>
    </row>
    <row r="125" spans="3:79" x14ac:dyDescent="0.3">
      <c r="C125" s="40" t="str">
        <f>Impuestos3225[[#This Row],[Familia]]</f>
        <v>SUV EV BYD</v>
      </c>
      <c r="D125" s="7">
        <f t="shared" si="20"/>
        <v>119</v>
      </c>
      <c r="E125" s="24" t="s">
        <v>77</v>
      </c>
      <c r="F125" s="24" t="s">
        <v>37</v>
      </c>
      <c r="G125" s="25" t="s">
        <v>34</v>
      </c>
      <c r="H125" s="24">
        <v>3201</v>
      </c>
      <c r="I125" s="80">
        <v>45565</v>
      </c>
      <c r="J125" s="8">
        <v>7</v>
      </c>
      <c r="K125" s="10">
        <v>14.2857</v>
      </c>
      <c r="L125" s="81">
        <v>110907.37000000001</v>
      </c>
      <c r="M125" s="82">
        <f>Impuestos3225[[#This Row],[Valor Adquisición (S/)]]*Impuestos3225[[#This Row],[Tasa  % ]]/100</f>
        <v>15843.894156090002</v>
      </c>
      <c r="N125" s="81">
        <f>Impuestos3225[[#This Row],[Depreciación Anual]]/12</f>
        <v>1320.3245130075002</v>
      </c>
      <c r="O125" s="83">
        <f ca="1">ROUNDDOWN((TODAY()-Impuestos3225[[#This Row],[Fecha de Activación Ingreso]])/365, 0)</f>
        <v>1</v>
      </c>
      <c r="P125" s="81">
        <f ca="1">MIN(Impuestos3225[[#This Row],[Depreciación Anual]] * Impuestos3225[[#This Row],[Años Transcurridos]], Impuestos3225[[#This Row],[Valor Adquisición (S/)]])</f>
        <v>15843.894156090002</v>
      </c>
      <c r="Q125" s="81">
        <f ca="1">MAX(Impuestos3225[[#This Row],[Valor Adquisición (S/)]]-Impuestos3225[[#This Row],[Depreciación Acumulada]], 0)</f>
        <v>95063.475843910011</v>
      </c>
      <c r="R125" s="81" t="str">
        <f ca="1">IF(Impuestos3225[[#This Row],[Valor Adquisición (S/)]]="","", IF(Impuestos3225[[#This Row],[Valor Neto Actual]]=0,"Veh. Ya no deprecia",""))</f>
        <v/>
      </c>
      <c r="S125" s="81" t="s">
        <v>54</v>
      </c>
      <c r="T125" s="81">
        <f>IFERROR(VLOOKUP(Impuestos3225[[#This Row],[Placa Vehiculo]],$AR$6:$CA$159,26,0),"")</f>
        <v>110907.37000000001</v>
      </c>
      <c r="U125" s="81" t="str">
        <f>IF(Impuestos3225[[#This Row],[Buscar Monto]]=Impuestos3225[[#This Row],[Valor Adquisición (S/)]],"ok","mal")</f>
        <v>ok</v>
      </c>
      <c r="V125" s="81"/>
      <c r="Z125" s="87"/>
      <c r="AR125" s="21" t="str">
        <f t="shared" si="21"/>
        <v>CNK-504</v>
      </c>
      <c r="AS125" s="21">
        <f t="shared" si="22"/>
        <v>4301</v>
      </c>
      <c r="AT125" s="21" t="s">
        <v>54</v>
      </c>
      <c r="AU125" s="98">
        <v>34</v>
      </c>
      <c r="AV125" s="112">
        <v>3341110</v>
      </c>
      <c r="AW125" s="99">
        <v>340226</v>
      </c>
      <c r="AX125" s="100">
        <v>343001000183</v>
      </c>
      <c r="AY125" s="101" t="s">
        <v>653</v>
      </c>
      <c r="AZ125" s="101" t="s">
        <v>786</v>
      </c>
      <c r="BA125" s="101"/>
      <c r="BB125" s="101"/>
      <c r="BC125" s="101"/>
      <c r="BD125" s="102">
        <v>202408019</v>
      </c>
      <c r="BE125" s="101" t="s">
        <v>406</v>
      </c>
      <c r="BF125" s="101"/>
      <c r="BG125" s="103" t="s">
        <v>34</v>
      </c>
      <c r="BH125" s="103" t="s">
        <v>787</v>
      </c>
      <c r="BI125" s="113" t="s">
        <v>867</v>
      </c>
      <c r="BJ125" s="117" t="s">
        <v>868</v>
      </c>
      <c r="BK125" s="104">
        <v>9111070</v>
      </c>
      <c r="BL125" s="118">
        <v>111070001</v>
      </c>
      <c r="BM125" s="104">
        <v>4301</v>
      </c>
      <c r="BN125" s="105">
        <v>45565</v>
      </c>
      <c r="BO125" s="98">
        <v>7</v>
      </c>
      <c r="BP125" s="116">
        <v>14.2857</v>
      </c>
      <c r="BQ125" s="114">
        <v>110907.37000000001</v>
      </c>
      <c r="BR125" s="107"/>
      <c r="BS125" s="114"/>
      <c r="BT125" s="106">
        <v>3960.96</v>
      </c>
      <c r="BU125" s="108">
        <v>1320.32</v>
      </c>
      <c r="BV125" s="108">
        <v>1320.32</v>
      </c>
      <c r="BW125" s="109">
        <v>7921.9199999999992</v>
      </c>
      <c r="BX125" s="110">
        <v>11882.88</v>
      </c>
      <c r="BY125" s="110"/>
      <c r="BZ125" s="110"/>
      <c r="CA125" s="108">
        <v>99024.49</v>
      </c>
    </row>
    <row r="126" spans="3:79" x14ac:dyDescent="0.3">
      <c r="C126" s="40" t="str">
        <f>Impuestos3225[[#This Row],[Familia]]</f>
        <v>SUV EV BYD</v>
      </c>
      <c r="D126" s="7">
        <f t="shared" si="20"/>
        <v>120</v>
      </c>
      <c r="E126" s="24" t="s">
        <v>95</v>
      </c>
      <c r="F126" s="24" t="s">
        <v>37</v>
      </c>
      <c r="G126" s="25" t="s">
        <v>34</v>
      </c>
      <c r="H126" s="24">
        <v>3201</v>
      </c>
      <c r="I126" s="80">
        <v>45565</v>
      </c>
      <c r="J126" s="8">
        <v>7</v>
      </c>
      <c r="K126" s="10">
        <v>14.2857</v>
      </c>
      <c r="L126" s="81">
        <v>119555.37000000001</v>
      </c>
      <c r="M126" s="82">
        <f>Impuestos3225[[#This Row],[Valor Adquisición (S/)]]*Impuestos3225[[#This Row],[Tasa  % ]]/100</f>
        <v>17079.321492090003</v>
      </c>
      <c r="N126" s="81">
        <f>Impuestos3225[[#This Row],[Depreciación Anual]]/12</f>
        <v>1423.2767910075002</v>
      </c>
      <c r="O126" s="83">
        <f ca="1">ROUNDDOWN((TODAY()-Impuestos3225[[#This Row],[Fecha de Activación Ingreso]])/365, 0)</f>
        <v>1</v>
      </c>
      <c r="P126" s="81">
        <f ca="1">MIN(Impuestos3225[[#This Row],[Depreciación Anual]] * Impuestos3225[[#This Row],[Años Transcurridos]], Impuestos3225[[#This Row],[Valor Adquisición (S/)]])</f>
        <v>17079.321492090003</v>
      </c>
      <c r="Q126" s="81">
        <f ca="1">MAX(Impuestos3225[[#This Row],[Valor Adquisición (S/)]]-Impuestos3225[[#This Row],[Depreciación Acumulada]], 0)</f>
        <v>102476.04850791</v>
      </c>
      <c r="R126" s="81" t="str">
        <f ca="1">IF(Impuestos3225[[#This Row],[Valor Adquisición (S/)]]="","", IF(Impuestos3225[[#This Row],[Valor Neto Actual]]=0,"Veh. Ya no deprecia",""))</f>
        <v/>
      </c>
      <c r="S126" s="81" t="s">
        <v>54</v>
      </c>
      <c r="T126" s="81">
        <f>IFERROR(VLOOKUP(Impuestos3225[[#This Row],[Placa Vehiculo]],$AR$6:$CA$159,26,0),"")</f>
        <v>119555.37000000001</v>
      </c>
      <c r="U126" s="81" t="str">
        <f>IF(Impuestos3225[[#This Row],[Buscar Monto]]=Impuestos3225[[#This Row],[Valor Adquisición (S/)]],"ok","mal")</f>
        <v>ok</v>
      </c>
      <c r="V126" s="81"/>
      <c r="Z126" s="87"/>
      <c r="AR126" s="21" t="str">
        <f t="shared" si="21"/>
        <v>CNK-533</v>
      </c>
      <c r="AS126" s="21">
        <f t="shared" si="22"/>
        <v>3201</v>
      </c>
      <c r="AT126" s="21" t="s">
        <v>54</v>
      </c>
      <c r="AU126" s="98">
        <v>34</v>
      </c>
      <c r="AV126" s="112">
        <v>3341110</v>
      </c>
      <c r="AW126" s="99">
        <v>340227</v>
      </c>
      <c r="AX126" s="100">
        <v>343001000184</v>
      </c>
      <c r="AY126" s="101" t="s">
        <v>653</v>
      </c>
      <c r="AZ126" s="101" t="s">
        <v>790</v>
      </c>
      <c r="BA126" s="101"/>
      <c r="BB126" s="101"/>
      <c r="BC126" s="101"/>
      <c r="BD126" s="102">
        <v>202408004</v>
      </c>
      <c r="BE126" s="101" t="s">
        <v>408</v>
      </c>
      <c r="BF126" s="101"/>
      <c r="BG126" s="103" t="s">
        <v>34</v>
      </c>
      <c r="BH126" s="103" t="s">
        <v>6</v>
      </c>
      <c r="BI126" s="113" t="s">
        <v>869</v>
      </c>
      <c r="BJ126" s="117" t="s">
        <v>870</v>
      </c>
      <c r="BK126" s="104">
        <v>9311090</v>
      </c>
      <c r="BL126" s="104">
        <v>311094001</v>
      </c>
      <c r="BM126" s="104">
        <v>3201</v>
      </c>
      <c r="BN126" s="105">
        <v>45565</v>
      </c>
      <c r="BO126" s="98">
        <v>7</v>
      </c>
      <c r="BP126" s="116">
        <v>14.2857</v>
      </c>
      <c r="BQ126" s="114">
        <v>119555.37000000001</v>
      </c>
      <c r="BR126" s="107"/>
      <c r="BS126" s="114"/>
      <c r="BT126" s="106">
        <v>4269.84</v>
      </c>
      <c r="BU126" s="108">
        <v>1423.28</v>
      </c>
      <c r="BV126" s="108">
        <v>1423.28</v>
      </c>
      <c r="BW126" s="109">
        <v>8539.68</v>
      </c>
      <c r="BX126" s="110">
        <v>12809.52</v>
      </c>
      <c r="BY126" s="110"/>
      <c r="BZ126" s="110"/>
      <c r="CA126" s="108">
        <v>106745.85</v>
      </c>
    </row>
    <row r="127" spans="3:79" x14ac:dyDescent="0.3">
      <c r="C127" s="40" t="str">
        <f>Impuestos3225[[#This Row],[Familia]]</f>
        <v>SUV EV BYD</v>
      </c>
      <c r="D127" s="7">
        <f t="shared" si="20"/>
        <v>121</v>
      </c>
      <c r="E127" s="24" t="s">
        <v>86</v>
      </c>
      <c r="F127" s="24" t="s">
        <v>37</v>
      </c>
      <c r="G127" s="25" t="s">
        <v>34</v>
      </c>
      <c r="H127" s="24">
        <v>4301</v>
      </c>
      <c r="I127" s="80">
        <v>45565</v>
      </c>
      <c r="J127" s="8">
        <v>7</v>
      </c>
      <c r="K127" s="10">
        <v>14.2857</v>
      </c>
      <c r="L127" s="81">
        <v>110907.37000000001</v>
      </c>
      <c r="M127" s="82">
        <f>Impuestos3225[[#This Row],[Valor Adquisición (S/)]]*Impuestos3225[[#This Row],[Tasa  % ]]/100</f>
        <v>15843.894156090002</v>
      </c>
      <c r="N127" s="81">
        <f>Impuestos3225[[#This Row],[Depreciación Anual]]/12</f>
        <v>1320.3245130075002</v>
      </c>
      <c r="O127" s="83">
        <f ca="1">ROUNDDOWN((TODAY()-Impuestos3225[[#This Row],[Fecha de Activación Ingreso]])/365, 0)</f>
        <v>1</v>
      </c>
      <c r="P127" s="81">
        <f ca="1">MIN(Impuestos3225[[#This Row],[Depreciación Anual]] * Impuestos3225[[#This Row],[Años Transcurridos]], Impuestos3225[[#This Row],[Valor Adquisición (S/)]])</f>
        <v>15843.894156090002</v>
      </c>
      <c r="Q127" s="81">
        <f ca="1">MAX(Impuestos3225[[#This Row],[Valor Adquisición (S/)]]-Impuestos3225[[#This Row],[Depreciación Acumulada]], 0)</f>
        <v>95063.475843910011</v>
      </c>
      <c r="R127" s="81" t="str">
        <f ca="1">IF(Impuestos3225[[#This Row],[Valor Adquisición (S/)]]="","", IF(Impuestos3225[[#This Row],[Valor Neto Actual]]=0,"Veh. Ya no deprecia",""))</f>
        <v/>
      </c>
      <c r="S127" s="81" t="s">
        <v>54</v>
      </c>
      <c r="T127" s="81">
        <f>IFERROR(VLOOKUP(Impuestos3225[[#This Row],[Placa Vehiculo]],$AR$6:$CA$159,26,0),"")</f>
        <v>110907.37000000001</v>
      </c>
      <c r="U127" s="81" t="str">
        <f>IF(Impuestos3225[[#This Row],[Buscar Monto]]=Impuestos3225[[#This Row],[Valor Adquisición (S/)]],"ok","mal")</f>
        <v>ok</v>
      </c>
      <c r="V127" s="81"/>
      <c r="Z127" s="87"/>
      <c r="AR127" s="21" t="str">
        <f t="shared" si="21"/>
        <v>CNK-688</v>
      </c>
      <c r="AS127" s="21">
        <f t="shared" si="22"/>
        <v>3201</v>
      </c>
      <c r="AT127" s="21" t="s">
        <v>52</v>
      </c>
      <c r="AU127" s="98">
        <v>34</v>
      </c>
      <c r="AV127" s="112">
        <v>3341110</v>
      </c>
      <c r="AW127" s="99">
        <v>340228</v>
      </c>
      <c r="AX127" s="100">
        <v>343001000185</v>
      </c>
      <c r="AY127" s="101" t="s">
        <v>653</v>
      </c>
      <c r="AZ127" s="101" t="s">
        <v>871</v>
      </c>
      <c r="BA127" s="101"/>
      <c r="BB127" s="101"/>
      <c r="BC127" s="101"/>
      <c r="BD127" s="102">
        <v>202408037</v>
      </c>
      <c r="BE127" s="101" t="s">
        <v>418</v>
      </c>
      <c r="BF127" s="101"/>
      <c r="BG127" s="103" t="s">
        <v>34</v>
      </c>
      <c r="BH127" s="103" t="s">
        <v>872</v>
      </c>
      <c r="BI127" s="113" t="s">
        <v>873</v>
      </c>
      <c r="BJ127" s="117" t="s">
        <v>874</v>
      </c>
      <c r="BK127" s="104">
        <v>9311090</v>
      </c>
      <c r="BL127" s="104">
        <v>311094001</v>
      </c>
      <c r="BM127" s="104">
        <v>3201</v>
      </c>
      <c r="BN127" s="105">
        <v>45565</v>
      </c>
      <c r="BO127" s="98">
        <v>7</v>
      </c>
      <c r="BP127" s="116">
        <v>14.2857</v>
      </c>
      <c r="BQ127" s="114">
        <v>229723.37</v>
      </c>
      <c r="BR127" s="107"/>
      <c r="BS127" s="114"/>
      <c r="BT127" s="106">
        <v>8204.4000000000015</v>
      </c>
      <c r="BU127" s="108">
        <v>2734.8</v>
      </c>
      <c r="BV127" s="108">
        <v>2734.8</v>
      </c>
      <c r="BW127" s="109">
        <v>16408.8</v>
      </c>
      <c r="BX127" s="110">
        <v>24613.200000000001</v>
      </c>
      <c r="BY127" s="110"/>
      <c r="BZ127" s="110"/>
      <c r="CA127" s="108">
        <v>205110.16999999998</v>
      </c>
    </row>
    <row r="128" spans="3:79" x14ac:dyDescent="0.3">
      <c r="C128" s="40" t="str">
        <f>Impuestos3225[[#This Row],[Familia]]</f>
        <v>SUV EV BYD</v>
      </c>
      <c r="D128" s="7">
        <f t="shared" si="20"/>
        <v>122</v>
      </c>
      <c r="E128" s="24" t="s">
        <v>101</v>
      </c>
      <c r="F128" s="24" t="s">
        <v>37</v>
      </c>
      <c r="G128" s="25" t="s">
        <v>34</v>
      </c>
      <c r="H128" s="24">
        <v>3201</v>
      </c>
      <c r="I128" s="80">
        <v>45565</v>
      </c>
      <c r="J128" s="8">
        <v>7</v>
      </c>
      <c r="K128" s="10">
        <v>14.2857</v>
      </c>
      <c r="L128" s="81">
        <v>119555.37000000001</v>
      </c>
      <c r="M128" s="82">
        <f>Impuestos3225[[#This Row],[Valor Adquisición (S/)]]*Impuestos3225[[#This Row],[Tasa  % ]]/100</f>
        <v>17079.321492090003</v>
      </c>
      <c r="N128" s="81">
        <f>Impuestos3225[[#This Row],[Depreciación Anual]]/12</f>
        <v>1423.2767910075002</v>
      </c>
      <c r="O128" s="83">
        <f ca="1">ROUNDDOWN((TODAY()-Impuestos3225[[#This Row],[Fecha de Activación Ingreso]])/365, 0)</f>
        <v>1</v>
      </c>
      <c r="P128" s="81">
        <f ca="1">MIN(Impuestos3225[[#This Row],[Depreciación Anual]] * Impuestos3225[[#This Row],[Años Transcurridos]], Impuestos3225[[#This Row],[Valor Adquisición (S/)]])</f>
        <v>17079.321492090003</v>
      </c>
      <c r="Q128" s="81">
        <f ca="1">MAX(Impuestos3225[[#This Row],[Valor Adquisición (S/)]]-Impuestos3225[[#This Row],[Depreciación Acumulada]], 0)</f>
        <v>102476.04850791</v>
      </c>
      <c r="R128" s="81" t="str">
        <f ca="1">IF(Impuestos3225[[#This Row],[Valor Adquisición (S/)]]="","", IF(Impuestos3225[[#This Row],[Valor Neto Actual]]=0,"Veh. Ya no deprecia",""))</f>
        <v/>
      </c>
      <c r="S128" s="81" t="s">
        <v>54</v>
      </c>
      <c r="T128" s="81">
        <f>IFERROR(VLOOKUP(Impuestos3225[[#This Row],[Placa Vehiculo]],$AR$6:$CA$159,26,0),"")</f>
        <v>119555.37000000001</v>
      </c>
      <c r="U128" s="81" t="str">
        <f>IF(Impuestos3225[[#This Row],[Buscar Monto]]=Impuestos3225[[#This Row],[Valor Adquisición (S/)]],"ok","mal")</f>
        <v>ok</v>
      </c>
      <c r="V128" s="81"/>
      <c r="Z128" s="87"/>
      <c r="AR128" s="21" t="str">
        <f t="shared" si="21"/>
        <v>CAT-892</v>
      </c>
      <c r="AS128" s="21">
        <f t="shared" si="22"/>
        <v>2710</v>
      </c>
      <c r="AT128" s="21" t="s">
        <v>212</v>
      </c>
      <c r="AU128" s="98">
        <v>34</v>
      </c>
      <c r="AV128" s="112">
        <v>3341110</v>
      </c>
      <c r="AW128" s="99">
        <v>340229</v>
      </c>
      <c r="AX128" s="100">
        <v>343001000186</v>
      </c>
      <c r="AY128" s="101" t="s">
        <v>653</v>
      </c>
      <c r="AZ128" s="101" t="s">
        <v>875</v>
      </c>
      <c r="BA128" s="101"/>
      <c r="BB128" s="101"/>
      <c r="BC128" s="101"/>
      <c r="BD128" s="102">
        <v>202410018</v>
      </c>
      <c r="BE128" s="119" t="s">
        <v>876</v>
      </c>
      <c r="BF128" s="101"/>
      <c r="BG128" s="103" t="s">
        <v>877</v>
      </c>
      <c r="BH128" s="103" t="s">
        <v>211</v>
      </c>
      <c r="BI128" s="113" t="s">
        <v>878</v>
      </c>
      <c r="BJ128" s="117" t="s">
        <v>879</v>
      </c>
      <c r="BK128" s="104">
        <v>9311090</v>
      </c>
      <c r="BL128" s="104">
        <v>311094002</v>
      </c>
      <c r="BM128" s="104">
        <v>2710</v>
      </c>
      <c r="BN128" s="105">
        <v>45596</v>
      </c>
      <c r="BO128" s="98">
        <v>12</v>
      </c>
      <c r="BP128" s="98">
        <v>8.3330000000000002</v>
      </c>
      <c r="BQ128" s="114">
        <v>1099003.02</v>
      </c>
      <c r="BR128" s="107"/>
      <c r="BS128" s="114"/>
      <c r="BT128" s="106">
        <v>15263.32</v>
      </c>
      <c r="BU128" s="108">
        <v>7631.66</v>
      </c>
      <c r="BV128" s="108">
        <v>7631.66</v>
      </c>
      <c r="BW128" s="109">
        <v>45789.960000000006</v>
      </c>
      <c r="BX128" s="110">
        <v>61053.280000000006</v>
      </c>
      <c r="BY128" s="110"/>
      <c r="BZ128" s="110"/>
      <c r="CA128" s="108">
        <v>1037949.74</v>
      </c>
    </row>
    <row r="129" spans="3:79" x14ac:dyDescent="0.3">
      <c r="C129" s="40" t="str">
        <f>Impuestos3225[[#This Row],[Familia]]</f>
        <v>SUV BYD (Gerencia)</v>
      </c>
      <c r="D129" s="7">
        <f t="shared" si="20"/>
        <v>123</v>
      </c>
      <c r="E129" s="24" t="s">
        <v>69</v>
      </c>
      <c r="F129" s="24" t="s">
        <v>37</v>
      </c>
      <c r="G129" s="25" t="s">
        <v>34</v>
      </c>
      <c r="H129" s="24">
        <v>3201</v>
      </c>
      <c r="I129" s="80">
        <v>45565</v>
      </c>
      <c r="J129" s="8">
        <v>7</v>
      </c>
      <c r="K129" s="10">
        <v>14.2857</v>
      </c>
      <c r="L129" s="81">
        <v>229723.37</v>
      </c>
      <c r="M129" s="82">
        <f>Impuestos3225[[#This Row],[Valor Adquisición (S/)]]*Impuestos3225[[#This Row],[Tasa  % ]]/100</f>
        <v>32817.591468090002</v>
      </c>
      <c r="N129" s="81">
        <f>Impuestos3225[[#This Row],[Depreciación Anual]]/12</f>
        <v>2734.7992890075002</v>
      </c>
      <c r="O129" s="83">
        <f ca="1">ROUNDDOWN((TODAY()-Impuestos3225[[#This Row],[Fecha de Activación Ingreso]])/365, 0)</f>
        <v>1</v>
      </c>
      <c r="P129" s="81">
        <f ca="1">MIN(Impuestos3225[[#This Row],[Depreciación Anual]] * Impuestos3225[[#This Row],[Años Transcurridos]], Impuestos3225[[#This Row],[Valor Adquisición (S/)]])</f>
        <v>32817.591468090002</v>
      </c>
      <c r="Q129" s="81">
        <f ca="1">MAX(Impuestos3225[[#This Row],[Valor Adquisición (S/)]]-Impuestos3225[[#This Row],[Depreciación Acumulada]], 0)</f>
        <v>196905.77853190998</v>
      </c>
      <c r="R129" s="81" t="str">
        <f ca="1">IF(Impuestos3225[[#This Row],[Valor Adquisición (S/)]]="","", IF(Impuestos3225[[#This Row],[Valor Neto Actual]]=0,"Veh. Ya no deprecia",""))</f>
        <v/>
      </c>
      <c r="S129" s="81" t="s">
        <v>52</v>
      </c>
      <c r="T129" s="81">
        <f>IFERROR(VLOOKUP(Impuestos3225[[#This Row],[Placa Vehiculo]],$AR$6:$CA$159,26,0),"")</f>
        <v>229723.37</v>
      </c>
      <c r="U129" s="81" t="str">
        <f>IF(Impuestos3225[[#This Row],[Buscar Monto]]=Impuestos3225[[#This Row],[Valor Adquisición (S/)]],"ok","mal")</f>
        <v>ok</v>
      </c>
      <c r="V129" s="81"/>
      <c r="Z129" s="87"/>
      <c r="AR129" s="21" t="str">
        <f t="shared" si="21"/>
        <v>CAT-923</v>
      </c>
      <c r="AS129" s="21">
        <f t="shared" si="22"/>
        <v>2710</v>
      </c>
      <c r="AT129" s="21" t="s">
        <v>212</v>
      </c>
      <c r="AU129" s="98">
        <v>34</v>
      </c>
      <c r="AV129" s="112">
        <v>3341110</v>
      </c>
      <c r="AW129" s="99">
        <v>340230</v>
      </c>
      <c r="AX129" s="100">
        <v>343001000187</v>
      </c>
      <c r="AY129" s="101" t="s">
        <v>653</v>
      </c>
      <c r="AZ129" s="101" t="s">
        <v>880</v>
      </c>
      <c r="BA129" s="101"/>
      <c r="BB129" s="101"/>
      <c r="BC129" s="101"/>
      <c r="BD129" s="102">
        <v>202410019</v>
      </c>
      <c r="BE129" s="119" t="s">
        <v>881</v>
      </c>
      <c r="BF129" s="101"/>
      <c r="BG129" s="103" t="s">
        <v>877</v>
      </c>
      <c r="BH129" s="103" t="s">
        <v>211</v>
      </c>
      <c r="BI129" s="113" t="s">
        <v>882</v>
      </c>
      <c r="BJ129" s="117" t="s">
        <v>883</v>
      </c>
      <c r="BK129" s="104">
        <v>9311090</v>
      </c>
      <c r="BL129" s="104">
        <v>311094002</v>
      </c>
      <c r="BM129" s="104">
        <v>2710</v>
      </c>
      <c r="BN129" s="105">
        <v>45596</v>
      </c>
      <c r="BO129" s="98">
        <v>12</v>
      </c>
      <c r="BP129" s="98">
        <v>8.3330000000000002</v>
      </c>
      <c r="BQ129" s="114">
        <v>1099003.06</v>
      </c>
      <c r="BR129" s="107"/>
      <c r="BS129" s="114"/>
      <c r="BT129" s="106">
        <v>15263.32</v>
      </c>
      <c r="BU129" s="108">
        <v>7631.66</v>
      </c>
      <c r="BV129" s="108">
        <v>7631.66</v>
      </c>
      <c r="BW129" s="109">
        <v>45789.960000000006</v>
      </c>
      <c r="BX129" s="110">
        <v>61053.280000000006</v>
      </c>
      <c r="BY129" s="110"/>
      <c r="BZ129" s="110"/>
      <c r="CA129" s="108">
        <v>1037949.78</v>
      </c>
    </row>
    <row r="130" spans="3:79" x14ac:dyDescent="0.3">
      <c r="C130" s="40" t="str">
        <f>Impuestos3225[[#This Row],[Familia]]</f>
        <v>Camión Grúa CI Mercdes Benz</v>
      </c>
      <c r="D130" s="7">
        <f t="shared" si="20"/>
        <v>124</v>
      </c>
      <c r="E130" s="24" t="s">
        <v>213</v>
      </c>
      <c r="F130" s="24" t="s">
        <v>179</v>
      </c>
      <c r="G130" s="25" t="s">
        <v>877</v>
      </c>
      <c r="H130" s="24">
        <v>2710</v>
      </c>
      <c r="I130" s="80">
        <v>45596</v>
      </c>
      <c r="J130" s="8">
        <v>12</v>
      </c>
      <c r="K130" s="10">
        <v>8.3330000000000002</v>
      </c>
      <c r="L130" s="81">
        <v>1099003.02</v>
      </c>
      <c r="M130" s="82">
        <f>Impuestos3225[[#This Row],[Valor Adquisición (S/)]]*Impuestos3225[[#This Row],[Tasa  % ]]/100</f>
        <v>91579.921656599996</v>
      </c>
      <c r="N130" s="81">
        <f>Impuestos3225[[#This Row],[Depreciación Anual]]/12</f>
        <v>7631.6601380499997</v>
      </c>
      <c r="O130" s="83">
        <f ca="1">ROUNDDOWN((TODAY()-Impuestos3225[[#This Row],[Fecha de Activación Ingreso]])/365, 0)</f>
        <v>1</v>
      </c>
      <c r="P130" s="81">
        <f ca="1">MIN(Impuestos3225[[#This Row],[Depreciación Anual]] * Impuestos3225[[#This Row],[Años Transcurridos]], Impuestos3225[[#This Row],[Valor Adquisición (S/)]])</f>
        <v>91579.921656599996</v>
      </c>
      <c r="Q130" s="81">
        <f ca="1">MAX(Impuestos3225[[#This Row],[Valor Adquisición (S/)]]-Impuestos3225[[#This Row],[Depreciación Acumulada]], 0)</f>
        <v>1007423.0983434001</v>
      </c>
      <c r="R130" s="81" t="str">
        <f ca="1">IF(Impuestos3225[[#This Row],[Valor Adquisición (S/)]]="","", IF(Impuestos3225[[#This Row],[Valor Neto Actual]]=0,"Veh. Ya no deprecia",""))</f>
        <v/>
      </c>
      <c r="S130" s="81" t="s">
        <v>212</v>
      </c>
      <c r="T130" s="81">
        <f>IFERROR(VLOOKUP(Impuestos3225[[#This Row],[Placa Vehiculo]],$AR$6:$CA$159,26,0),"")</f>
        <v>1099003.02</v>
      </c>
      <c r="U130" s="81" t="str">
        <f>IF(Impuestos3225[[#This Row],[Buscar Monto]]=Impuestos3225[[#This Row],[Valor Adquisición (S/)]],"ok","mal")</f>
        <v>ok</v>
      </c>
      <c r="V130" s="81"/>
      <c r="Z130" s="87"/>
      <c r="AR130" s="21" t="str">
        <f t="shared" si="21"/>
        <v>CPB-054</v>
      </c>
      <c r="AS130" s="21">
        <f t="shared" si="22"/>
        <v>3201</v>
      </c>
      <c r="AT130" s="21" t="s">
        <v>32</v>
      </c>
      <c r="AU130" s="98">
        <v>34</v>
      </c>
      <c r="AV130" s="112">
        <v>3341110</v>
      </c>
      <c r="AW130" s="99">
        <v>340231</v>
      </c>
      <c r="AX130" s="100">
        <v>343001000188</v>
      </c>
      <c r="AY130" s="101" t="s">
        <v>653</v>
      </c>
      <c r="AZ130" s="101" t="s">
        <v>884</v>
      </c>
      <c r="BA130" s="101"/>
      <c r="BB130" s="101"/>
      <c r="BC130" s="101"/>
      <c r="BD130" s="102">
        <v>202411012</v>
      </c>
      <c r="BE130" s="101" t="s">
        <v>420</v>
      </c>
      <c r="BF130" s="101"/>
      <c r="BG130" s="103" t="s">
        <v>885</v>
      </c>
      <c r="BH130" s="103" t="s">
        <v>173</v>
      </c>
      <c r="BI130" s="113" t="s">
        <v>886</v>
      </c>
      <c r="BJ130" s="117" t="s">
        <v>887</v>
      </c>
      <c r="BK130" s="104">
        <v>9311090</v>
      </c>
      <c r="BL130" s="104">
        <v>311094001</v>
      </c>
      <c r="BM130" s="104">
        <v>3201</v>
      </c>
      <c r="BN130" s="105">
        <v>45626</v>
      </c>
      <c r="BO130" s="98">
        <v>7</v>
      </c>
      <c r="BP130" s="116">
        <v>14.2857</v>
      </c>
      <c r="BQ130" s="114">
        <v>702881.36</v>
      </c>
      <c r="BR130" s="107"/>
      <c r="BS130" s="114"/>
      <c r="BT130" s="106">
        <v>8367.6299999999992</v>
      </c>
      <c r="BU130" s="108">
        <v>8367.6299999999992</v>
      </c>
      <c r="BV130" s="108">
        <v>8367.6299999999992</v>
      </c>
      <c r="BW130" s="109">
        <v>50205.779999999992</v>
      </c>
      <c r="BX130" s="110">
        <v>58573.409999999989</v>
      </c>
      <c r="BY130" s="110"/>
      <c r="BZ130" s="110"/>
      <c r="CA130" s="108">
        <v>644307.94999999995</v>
      </c>
    </row>
    <row r="131" spans="3:79" x14ac:dyDescent="0.3">
      <c r="C131" s="40" t="str">
        <f>Impuestos3225[[#This Row],[Familia]]</f>
        <v>Camión Grúa CI Mercdes Benz</v>
      </c>
      <c r="D131" s="7">
        <f t="shared" si="20"/>
        <v>125</v>
      </c>
      <c r="E131" s="24" t="s">
        <v>209</v>
      </c>
      <c r="F131" s="24" t="s">
        <v>179</v>
      </c>
      <c r="G131" s="25" t="s">
        <v>877</v>
      </c>
      <c r="H131" s="24">
        <v>2710</v>
      </c>
      <c r="I131" s="80">
        <v>45596</v>
      </c>
      <c r="J131" s="8">
        <v>12</v>
      </c>
      <c r="K131" s="10">
        <v>8.3330000000000002</v>
      </c>
      <c r="L131" s="81">
        <v>1099003.06</v>
      </c>
      <c r="M131" s="82">
        <f>Impuestos3225[[#This Row],[Valor Adquisición (S/)]]*Impuestos3225[[#This Row],[Tasa  % ]]/100</f>
        <v>91579.924989800013</v>
      </c>
      <c r="N131" s="81">
        <f>Impuestos3225[[#This Row],[Depreciación Anual]]/12</f>
        <v>7631.6604158166674</v>
      </c>
      <c r="O131" s="83">
        <f ca="1">ROUNDDOWN((TODAY()-Impuestos3225[[#This Row],[Fecha de Activación Ingreso]])/365, 0)</f>
        <v>1</v>
      </c>
      <c r="P131" s="81">
        <f ca="1">MIN(Impuestos3225[[#This Row],[Depreciación Anual]] * Impuestos3225[[#This Row],[Años Transcurridos]], Impuestos3225[[#This Row],[Valor Adquisición (S/)]])</f>
        <v>91579.924989800013</v>
      </c>
      <c r="Q131" s="81">
        <f ca="1">MAX(Impuestos3225[[#This Row],[Valor Adquisición (S/)]]-Impuestos3225[[#This Row],[Depreciación Acumulada]], 0)</f>
        <v>1007423.1350102001</v>
      </c>
      <c r="R131" s="81" t="str">
        <f ca="1">IF(Impuestos3225[[#This Row],[Valor Adquisición (S/)]]="","", IF(Impuestos3225[[#This Row],[Valor Neto Actual]]=0,"Veh. Ya no deprecia",""))</f>
        <v/>
      </c>
      <c r="S131" s="81" t="s">
        <v>212</v>
      </c>
      <c r="T131" s="81">
        <f>IFERROR(VLOOKUP(Impuestos3225[[#This Row],[Placa Vehiculo]],$AR$6:$CA$159,26,0),"")</f>
        <v>1099003.06</v>
      </c>
      <c r="U131" s="81" t="str">
        <f>IF(Impuestos3225[[#This Row],[Buscar Monto]]=Impuestos3225[[#This Row],[Valor Adquisición (S/)]],"ok","mal")</f>
        <v>ok</v>
      </c>
      <c r="V131" s="81"/>
      <c r="Z131" s="87"/>
      <c r="AR131" s="21" t="str">
        <f t="shared" si="21"/>
        <v>CBE-701</v>
      </c>
      <c r="AS131" s="21">
        <f t="shared" si="22"/>
        <v>2710</v>
      </c>
      <c r="AT131" s="21" t="s">
        <v>208</v>
      </c>
      <c r="AU131" s="98">
        <v>34</v>
      </c>
      <c r="AV131" s="112">
        <v>3341110</v>
      </c>
      <c r="AW131" s="99">
        <v>340232</v>
      </c>
      <c r="AX131" s="100">
        <v>343001000189</v>
      </c>
      <c r="AY131" s="101" t="s">
        <v>653</v>
      </c>
      <c r="AZ131" s="101" t="s">
        <v>888</v>
      </c>
      <c r="BA131" s="101"/>
      <c r="BB131" s="101"/>
      <c r="BC131" s="101"/>
      <c r="BD131" s="102">
        <v>202412008</v>
      </c>
      <c r="BE131" s="101" t="s">
        <v>889</v>
      </c>
      <c r="BF131" s="101"/>
      <c r="BG131" s="103" t="s">
        <v>890</v>
      </c>
      <c r="BH131" s="103" t="s">
        <v>207</v>
      </c>
      <c r="BI131" s="113" t="s">
        <v>891</v>
      </c>
      <c r="BJ131" s="117" t="s">
        <v>892</v>
      </c>
      <c r="BK131" s="104">
        <v>9311090</v>
      </c>
      <c r="BL131" s="104">
        <v>311094002</v>
      </c>
      <c r="BM131" s="104">
        <v>2710</v>
      </c>
      <c r="BN131" s="105">
        <v>45627</v>
      </c>
      <c r="BO131" s="98">
        <v>8</v>
      </c>
      <c r="BP131" s="116">
        <v>12.5</v>
      </c>
      <c r="BQ131" s="114">
        <v>94213.61</v>
      </c>
      <c r="BR131" s="107"/>
      <c r="BS131" s="114"/>
      <c r="BT131" s="106">
        <v>0</v>
      </c>
      <c r="BU131" s="108">
        <v>981.39</v>
      </c>
      <c r="BV131" s="108">
        <v>981.39</v>
      </c>
      <c r="BW131" s="109">
        <v>5888.34</v>
      </c>
      <c r="BX131" s="110">
        <v>5888.34</v>
      </c>
      <c r="BY131" s="110"/>
      <c r="BZ131" s="110"/>
      <c r="CA131" s="108">
        <v>88325.27</v>
      </c>
    </row>
    <row r="132" spans="3:79" x14ac:dyDescent="0.3">
      <c r="C132" s="40" t="str">
        <f>Impuestos3225[[#This Row],[Familia]]</f>
        <v>Bus EV Yutong</v>
      </c>
      <c r="D132" s="7">
        <f t="shared" si="20"/>
        <v>126</v>
      </c>
      <c r="E132" s="24" t="s">
        <v>171</v>
      </c>
      <c r="F132" s="24" t="s">
        <v>37</v>
      </c>
      <c r="G132" s="25" t="s">
        <v>885</v>
      </c>
      <c r="H132" s="24">
        <v>3201</v>
      </c>
      <c r="I132" s="80">
        <v>45626</v>
      </c>
      <c r="J132" s="8">
        <v>7</v>
      </c>
      <c r="K132" s="10">
        <v>14.2857</v>
      </c>
      <c r="L132" s="81">
        <v>702881.36</v>
      </c>
      <c r="M132" s="82">
        <f>Impuestos3225[[#This Row],[Valor Adquisición (S/)]]*Impuestos3225[[#This Row],[Tasa  % ]]/100</f>
        <v>100411.52244551999</v>
      </c>
      <c r="N132" s="81">
        <f>Impuestos3225[[#This Row],[Depreciación Anual]]/12</f>
        <v>8367.6268704599988</v>
      </c>
      <c r="O132" s="83">
        <f ca="1">ROUNDDOWN((TODAY()-Impuestos3225[[#This Row],[Fecha de Activación Ingreso]])/365, 0)</f>
        <v>0</v>
      </c>
      <c r="P132" s="81">
        <f ca="1">MIN(Impuestos3225[[#This Row],[Depreciación Anual]] * Impuestos3225[[#This Row],[Años Transcurridos]], Impuestos3225[[#This Row],[Valor Adquisición (S/)]])</f>
        <v>0</v>
      </c>
      <c r="Q132" s="81">
        <f ca="1">MAX(Impuestos3225[[#This Row],[Valor Adquisición (S/)]]-Impuestos3225[[#This Row],[Depreciación Acumulada]], 0)</f>
        <v>702881.36</v>
      </c>
      <c r="R132" s="81" t="str">
        <f ca="1">IF(Impuestos3225[[#This Row],[Valor Adquisición (S/)]]="","", IF(Impuestos3225[[#This Row],[Valor Neto Actual]]=0,"Veh. Ya no deprecia",""))</f>
        <v/>
      </c>
      <c r="S132" s="81" t="s">
        <v>32</v>
      </c>
      <c r="T132" s="81">
        <f>IFERROR(VLOOKUP(Impuestos3225[[#This Row],[Placa Vehiculo]],$AR$6:$CA$159,26,0),"")</f>
        <v>702881.36</v>
      </c>
      <c r="U132" s="81" t="str">
        <f>IF(Impuestos3225[[#This Row],[Buscar Monto]]=Impuestos3225[[#This Row],[Valor Adquisición (S/)]],"ok","mal")</f>
        <v>ok</v>
      </c>
      <c r="V132" s="81"/>
      <c r="Z132" s="87"/>
      <c r="AR132" s="21" t="str">
        <f t="shared" si="21"/>
        <v>CCX-919</v>
      </c>
      <c r="AS132" s="21">
        <f t="shared" si="22"/>
        <v>3201</v>
      </c>
      <c r="AT132" s="21" t="s">
        <v>45</v>
      </c>
      <c r="AU132" s="98">
        <v>34</v>
      </c>
      <c r="AV132" s="112">
        <v>3341110</v>
      </c>
      <c r="AW132" s="99">
        <v>340233</v>
      </c>
      <c r="AX132" s="100">
        <v>343001000190</v>
      </c>
      <c r="AY132" s="101" t="s">
        <v>653</v>
      </c>
      <c r="AZ132" s="101" t="s">
        <v>893</v>
      </c>
      <c r="BA132" s="101"/>
      <c r="BB132" s="101"/>
      <c r="BC132" s="101"/>
      <c r="BD132" s="102">
        <v>202503006</v>
      </c>
      <c r="BE132" s="101" t="s">
        <v>356</v>
      </c>
      <c r="BF132" s="101"/>
      <c r="BG132" s="103" t="s">
        <v>34</v>
      </c>
      <c r="BH132" s="103" t="s">
        <v>894</v>
      </c>
      <c r="BI132" s="113" t="s">
        <v>357</v>
      </c>
      <c r="BJ132" s="117" t="s">
        <v>895</v>
      </c>
      <c r="BK132" s="104">
        <v>9311090</v>
      </c>
      <c r="BL132" s="104">
        <v>311094001</v>
      </c>
      <c r="BM132" s="104">
        <v>3201</v>
      </c>
      <c r="BN132" s="105">
        <v>45717</v>
      </c>
      <c r="BO132" s="98">
        <v>7</v>
      </c>
      <c r="BP132" s="116">
        <v>14.2857</v>
      </c>
      <c r="BQ132" s="114"/>
      <c r="BR132" s="107">
        <v>3</v>
      </c>
      <c r="BS132" s="114">
        <v>159170.32999999999</v>
      </c>
      <c r="BT132" s="106"/>
      <c r="BU132" s="108">
        <v>1894.88</v>
      </c>
      <c r="BV132" s="120">
        <v>1894.88</v>
      </c>
      <c r="BW132" s="109">
        <v>5684.64</v>
      </c>
      <c r="BX132" s="110">
        <v>5684.64</v>
      </c>
      <c r="BY132" s="110"/>
      <c r="BZ132" s="110"/>
      <c r="CA132" s="108">
        <v>153485.68999999997</v>
      </c>
    </row>
    <row r="133" spans="3:79" x14ac:dyDescent="0.3">
      <c r="C133" s="40" t="str">
        <f>Impuestos3225[[#This Row],[Familia]]</f>
        <v>Camión Furgón Hyundai</v>
      </c>
      <c r="D133" s="7">
        <f t="shared" si="20"/>
        <v>127</v>
      </c>
      <c r="E133" s="24" t="s">
        <v>205</v>
      </c>
      <c r="F133" s="24" t="s">
        <v>179</v>
      </c>
      <c r="G133" s="25" t="s">
        <v>890</v>
      </c>
      <c r="H133" s="24">
        <v>2710</v>
      </c>
      <c r="I133" s="80">
        <v>45627</v>
      </c>
      <c r="J133" s="8">
        <v>8</v>
      </c>
      <c r="K133" s="10">
        <v>12.5</v>
      </c>
      <c r="L133" s="81">
        <v>94213.61</v>
      </c>
      <c r="M133" s="82">
        <f>Impuestos3225[[#This Row],[Valor Adquisición (S/)]]*Impuestos3225[[#This Row],[Tasa  % ]]/100</f>
        <v>11776.70125</v>
      </c>
      <c r="N133" s="81">
        <f>Impuestos3225[[#This Row],[Depreciación Anual]]/12</f>
        <v>981.39177083333334</v>
      </c>
      <c r="O133" s="83">
        <f ca="1">ROUNDDOWN((TODAY()-Impuestos3225[[#This Row],[Fecha de Activación Ingreso]])/365, 0)</f>
        <v>0</v>
      </c>
      <c r="P133" s="81">
        <f ca="1">MIN(Impuestos3225[[#This Row],[Depreciación Anual]] * Impuestos3225[[#This Row],[Años Transcurridos]], Impuestos3225[[#This Row],[Valor Adquisición (S/)]])</f>
        <v>0</v>
      </c>
      <c r="Q133" s="81">
        <f ca="1">MAX(Impuestos3225[[#This Row],[Valor Adquisición (S/)]]-Impuestos3225[[#This Row],[Depreciación Acumulada]], 0)</f>
        <v>94213.61</v>
      </c>
      <c r="R133" s="81" t="str">
        <f ca="1">IF(Impuestos3225[[#This Row],[Valor Adquisición (S/)]]="","", IF(Impuestos3225[[#This Row],[Valor Neto Actual]]=0,"Veh. Ya no deprecia",""))</f>
        <v/>
      </c>
      <c r="S133" s="81" t="s">
        <v>208</v>
      </c>
      <c r="T133" s="81">
        <f>IFERROR(VLOOKUP(Impuestos3225[[#This Row],[Placa Vehiculo]],$AR$6:$CA$159,26,0),"")</f>
        <v>94213.61</v>
      </c>
      <c r="U133" s="81" t="str">
        <f>IF(Impuestos3225[[#This Row],[Buscar Monto]]=Impuestos3225[[#This Row],[Valor Adquisición (S/)]],"ok","mal")</f>
        <v>ok</v>
      </c>
      <c r="V133" s="81"/>
      <c r="Z133" s="87"/>
      <c r="AR133" s="21" t="str">
        <f t="shared" si="21"/>
        <v>CCV-757</v>
      </c>
      <c r="AS133" s="21">
        <f t="shared" si="22"/>
        <v>3201</v>
      </c>
      <c r="AT133" s="21" t="s">
        <v>45</v>
      </c>
      <c r="AU133" s="98">
        <v>34</v>
      </c>
      <c r="AV133" s="112">
        <v>3341110</v>
      </c>
      <c r="AW133" s="99">
        <v>340234</v>
      </c>
      <c r="AX133" s="100">
        <v>343001000191</v>
      </c>
      <c r="AY133" s="101" t="s">
        <v>653</v>
      </c>
      <c r="AZ133" s="101" t="s">
        <v>893</v>
      </c>
      <c r="BA133" s="101"/>
      <c r="BB133" s="101"/>
      <c r="BC133" s="101"/>
      <c r="BD133" s="102">
        <v>202503007</v>
      </c>
      <c r="BE133" s="101" t="s">
        <v>363</v>
      </c>
      <c r="BF133" s="101"/>
      <c r="BG133" s="103" t="s">
        <v>34</v>
      </c>
      <c r="BH133" s="103" t="s">
        <v>894</v>
      </c>
      <c r="BI133" s="113" t="s">
        <v>365</v>
      </c>
      <c r="BJ133" s="117" t="s">
        <v>364</v>
      </c>
      <c r="BK133" s="104">
        <v>9311090</v>
      </c>
      <c r="BL133" s="104">
        <v>311094001</v>
      </c>
      <c r="BM133" s="104">
        <v>3201</v>
      </c>
      <c r="BN133" s="105">
        <v>45717</v>
      </c>
      <c r="BO133" s="98">
        <v>7</v>
      </c>
      <c r="BP133" s="116">
        <v>14.2857</v>
      </c>
      <c r="BQ133" s="114"/>
      <c r="BR133" s="107">
        <v>3</v>
      </c>
      <c r="BS133" s="114">
        <v>159170.32999999999</v>
      </c>
      <c r="BT133" s="106"/>
      <c r="BU133" s="108">
        <v>1894.88</v>
      </c>
      <c r="BV133" s="120">
        <v>1894.88</v>
      </c>
      <c r="BW133" s="109">
        <v>5684.64</v>
      </c>
      <c r="BX133" s="110">
        <v>5684.64</v>
      </c>
      <c r="BY133" s="110"/>
      <c r="BZ133" s="110"/>
      <c r="CA133" s="108">
        <v>153485.68999999997</v>
      </c>
    </row>
    <row r="134" spans="3:79" x14ac:dyDescent="0.3">
      <c r="C134" s="40" t="str">
        <f>Impuestos3225[[#This Row],[Familia]]</f>
        <v>Pick Up Hibrida BYD</v>
      </c>
      <c r="D134" s="7">
        <f t="shared" si="20"/>
        <v>128</v>
      </c>
      <c r="E134" s="24" t="s">
        <v>50</v>
      </c>
      <c r="F134" s="24" t="s">
        <v>37</v>
      </c>
      <c r="G134" s="25" t="s">
        <v>34</v>
      </c>
      <c r="H134" s="24">
        <v>3201</v>
      </c>
      <c r="I134" s="80">
        <v>45717</v>
      </c>
      <c r="J134" s="8">
        <v>7</v>
      </c>
      <c r="K134" s="10">
        <v>14.2857</v>
      </c>
      <c r="L134" s="81">
        <v>159170.32999999999</v>
      </c>
      <c r="M134" s="82">
        <f>Impuestos3225[[#This Row],[Valor Adquisición (S/)]]*Impuestos3225[[#This Row],[Tasa  % ]]/100</f>
        <v>22738.595832809995</v>
      </c>
      <c r="N134" s="81">
        <f>Impuestos3225[[#This Row],[Depreciación Anual]]/12</f>
        <v>1894.8829860674996</v>
      </c>
      <c r="O134" s="83">
        <f ca="1">ROUNDDOWN((TODAY()-Impuestos3225[[#This Row],[Fecha de Activación Ingreso]])/365, 0)</f>
        <v>0</v>
      </c>
      <c r="P134" s="81">
        <f ca="1">MIN(Impuestos3225[[#This Row],[Depreciación Anual]] * Impuestos3225[[#This Row],[Años Transcurridos]], Impuestos3225[[#This Row],[Valor Adquisición (S/)]])</f>
        <v>0</v>
      </c>
      <c r="Q134" s="81">
        <f ca="1">MAX(Impuestos3225[[#This Row],[Valor Adquisición (S/)]]-Impuestos3225[[#This Row],[Depreciación Acumulada]], 0)</f>
        <v>159170.32999999999</v>
      </c>
      <c r="R134" s="81" t="str">
        <f ca="1">IF(Impuestos3225[[#This Row],[Valor Adquisición (S/)]]="","", IF(Impuestos3225[[#This Row],[Valor Neto Actual]]=0,"Veh. Ya no deprecia",""))</f>
        <v/>
      </c>
      <c r="S134" s="81" t="s">
        <v>45</v>
      </c>
      <c r="T134" s="81">
        <f>IFERROR(VLOOKUP(Impuestos3225[[#This Row],[Placa Vehiculo]],$AR$6:$CA$159,26,0),"")</f>
        <v>0</v>
      </c>
      <c r="U134" s="81" t="str">
        <f>IF(Impuestos3225[[#This Row],[Buscar Monto]]=Impuestos3225[[#This Row],[Valor Adquisición (S/)]],"ok","mal")</f>
        <v>mal</v>
      </c>
      <c r="V134" s="81"/>
      <c r="Z134" s="87"/>
      <c r="AR134" s="21" t="str">
        <f t="shared" si="21"/>
        <v>CCU-877</v>
      </c>
      <c r="AS134" s="21">
        <f t="shared" si="22"/>
        <v>3201</v>
      </c>
      <c r="AT134" s="21" t="s">
        <v>45</v>
      </c>
      <c r="AU134" s="98">
        <v>34</v>
      </c>
      <c r="AV134" s="112">
        <v>3341110</v>
      </c>
      <c r="AW134" s="99">
        <v>340235</v>
      </c>
      <c r="AX134" s="100">
        <v>343001000192</v>
      </c>
      <c r="AY134" s="101" t="s">
        <v>653</v>
      </c>
      <c r="AZ134" s="101" t="s">
        <v>893</v>
      </c>
      <c r="BA134" s="101"/>
      <c r="BB134" s="101"/>
      <c r="BC134" s="101"/>
      <c r="BD134" s="102">
        <v>202503008</v>
      </c>
      <c r="BE134" s="101" t="s">
        <v>387</v>
      </c>
      <c r="BF134" s="101"/>
      <c r="BG134" s="103" t="s">
        <v>34</v>
      </c>
      <c r="BH134" s="103" t="s">
        <v>894</v>
      </c>
      <c r="BI134" s="113" t="s">
        <v>389</v>
      </c>
      <c r="BJ134" s="117" t="s">
        <v>388</v>
      </c>
      <c r="BK134" s="104">
        <v>9311090</v>
      </c>
      <c r="BL134" s="104">
        <v>311094001</v>
      </c>
      <c r="BM134" s="104">
        <v>3201</v>
      </c>
      <c r="BN134" s="105">
        <v>45717</v>
      </c>
      <c r="BO134" s="98">
        <v>7</v>
      </c>
      <c r="BP134" s="116">
        <v>14.2857</v>
      </c>
      <c r="BQ134" s="114"/>
      <c r="BR134" s="107">
        <v>3</v>
      </c>
      <c r="BS134" s="114">
        <v>159170.32999999999</v>
      </c>
      <c r="BT134" s="106"/>
      <c r="BU134" s="108">
        <v>1894.88</v>
      </c>
      <c r="BV134" s="120">
        <v>1894.88</v>
      </c>
      <c r="BW134" s="109">
        <v>5684.64</v>
      </c>
      <c r="BX134" s="110">
        <v>5684.64</v>
      </c>
      <c r="BY134" s="110"/>
      <c r="BZ134" s="110"/>
      <c r="CA134" s="108">
        <v>153485.68999999997</v>
      </c>
    </row>
    <row r="135" spans="3:79" x14ac:dyDescent="0.3">
      <c r="C135" s="40" t="str">
        <f>Impuestos3225[[#This Row],[Familia]]</f>
        <v>Pick Up Hibrida BYD</v>
      </c>
      <c r="D135" s="7">
        <f t="shared" ref="D135:D161" si="23">ROW(A129)</f>
        <v>129</v>
      </c>
      <c r="E135" s="24" t="s">
        <v>51</v>
      </c>
      <c r="F135" s="24" t="s">
        <v>37</v>
      </c>
      <c r="G135" s="25" t="s">
        <v>34</v>
      </c>
      <c r="H135" s="24">
        <v>3201</v>
      </c>
      <c r="I135" s="80">
        <v>45717</v>
      </c>
      <c r="J135" s="8">
        <v>7</v>
      </c>
      <c r="K135" s="10">
        <v>14.2857</v>
      </c>
      <c r="L135" s="81">
        <v>159170.32999999999</v>
      </c>
      <c r="M135" s="82">
        <f>Impuestos3225[[#This Row],[Valor Adquisición (S/)]]*Impuestos3225[[#This Row],[Tasa  % ]]/100</f>
        <v>22738.595832809995</v>
      </c>
      <c r="N135" s="81">
        <f>Impuestos3225[[#This Row],[Depreciación Anual]]/12</f>
        <v>1894.8829860674996</v>
      </c>
      <c r="O135" s="83">
        <f ca="1">ROUNDDOWN((TODAY()-Impuestos3225[[#This Row],[Fecha de Activación Ingreso]])/365, 0)</f>
        <v>0</v>
      </c>
      <c r="P135" s="81">
        <f ca="1">MIN(Impuestos3225[[#This Row],[Depreciación Anual]] * Impuestos3225[[#This Row],[Años Transcurridos]], Impuestos3225[[#This Row],[Valor Adquisición (S/)]])</f>
        <v>0</v>
      </c>
      <c r="Q135" s="81">
        <f ca="1">MAX(Impuestos3225[[#This Row],[Valor Adquisición (S/)]]-Impuestos3225[[#This Row],[Depreciación Acumulada]], 0)</f>
        <v>159170.32999999999</v>
      </c>
      <c r="R135" s="81" t="str">
        <f ca="1">IF(Impuestos3225[[#This Row],[Valor Adquisición (S/)]]="","", IF(Impuestos3225[[#This Row],[Valor Neto Actual]]=0,"Veh. Ya no deprecia",""))</f>
        <v/>
      </c>
      <c r="S135" s="81" t="s">
        <v>45</v>
      </c>
      <c r="T135" s="81">
        <f>IFERROR(VLOOKUP(Impuestos3225[[#This Row],[Placa Vehiculo]],$AR$6:$CA$159,26,0),"")</f>
        <v>0</v>
      </c>
      <c r="U135" s="81" t="str">
        <f>IF(Impuestos3225[[#This Row],[Buscar Monto]]=Impuestos3225[[#This Row],[Valor Adquisición (S/)]],"ok","mal")</f>
        <v>mal</v>
      </c>
      <c r="V135" s="81"/>
      <c r="Z135" s="87"/>
      <c r="AR135" s="21" t="str">
        <f t="shared" si="21"/>
        <v>CCX-883</v>
      </c>
      <c r="AS135" s="21">
        <f t="shared" si="22"/>
        <v>3201</v>
      </c>
      <c r="AT135" s="21" t="s">
        <v>45</v>
      </c>
      <c r="AU135" s="98">
        <v>34</v>
      </c>
      <c r="AV135" s="112">
        <v>3341110</v>
      </c>
      <c r="AW135" s="99">
        <v>340236</v>
      </c>
      <c r="AX135" s="100">
        <v>343001000193</v>
      </c>
      <c r="AY135" s="101" t="s">
        <v>653</v>
      </c>
      <c r="AZ135" s="101" t="s">
        <v>893</v>
      </c>
      <c r="BA135" s="101"/>
      <c r="BB135" s="101"/>
      <c r="BC135" s="101"/>
      <c r="BD135" s="102">
        <v>202503009</v>
      </c>
      <c r="BE135" s="101" t="s">
        <v>359</v>
      </c>
      <c r="BF135" s="101"/>
      <c r="BG135" s="103" t="s">
        <v>34</v>
      </c>
      <c r="BH135" s="103" t="s">
        <v>894</v>
      </c>
      <c r="BI135" s="113" t="s">
        <v>361</v>
      </c>
      <c r="BJ135" s="117" t="s">
        <v>360</v>
      </c>
      <c r="BK135" s="104">
        <v>9311090</v>
      </c>
      <c r="BL135" s="104">
        <v>311094001</v>
      </c>
      <c r="BM135" s="104">
        <v>3201</v>
      </c>
      <c r="BN135" s="105">
        <v>45717</v>
      </c>
      <c r="BO135" s="98">
        <v>7</v>
      </c>
      <c r="BP135" s="116">
        <v>14.2857</v>
      </c>
      <c r="BQ135" s="114"/>
      <c r="BR135" s="107">
        <v>3</v>
      </c>
      <c r="BS135" s="114">
        <v>159170.32999999999</v>
      </c>
      <c r="BT135" s="106"/>
      <c r="BU135" s="108">
        <v>1894.88</v>
      </c>
      <c r="BV135" s="120">
        <v>1894.88</v>
      </c>
      <c r="BW135" s="109">
        <v>5684.64</v>
      </c>
      <c r="BX135" s="110">
        <v>5684.64</v>
      </c>
      <c r="BY135" s="110"/>
      <c r="BZ135" s="110"/>
      <c r="CA135" s="108">
        <v>153485.68999999997</v>
      </c>
    </row>
    <row r="136" spans="3:79" x14ac:dyDescent="0.3">
      <c r="C136" s="40" t="str">
        <f>Impuestos3225[[#This Row],[Familia]]</f>
        <v>Pick Up Hibrida BYD</v>
      </c>
      <c r="D136" s="7">
        <f t="shared" si="23"/>
        <v>130</v>
      </c>
      <c r="E136" s="24" t="s">
        <v>53</v>
      </c>
      <c r="F136" s="24" t="s">
        <v>37</v>
      </c>
      <c r="G136" s="25" t="s">
        <v>34</v>
      </c>
      <c r="H136" s="24">
        <v>3201</v>
      </c>
      <c r="I136" s="80">
        <v>45717</v>
      </c>
      <c r="J136" s="8">
        <v>7</v>
      </c>
      <c r="K136" s="10">
        <v>14.2857</v>
      </c>
      <c r="L136" s="81">
        <v>159170.32999999999</v>
      </c>
      <c r="M136" s="82">
        <f>Impuestos3225[[#This Row],[Valor Adquisición (S/)]]*Impuestos3225[[#This Row],[Tasa  % ]]/100</f>
        <v>22738.595832809995</v>
      </c>
      <c r="N136" s="81">
        <f>Impuestos3225[[#This Row],[Depreciación Anual]]/12</f>
        <v>1894.8829860674996</v>
      </c>
      <c r="O136" s="83">
        <f ca="1">ROUNDDOWN((TODAY()-Impuestos3225[[#This Row],[Fecha de Activación Ingreso]])/365, 0)</f>
        <v>0</v>
      </c>
      <c r="P136" s="81">
        <f ca="1">MIN(Impuestos3225[[#This Row],[Depreciación Anual]] * Impuestos3225[[#This Row],[Años Transcurridos]], Impuestos3225[[#This Row],[Valor Adquisición (S/)]])</f>
        <v>0</v>
      </c>
      <c r="Q136" s="81">
        <f ca="1">MAX(Impuestos3225[[#This Row],[Valor Adquisición (S/)]]-Impuestos3225[[#This Row],[Depreciación Acumulada]], 0)</f>
        <v>159170.32999999999</v>
      </c>
      <c r="R136" s="81" t="str">
        <f ca="1">IF(Impuestos3225[[#This Row],[Valor Adquisición (S/)]]="","", IF(Impuestos3225[[#This Row],[Valor Neto Actual]]=0,"Veh. Ya no deprecia",""))</f>
        <v/>
      </c>
      <c r="S136" s="81" t="s">
        <v>45</v>
      </c>
      <c r="T136" s="81">
        <f>IFERROR(VLOOKUP(Impuestos3225[[#This Row],[Placa Vehiculo]],$AR$6:$CA$159,26,0),"")</f>
        <v>0</v>
      </c>
      <c r="U136" s="81" t="str">
        <f>IF(Impuestos3225[[#This Row],[Buscar Monto]]=Impuestos3225[[#This Row],[Valor Adquisición (S/)]],"ok","mal")</f>
        <v>mal</v>
      </c>
      <c r="V136" s="81"/>
      <c r="Z136" s="87"/>
      <c r="AR136" s="21" t="str">
        <f t="shared" ref="AR136:AR159" si="24">CONCATENATE(MID(BE136,1,3),"-",MID(BE136,4,3))</f>
        <v>CCV-847</v>
      </c>
      <c r="AS136" s="21">
        <f t="shared" ref="AS136:AS159" si="25">BM136</f>
        <v>3201</v>
      </c>
      <c r="AT136" s="21" t="s">
        <v>45</v>
      </c>
      <c r="AU136" s="98">
        <v>34</v>
      </c>
      <c r="AV136" s="112">
        <v>3341110</v>
      </c>
      <c r="AW136" s="99">
        <v>340237</v>
      </c>
      <c r="AX136" s="100">
        <v>343001000194</v>
      </c>
      <c r="AY136" s="101" t="s">
        <v>653</v>
      </c>
      <c r="AZ136" s="101" t="s">
        <v>893</v>
      </c>
      <c r="BA136" s="101"/>
      <c r="BB136" s="101"/>
      <c r="BC136" s="101"/>
      <c r="BD136" s="102">
        <v>202503010</v>
      </c>
      <c r="BE136" s="101" t="s">
        <v>375</v>
      </c>
      <c r="BF136" s="101"/>
      <c r="BG136" s="103" t="s">
        <v>34</v>
      </c>
      <c r="BH136" s="103" t="s">
        <v>894</v>
      </c>
      <c r="BI136" s="113" t="s">
        <v>377</v>
      </c>
      <c r="BJ136" s="117" t="s">
        <v>376</v>
      </c>
      <c r="BK136" s="104">
        <v>9311090</v>
      </c>
      <c r="BL136" s="104">
        <v>311094001</v>
      </c>
      <c r="BM136" s="104">
        <v>3201</v>
      </c>
      <c r="BN136" s="105">
        <v>45717</v>
      </c>
      <c r="BO136" s="98">
        <v>7</v>
      </c>
      <c r="BP136" s="116">
        <v>14.2857</v>
      </c>
      <c r="BQ136" s="114"/>
      <c r="BR136" s="107">
        <v>3</v>
      </c>
      <c r="BS136" s="114">
        <v>159170.32999999999</v>
      </c>
      <c r="BT136" s="106"/>
      <c r="BU136" s="108">
        <v>1894.88</v>
      </c>
      <c r="BV136" s="120">
        <v>1894.88</v>
      </c>
      <c r="BW136" s="109">
        <v>5684.64</v>
      </c>
      <c r="BX136" s="110">
        <v>5684.64</v>
      </c>
      <c r="BY136" s="110"/>
      <c r="BZ136" s="110"/>
      <c r="CA136" s="108">
        <v>153485.68999999997</v>
      </c>
    </row>
    <row r="137" spans="3:79" x14ac:dyDescent="0.3">
      <c r="C137" s="40" t="str">
        <f>Impuestos3225[[#This Row],[Familia]]</f>
        <v>Pick Up Hibrida BYD</v>
      </c>
      <c r="D137" s="7">
        <f t="shared" si="23"/>
        <v>131</v>
      </c>
      <c r="E137" s="24" t="s">
        <v>55</v>
      </c>
      <c r="F137" s="24" t="s">
        <v>37</v>
      </c>
      <c r="G137" s="25" t="s">
        <v>34</v>
      </c>
      <c r="H137" s="24">
        <v>3201</v>
      </c>
      <c r="I137" s="80">
        <v>45717</v>
      </c>
      <c r="J137" s="8">
        <v>7</v>
      </c>
      <c r="K137" s="10">
        <v>14.2857</v>
      </c>
      <c r="L137" s="81">
        <v>159170.32999999999</v>
      </c>
      <c r="M137" s="82">
        <f>Impuestos3225[[#This Row],[Valor Adquisición (S/)]]*Impuestos3225[[#This Row],[Tasa  % ]]/100</f>
        <v>22738.595832809995</v>
      </c>
      <c r="N137" s="81">
        <f>Impuestos3225[[#This Row],[Depreciación Anual]]/12</f>
        <v>1894.8829860674996</v>
      </c>
      <c r="O137" s="83">
        <f ca="1">ROUNDDOWN((TODAY()-Impuestos3225[[#This Row],[Fecha de Activación Ingreso]])/365, 0)</f>
        <v>0</v>
      </c>
      <c r="P137" s="81">
        <f ca="1">MIN(Impuestos3225[[#This Row],[Depreciación Anual]] * Impuestos3225[[#This Row],[Años Transcurridos]], Impuestos3225[[#This Row],[Valor Adquisición (S/)]])</f>
        <v>0</v>
      </c>
      <c r="Q137" s="81">
        <f ca="1">MAX(Impuestos3225[[#This Row],[Valor Adquisición (S/)]]-Impuestos3225[[#This Row],[Depreciación Acumulada]], 0)</f>
        <v>159170.32999999999</v>
      </c>
      <c r="R137" s="81" t="str">
        <f ca="1">IF(Impuestos3225[[#This Row],[Valor Adquisición (S/)]]="","", IF(Impuestos3225[[#This Row],[Valor Neto Actual]]=0,"Veh. Ya no deprecia",""))</f>
        <v/>
      </c>
      <c r="S137" s="81" t="s">
        <v>45</v>
      </c>
      <c r="T137" s="81">
        <f>IFERROR(VLOOKUP(Impuestos3225[[#This Row],[Placa Vehiculo]],$AR$6:$CA$159,26,0),"")</f>
        <v>0</v>
      </c>
      <c r="U137" s="81" t="str">
        <f>IF(Impuestos3225[[#This Row],[Buscar Monto]]=Impuestos3225[[#This Row],[Valor Adquisición (S/)]],"ok","mal")</f>
        <v>mal</v>
      </c>
      <c r="V137" s="81"/>
      <c r="Z137" s="87"/>
      <c r="AR137" s="21" t="str">
        <f t="shared" si="24"/>
        <v>CCV-877</v>
      </c>
      <c r="AS137" s="21">
        <f t="shared" si="25"/>
        <v>3201</v>
      </c>
      <c r="AT137" s="21" t="s">
        <v>45</v>
      </c>
      <c r="AU137" s="98">
        <v>34</v>
      </c>
      <c r="AV137" s="112">
        <v>3341110</v>
      </c>
      <c r="AW137" s="99">
        <v>340238</v>
      </c>
      <c r="AX137" s="100">
        <v>343001000195</v>
      </c>
      <c r="AY137" s="101" t="s">
        <v>653</v>
      </c>
      <c r="AZ137" s="101" t="s">
        <v>893</v>
      </c>
      <c r="BA137" s="101"/>
      <c r="BB137" s="101"/>
      <c r="BC137" s="101"/>
      <c r="BD137" s="102">
        <v>202503011</v>
      </c>
      <c r="BE137" s="101" t="s">
        <v>382</v>
      </c>
      <c r="BF137" s="101"/>
      <c r="BG137" s="103" t="s">
        <v>34</v>
      </c>
      <c r="BH137" s="103" t="s">
        <v>894</v>
      </c>
      <c r="BI137" s="113" t="s">
        <v>384</v>
      </c>
      <c r="BJ137" s="117" t="s">
        <v>383</v>
      </c>
      <c r="BK137" s="104">
        <v>9311090</v>
      </c>
      <c r="BL137" s="104">
        <v>311094001</v>
      </c>
      <c r="BM137" s="104">
        <v>3201</v>
      </c>
      <c r="BN137" s="105">
        <v>45717</v>
      </c>
      <c r="BO137" s="98">
        <v>7</v>
      </c>
      <c r="BP137" s="116">
        <v>14.2857</v>
      </c>
      <c r="BQ137" s="114"/>
      <c r="BR137" s="107">
        <v>3</v>
      </c>
      <c r="BS137" s="114">
        <v>159170.32999999999</v>
      </c>
      <c r="BT137" s="106"/>
      <c r="BU137" s="108">
        <v>1894.88</v>
      </c>
      <c r="BV137" s="120">
        <v>1894.88</v>
      </c>
      <c r="BW137" s="109">
        <v>5684.64</v>
      </c>
      <c r="BX137" s="110">
        <v>5684.64</v>
      </c>
      <c r="BY137" s="110"/>
      <c r="BZ137" s="110"/>
      <c r="CA137" s="108">
        <v>153485.68999999997</v>
      </c>
    </row>
    <row r="138" spans="3:79" x14ac:dyDescent="0.3">
      <c r="C138" s="40" t="str">
        <f>Impuestos3225[[#This Row],[Familia]]</f>
        <v>Pick Up Hibrida BYD</v>
      </c>
      <c r="D138" s="7">
        <f t="shared" si="23"/>
        <v>132</v>
      </c>
      <c r="E138" s="24" t="s">
        <v>57</v>
      </c>
      <c r="F138" s="24" t="s">
        <v>37</v>
      </c>
      <c r="G138" s="25" t="s">
        <v>34</v>
      </c>
      <c r="H138" s="24">
        <v>3201</v>
      </c>
      <c r="I138" s="80">
        <v>45717</v>
      </c>
      <c r="J138" s="8">
        <v>7</v>
      </c>
      <c r="K138" s="10">
        <v>14.2857</v>
      </c>
      <c r="L138" s="81">
        <v>159170.32999999999</v>
      </c>
      <c r="M138" s="82">
        <f>Impuestos3225[[#This Row],[Valor Adquisición (S/)]]*Impuestos3225[[#This Row],[Tasa  % ]]/100</f>
        <v>22738.595832809995</v>
      </c>
      <c r="N138" s="81">
        <f>Impuestos3225[[#This Row],[Depreciación Anual]]/12</f>
        <v>1894.8829860674996</v>
      </c>
      <c r="O138" s="83">
        <f ca="1">ROUNDDOWN((TODAY()-Impuestos3225[[#This Row],[Fecha de Activación Ingreso]])/365, 0)</f>
        <v>0</v>
      </c>
      <c r="P138" s="81">
        <f ca="1">MIN(Impuestos3225[[#This Row],[Depreciación Anual]] * Impuestos3225[[#This Row],[Años Transcurridos]], Impuestos3225[[#This Row],[Valor Adquisición (S/)]])</f>
        <v>0</v>
      </c>
      <c r="Q138" s="81">
        <f ca="1">MAX(Impuestos3225[[#This Row],[Valor Adquisición (S/)]]-Impuestos3225[[#This Row],[Depreciación Acumulada]], 0)</f>
        <v>159170.32999999999</v>
      </c>
      <c r="R138" s="81" t="str">
        <f ca="1">IF(Impuestos3225[[#This Row],[Valor Adquisición (S/)]]="","", IF(Impuestos3225[[#This Row],[Valor Neto Actual]]=0,"Veh. Ya no deprecia",""))</f>
        <v/>
      </c>
      <c r="S138" s="81" t="s">
        <v>45</v>
      </c>
      <c r="T138" s="81">
        <f>IFERROR(VLOOKUP(Impuestos3225[[#This Row],[Placa Vehiculo]],$AR$6:$CA$159,26,0),"")</f>
        <v>0</v>
      </c>
      <c r="U138" s="81" t="str">
        <f>IF(Impuestos3225[[#This Row],[Buscar Monto]]=Impuestos3225[[#This Row],[Valor Adquisición (S/)]],"ok","mal")</f>
        <v>mal</v>
      </c>
      <c r="V138" s="81"/>
      <c r="Z138" s="87"/>
      <c r="AR138" s="21" t="str">
        <f t="shared" si="24"/>
        <v>CCV-878</v>
      </c>
      <c r="AS138" s="21">
        <f t="shared" si="25"/>
        <v>3201</v>
      </c>
      <c r="AT138" s="21" t="s">
        <v>45</v>
      </c>
      <c r="AU138" s="98">
        <v>34</v>
      </c>
      <c r="AV138" s="112">
        <v>3341110</v>
      </c>
      <c r="AW138" s="99">
        <v>340239</v>
      </c>
      <c r="AX138" s="100">
        <v>343001000196</v>
      </c>
      <c r="AY138" s="101" t="s">
        <v>653</v>
      </c>
      <c r="AZ138" s="101" t="s">
        <v>893</v>
      </c>
      <c r="BA138" s="101"/>
      <c r="BB138" s="101"/>
      <c r="BC138" s="101"/>
      <c r="BD138" s="102">
        <v>202503012</v>
      </c>
      <c r="BE138" s="101" t="s">
        <v>371</v>
      </c>
      <c r="BF138" s="101"/>
      <c r="BG138" s="103" t="s">
        <v>34</v>
      </c>
      <c r="BH138" s="103" t="s">
        <v>894</v>
      </c>
      <c r="BI138" s="113" t="s">
        <v>373</v>
      </c>
      <c r="BJ138" s="117" t="s">
        <v>372</v>
      </c>
      <c r="BK138" s="104">
        <v>9311090</v>
      </c>
      <c r="BL138" s="104">
        <v>311094001</v>
      </c>
      <c r="BM138" s="104">
        <v>3201</v>
      </c>
      <c r="BN138" s="105">
        <v>45717</v>
      </c>
      <c r="BO138" s="98">
        <v>7</v>
      </c>
      <c r="BP138" s="116">
        <v>14.2857</v>
      </c>
      <c r="BQ138" s="114"/>
      <c r="BR138" s="107">
        <v>3</v>
      </c>
      <c r="BS138" s="114">
        <v>159170.32999999999</v>
      </c>
      <c r="BT138" s="106"/>
      <c r="BU138" s="108">
        <v>1894.88</v>
      </c>
      <c r="BV138" s="120">
        <v>1894.88</v>
      </c>
      <c r="BW138" s="109">
        <v>5684.64</v>
      </c>
      <c r="BX138" s="110">
        <v>5684.64</v>
      </c>
      <c r="BY138" s="110"/>
      <c r="BZ138" s="110"/>
      <c r="CA138" s="108">
        <v>153485.68999999997</v>
      </c>
    </row>
    <row r="139" spans="3:79" x14ac:dyDescent="0.3">
      <c r="C139" s="40" t="str">
        <f>Impuestos3225[[#This Row],[Familia]]</f>
        <v>Pick Up Hibrida BYD</v>
      </c>
      <c r="D139" s="7">
        <f t="shared" si="23"/>
        <v>133</v>
      </c>
      <c r="E139" s="24" t="s">
        <v>41</v>
      </c>
      <c r="F139" s="24" t="s">
        <v>37</v>
      </c>
      <c r="G139" s="25" t="s">
        <v>34</v>
      </c>
      <c r="H139" s="24">
        <v>3201</v>
      </c>
      <c r="I139" s="80">
        <v>45717</v>
      </c>
      <c r="J139" s="8">
        <v>7</v>
      </c>
      <c r="K139" s="10">
        <v>14.2857</v>
      </c>
      <c r="L139" s="81">
        <v>159170.32999999999</v>
      </c>
      <c r="M139" s="82">
        <f>Impuestos3225[[#This Row],[Valor Adquisición (S/)]]*Impuestos3225[[#This Row],[Tasa  % ]]/100</f>
        <v>22738.595832809995</v>
      </c>
      <c r="N139" s="81">
        <f>Impuestos3225[[#This Row],[Depreciación Anual]]/12</f>
        <v>1894.8829860674996</v>
      </c>
      <c r="O139" s="83">
        <f ca="1">ROUNDDOWN((TODAY()-Impuestos3225[[#This Row],[Fecha de Activación Ingreso]])/365, 0)</f>
        <v>0</v>
      </c>
      <c r="P139" s="81">
        <f ca="1">MIN(Impuestos3225[[#This Row],[Depreciación Anual]] * Impuestos3225[[#This Row],[Años Transcurridos]], Impuestos3225[[#This Row],[Valor Adquisición (S/)]])</f>
        <v>0</v>
      </c>
      <c r="Q139" s="81">
        <f ca="1">MAX(Impuestos3225[[#This Row],[Valor Adquisición (S/)]]-Impuestos3225[[#This Row],[Depreciación Acumulada]], 0)</f>
        <v>159170.32999999999</v>
      </c>
      <c r="R139" s="81" t="str">
        <f ca="1">IF(Impuestos3225[[#This Row],[Valor Adquisición (S/)]]="","", IF(Impuestos3225[[#This Row],[Valor Neto Actual]]=0,"Veh. Ya no deprecia",""))</f>
        <v/>
      </c>
      <c r="S139" s="81" t="s">
        <v>45</v>
      </c>
      <c r="T139" s="81">
        <f>IFERROR(VLOOKUP(Impuestos3225[[#This Row],[Placa Vehiculo]],$AR$6:$CA$159,26,0),"")</f>
        <v>0</v>
      </c>
      <c r="U139" s="81" t="str">
        <f>IF(Impuestos3225[[#This Row],[Buscar Monto]]=Impuestos3225[[#This Row],[Valor Adquisición (S/)]],"ok","mal")</f>
        <v>mal</v>
      </c>
      <c r="V139" s="81"/>
      <c r="Z139" s="87"/>
      <c r="AR139" s="21" t="str">
        <f t="shared" si="24"/>
        <v>CCV-938</v>
      </c>
      <c r="AS139" s="21">
        <f t="shared" si="25"/>
        <v>3201</v>
      </c>
      <c r="AT139" s="21" t="s">
        <v>45</v>
      </c>
      <c r="AU139" s="98">
        <v>34</v>
      </c>
      <c r="AV139" s="112">
        <v>3341110</v>
      </c>
      <c r="AW139" s="99">
        <v>340240</v>
      </c>
      <c r="AX139" s="100">
        <v>343001000197</v>
      </c>
      <c r="AY139" s="101" t="s">
        <v>653</v>
      </c>
      <c r="AZ139" s="101" t="s">
        <v>893</v>
      </c>
      <c r="BA139" s="101"/>
      <c r="BB139" s="101"/>
      <c r="BC139" s="101"/>
      <c r="BD139" s="102">
        <v>202503013</v>
      </c>
      <c r="BE139" s="101" t="s">
        <v>367</v>
      </c>
      <c r="BF139" s="101"/>
      <c r="BG139" s="103" t="s">
        <v>34</v>
      </c>
      <c r="BH139" s="103" t="s">
        <v>894</v>
      </c>
      <c r="BI139" s="113" t="s">
        <v>369</v>
      </c>
      <c r="BJ139" s="117" t="s">
        <v>368</v>
      </c>
      <c r="BK139" s="104">
        <v>9311090</v>
      </c>
      <c r="BL139" s="104">
        <v>311094001</v>
      </c>
      <c r="BM139" s="104">
        <v>3201</v>
      </c>
      <c r="BN139" s="105">
        <v>45717</v>
      </c>
      <c r="BO139" s="98">
        <v>7</v>
      </c>
      <c r="BP139" s="116">
        <v>14.2857</v>
      </c>
      <c r="BQ139" s="114"/>
      <c r="BR139" s="107">
        <v>3</v>
      </c>
      <c r="BS139" s="114">
        <v>159170.32999999999</v>
      </c>
      <c r="BT139" s="106"/>
      <c r="BU139" s="108">
        <v>1894.88</v>
      </c>
      <c r="BV139" s="120">
        <v>1894.88</v>
      </c>
      <c r="BW139" s="109">
        <v>5684.64</v>
      </c>
      <c r="BX139" s="110">
        <v>5684.64</v>
      </c>
      <c r="BY139" s="110"/>
      <c r="BZ139" s="110"/>
      <c r="CA139" s="108">
        <v>153485.68999999997</v>
      </c>
    </row>
    <row r="140" spans="3:79" x14ac:dyDescent="0.3">
      <c r="C140" s="40" t="str">
        <f>Impuestos3225[[#This Row],[Familia]]</f>
        <v>Pick Up Hibrida BYD</v>
      </c>
      <c r="D140" s="7">
        <f t="shared" si="23"/>
        <v>134</v>
      </c>
      <c r="E140" s="24" t="s">
        <v>47</v>
      </c>
      <c r="F140" s="24" t="s">
        <v>37</v>
      </c>
      <c r="G140" s="25" t="s">
        <v>34</v>
      </c>
      <c r="H140" s="24">
        <v>3201</v>
      </c>
      <c r="I140" s="80">
        <v>45717</v>
      </c>
      <c r="J140" s="8">
        <v>7</v>
      </c>
      <c r="K140" s="10">
        <v>14.2857</v>
      </c>
      <c r="L140" s="81">
        <v>159170.32999999999</v>
      </c>
      <c r="M140" s="82">
        <f>Impuestos3225[[#This Row],[Valor Adquisición (S/)]]*Impuestos3225[[#This Row],[Tasa  % ]]/100</f>
        <v>22738.595832809995</v>
      </c>
      <c r="N140" s="81">
        <f>Impuestos3225[[#This Row],[Depreciación Anual]]/12</f>
        <v>1894.8829860674996</v>
      </c>
      <c r="O140" s="83">
        <f ca="1">ROUNDDOWN((TODAY()-Impuestos3225[[#This Row],[Fecha de Activación Ingreso]])/365, 0)</f>
        <v>0</v>
      </c>
      <c r="P140" s="81">
        <f ca="1">MIN(Impuestos3225[[#This Row],[Depreciación Anual]] * Impuestos3225[[#This Row],[Años Transcurridos]], Impuestos3225[[#This Row],[Valor Adquisición (S/)]])</f>
        <v>0</v>
      </c>
      <c r="Q140" s="81">
        <f ca="1">MAX(Impuestos3225[[#This Row],[Valor Adquisición (S/)]]-Impuestos3225[[#This Row],[Depreciación Acumulada]], 0)</f>
        <v>159170.32999999999</v>
      </c>
      <c r="R140" s="81" t="str">
        <f ca="1">IF(Impuestos3225[[#This Row],[Valor Adquisición (S/)]]="","", IF(Impuestos3225[[#This Row],[Valor Neto Actual]]=0,"Veh. Ya no deprecia",""))</f>
        <v/>
      </c>
      <c r="S140" s="81" t="s">
        <v>45</v>
      </c>
      <c r="T140" s="81">
        <f>IFERROR(VLOOKUP(Impuestos3225[[#This Row],[Placa Vehiculo]],$AR$6:$CA$159,26,0),"")</f>
        <v>0</v>
      </c>
      <c r="U140" s="81" t="str">
        <f>IF(Impuestos3225[[#This Row],[Buscar Monto]]=Impuestos3225[[#This Row],[Valor Adquisición (S/)]],"ok","mal")</f>
        <v>mal</v>
      </c>
      <c r="V140" s="81"/>
      <c r="Z140" s="87"/>
      <c r="AR140" s="21" t="str">
        <f t="shared" si="24"/>
        <v>BXG-218</v>
      </c>
      <c r="AS140" s="21">
        <f t="shared" si="25"/>
        <v>2000</v>
      </c>
      <c r="AT140" s="21" t="s">
        <v>180</v>
      </c>
      <c r="AU140" s="99">
        <v>34</v>
      </c>
      <c r="AV140" s="99">
        <v>3224110</v>
      </c>
      <c r="AW140" s="99">
        <v>340092</v>
      </c>
      <c r="AX140" s="100">
        <v>343001000049</v>
      </c>
      <c r="AY140" s="113" t="s">
        <v>896</v>
      </c>
      <c r="AZ140" s="101" t="s">
        <v>897</v>
      </c>
      <c r="BA140" s="102"/>
      <c r="BB140" s="102"/>
      <c r="BC140" s="102"/>
      <c r="BD140" s="102">
        <v>202202498</v>
      </c>
      <c r="BE140" s="113" t="s">
        <v>898</v>
      </c>
      <c r="BF140" s="99"/>
      <c r="BG140" s="113" t="s">
        <v>696</v>
      </c>
      <c r="BH140" s="121" t="s">
        <v>899</v>
      </c>
      <c r="BI140" s="121" t="s">
        <v>900</v>
      </c>
      <c r="BJ140" s="104"/>
      <c r="BK140" s="104">
        <v>9411030</v>
      </c>
      <c r="BL140" s="111">
        <v>411030001</v>
      </c>
      <c r="BM140" s="104">
        <v>2000</v>
      </c>
      <c r="BN140" s="105">
        <v>44494</v>
      </c>
      <c r="BO140" s="98">
        <v>6</v>
      </c>
      <c r="BP140" s="98">
        <v>16.667000000000002</v>
      </c>
      <c r="BQ140" s="106">
        <v>107151.85</v>
      </c>
      <c r="BR140" s="107"/>
      <c r="BS140" s="106"/>
      <c r="BT140" s="120">
        <v>56557.79</v>
      </c>
      <c r="BU140" s="108">
        <v>1488.25</v>
      </c>
      <c r="BV140" s="108">
        <v>1488.25</v>
      </c>
      <c r="BW140" s="109">
        <v>8929.5</v>
      </c>
      <c r="BX140" s="110">
        <v>65487.29</v>
      </c>
      <c r="BY140" s="110"/>
      <c r="BZ140" s="110"/>
      <c r="CA140" s="108">
        <v>41664.560000000005</v>
      </c>
    </row>
    <row r="141" spans="3:79" x14ac:dyDescent="0.3">
      <c r="C141" s="40" t="str">
        <f>Impuestos3225[[#This Row],[Familia]]</f>
        <v>Pick Up Hibrida BYD</v>
      </c>
      <c r="D141" s="7">
        <f t="shared" si="23"/>
        <v>135</v>
      </c>
      <c r="E141" s="24" t="s">
        <v>49</v>
      </c>
      <c r="F141" s="24" t="s">
        <v>37</v>
      </c>
      <c r="G141" s="25" t="s">
        <v>34</v>
      </c>
      <c r="H141" s="24">
        <v>3201</v>
      </c>
      <c r="I141" s="80">
        <v>45717</v>
      </c>
      <c r="J141" s="8">
        <v>7</v>
      </c>
      <c r="K141" s="10">
        <v>14.2857</v>
      </c>
      <c r="L141" s="81">
        <v>159170.32999999999</v>
      </c>
      <c r="M141" s="82">
        <f>Impuestos3225[[#This Row],[Valor Adquisición (S/)]]*Impuestos3225[[#This Row],[Tasa  % ]]/100</f>
        <v>22738.595832809995</v>
      </c>
      <c r="N141" s="81">
        <f>Impuestos3225[[#This Row],[Depreciación Anual]]/12</f>
        <v>1894.8829860674996</v>
      </c>
      <c r="O141" s="83">
        <f ca="1">ROUNDDOWN((TODAY()-Impuestos3225[[#This Row],[Fecha de Activación Ingreso]])/365, 0)</f>
        <v>0</v>
      </c>
      <c r="P141" s="81">
        <f ca="1">MIN(Impuestos3225[[#This Row],[Depreciación Anual]] * Impuestos3225[[#This Row],[Años Transcurridos]], Impuestos3225[[#This Row],[Valor Adquisición (S/)]])</f>
        <v>0</v>
      </c>
      <c r="Q141" s="81">
        <f ca="1">MAX(Impuestos3225[[#This Row],[Valor Adquisición (S/)]]-Impuestos3225[[#This Row],[Depreciación Acumulada]], 0)</f>
        <v>159170.32999999999</v>
      </c>
      <c r="R141" s="81" t="str">
        <f ca="1">IF(Impuestos3225[[#This Row],[Valor Adquisición (S/)]]="","", IF(Impuestos3225[[#This Row],[Valor Neto Actual]]=0,"Veh. Ya no deprecia",""))</f>
        <v/>
      </c>
      <c r="S141" s="81" t="s">
        <v>45</v>
      </c>
      <c r="T141" s="81">
        <f>IFERROR(VLOOKUP(Impuestos3225[[#This Row],[Placa Vehiculo]],$AR$6:$CA$159,26,0),"")</f>
        <v>0</v>
      </c>
      <c r="U141" s="81" t="str">
        <f>IF(Impuestos3225[[#This Row],[Buscar Monto]]=Impuestos3225[[#This Row],[Valor Adquisición (S/)]],"ok","mal")</f>
        <v>mal</v>
      </c>
      <c r="V141" s="81"/>
      <c r="Z141" s="87"/>
      <c r="AR141" s="21" t="str">
        <f t="shared" si="24"/>
        <v>BMD-779</v>
      </c>
      <c r="AS141" s="21">
        <f t="shared" si="25"/>
        <v>4220</v>
      </c>
      <c r="AT141" s="21" t="s">
        <v>221</v>
      </c>
      <c r="AU141" s="112">
        <v>34</v>
      </c>
      <c r="AV141" s="99">
        <v>3224110</v>
      </c>
      <c r="AW141" s="99">
        <v>340101</v>
      </c>
      <c r="AX141" s="100">
        <v>343001000055</v>
      </c>
      <c r="AY141" s="113" t="s">
        <v>896</v>
      </c>
      <c r="AZ141" s="101" t="s">
        <v>901</v>
      </c>
      <c r="BA141" s="99"/>
      <c r="BB141" s="99"/>
      <c r="BC141" s="99"/>
      <c r="BD141" s="99">
        <v>202201858</v>
      </c>
      <c r="BE141" s="103" t="s">
        <v>902</v>
      </c>
      <c r="BF141" s="99"/>
      <c r="BG141" s="103" t="s">
        <v>652</v>
      </c>
      <c r="BH141" s="103" t="s">
        <v>657</v>
      </c>
      <c r="BI141" s="115" t="s">
        <v>903</v>
      </c>
      <c r="BJ141" s="104"/>
      <c r="BK141" s="104">
        <v>9111030</v>
      </c>
      <c r="BL141" s="118">
        <v>111030001</v>
      </c>
      <c r="BM141" s="104">
        <v>4220</v>
      </c>
      <c r="BN141" s="122">
        <v>44502</v>
      </c>
      <c r="BO141" s="98">
        <v>6</v>
      </c>
      <c r="BP141" s="98">
        <v>16.667000000000002</v>
      </c>
      <c r="BQ141" s="120">
        <v>87093.79</v>
      </c>
      <c r="BR141" s="107"/>
      <c r="BS141" s="114"/>
      <c r="BT141" s="110">
        <v>44760.689999999995</v>
      </c>
      <c r="BU141" s="108">
        <v>1209.6600000000001</v>
      </c>
      <c r="BV141" s="108">
        <v>1209.6600000000001</v>
      </c>
      <c r="BW141" s="109">
        <v>7257.96</v>
      </c>
      <c r="BX141" s="110">
        <v>52018.649999999994</v>
      </c>
      <c r="BY141" s="110"/>
      <c r="BZ141" s="110"/>
      <c r="CA141" s="108">
        <v>35075.14</v>
      </c>
    </row>
    <row r="142" spans="3:79" x14ac:dyDescent="0.3">
      <c r="C142" s="40" t="str">
        <f>Impuestos3225[[#This Row],[Familia]]</f>
        <v>Pick Up CI 4x2 Ford</v>
      </c>
      <c r="D142" s="7">
        <f t="shared" si="23"/>
        <v>136</v>
      </c>
      <c r="E142" s="24" t="s">
        <v>175</v>
      </c>
      <c r="F142" s="24" t="s">
        <v>179</v>
      </c>
      <c r="G142" s="25" t="s">
        <v>696</v>
      </c>
      <c r="H142" s="24">
        <v>2000</v>
      </c>
      <c r="I142" s="80">
        <v>44494</v>
      </c>
      <c r="J142" s="8">
        <v>6</v>
      </c>
      <c r="K142" s="10">
        <v>16.667000000000002</v>
      </c>
      <c r="L142" s="81">
        <v>107151.85</v>
      </c>
      <c r="M142" s="82">
        <f>Impuestos3225[[#This Row],[Valor Adquisición (S/)]]*Impuestos3225[[#This Row],[Tasa  % ]]/100</f>
        <v>17858.9988395</v>
      </c>
      <c r="N142" s="81">
        <f>Impuestos3225[[#This Row],[Depreciación Anual]]/12</f>
        <v>1488.2499032916667</v>
      </c>
      <c r="O142" s="83">
        <f ca="1">ROUNDDOWN((TODAY()-Impuestos3225[[#This Row],[Fecha de Activación Ingreso]])/365, 0)</f>
        <v>4</v>
      </c>
      <c r="P142" s="81">
        <f ca="1">MIN(Impuestos3225[[#This Row],[Depreciación Anual]] * Impuestos3225[[#This Row],[Años Transcurridos]], Impuestos3225[[#This Row],[Valor Adquisición (S/)]])</f>
        <v>71435.995358</v>
      </c>
      <c r="Q142" s="81">
        <f ca="1">MAX(Impuestos3225[[#This Row],[Valor Adquisición (S/)]]-Impuestos3225[[#This Row],[Depreciación Acumulada]], 0)</f>
        <v>35715.854642000006</v>
      </c>
      <c r="R142" s="81" t="str">
        <f ca="1">IF(Impuestos3225[[#This Row],[Valor Adquisición (S/)]]="","", IF(Impuestos3225[[#This Row],[Valor Neto Actual]]=0,"Veh. Ya no deprecia",""))</f>
        <v/>
      </c>
      <c r="S142" s="81" t="s">
        <v>180</v>
      </c>
      <c r="T142" s="81">
        <f>IFERROR(VLOOKUP(Impuestos3225[[#This Row],[Placa Vehiculo]],$AR$6:$CA$159,26,0),"")</f>
        <v>107151.85</v>
      </c>
      <c r="U142" s="81" t="str">
        <f>IF(Impuestos3225[[#This Row],[Buscar Monto]]=Impuestos3225[[#This Row],[Valor Adquisición (S/)]],"ok","mal")</f>
        <v>ok</v>
      </c>
      <c r="V142" s="81"/>
      <c r="Z142" s="87"/>
      <c r="AR142" s="21" t="str">
        <f t="shared" si="24"/>
        <v>BMF-780</v>
      </c>
      <c r="AS142" s="21">
        <f t="shared" si="25"/>
        <v>4220</v>
      </c>
      <c r="AT142" s="21" t="s">
        <v>221</v>
      </c>
      <c r="AU142" s="112">
        <v>34</v>
      </c>
      <c r="AV142" s="99">
        <v>3224110</v>
      </c>
      <c r="AW142" s="99">
        <v>340103</v>
      </c>
      <c r="AX142" s="100">
        <v>343001000057</v>
      </c>
      <c r="AY142" s="113" t="s">
        <v>896</v>
      </c>
      <c r="AZ142" s="101" t="s">
        <v>901</v>
      </c>
      <c r="BA142" s="99"/>
      <c r="BB142" s="99"/>
      <c r="BC142" s="99"/>
      <c r="BD142" s="99">
        <v>202201861</v>
      </c>
      <c r="BE142" s="103" t="s">
        <v>904</v>
      </c>
      <c r="BF142" s="99"/>
      <c r="BG142" s="103" t="s">
        <v>652</v>
      </c>
      <c r="BH142" s="103" t="s">
        <v>657</v>
      </c>
      <c r="BI142" s="115" t="s">
        <v>905</v>
      </c>
      <c r="BJ142" s="104"/>
      <c r="BK142" s="104">
        <v>9111030</v>
      </c>
      <c r="BL142" s="118">
        <v>111030001</v>
      </c>
      <c r="BM142" s="104">
        <v>4220</v>
      </c>
      <c r="BN142" s="122">
        <v>44502</v>
      </c>
      <c r="BO142" s="98">
        <v>6</v>
      </c>
      <c r="BP142" s="98">
        <v>16.667000000000002</v>
      </c>
      <c r="BQ142" s="120">
        <v>87093.79</v>
      </c>
      <c r="BR142" s="107"/>
      <c r="BS142" s="114"/>
      <c r="BT142" s="110">
        <v>44760.689999999995</v>
      </c>
      <c r="BU142" s="108">
        <v>1209.6600000000001</v>
      </c>
      <c r="BV142" s="108">
        <v>1209.6600000000001</v>
      </c>
      <c r="BW142" s="109">
        <v>7257.96</v>
      </c>
      <c r="BX142" s="110">
        <v>52018.649999999994</v>
      </c>
      <c r="BY142" s="110"/>
      <c r="BZ142" s="110"/>
      <c r="CA142" s="108">
        <v>35075.14</v>
      </c>
    </row>
    <row r="143" spans="3:79" x14ac:dyDescent="0.3">
      <c r="C143" s="40" t="str">
        <f>Impuestos3225[[#This Row],[Familia]]</f>
        <v>Pick Up CI 4x2 Toyota</v>
      </c>
      <c r="D143" s="7">
        <f t="shared" si="23"/>
        <v>137</v>
      </c>
      <c r="E143" s="24" t="s">
        <v>222</v>
      </c>
      <c r="F143" s="24" t="s">
        <v>179</v>
      </c>
      <c r="G143" s="25" t="s">
        <v>652</v>
      </c>
      <c r="H143" s="24">
        <v>4220</v>
      </c>
      <c r="I143" s="80">
        <v>44502</v>
      </c>
      <c r="J143" s="8">
        <v>6</v>
      </c>
      <c r="K143" s="10">
        <v>16.667000000000002</v>
      </c>
      <c r="L143" s="81">
        <v>87093.79</v>
      </c>
      <c r="M143" s="82">
        <f>Impuestos3225[[#This Row],[Valor Adquisición (S/)]]*Impuestos3225[[#This Row],[Tasa  % ]]/100</f>
        <v>14515.921979300001</v>
      </c>
      <c r="N143" s="81">
        <f>Impuestos3225[[#This Row],[Depreciación Anual]]/12</f>
        <v>1209.6601649416668</v>
      </c>
      <c r="O143" s="83">
        <f ca="1">ROUNDDOWN((TODAY()-Impuestos3225[[#This Row],[Fecha de Activación Ingreso]])/365, 0)</f>
        <v>4</v>
      </c>
      <c r="P143" s="81">
        <f ca="1">MIN(Impuestos3225[[#This Row],[Depreciación Anual]] * Impuestos3225[[#This Row],[Años Transcurridos]], Impuestos3225[[#This Row],[Valor Adquisición (S/)]])</f>
        <v>58063.687917200004</v>
      </c>
      <c r="Q143" s="81">
        <f ca="1">MAX(Impuestos3225[[#This Row],[Valor Adquisición (S/)]]-Impuestos3225[[#This Row],[Depreciación Acumulada]], 0)</f>
        <v>29030.102082799989</v>
      </c>
      <c r="R143" s="81" t="str">
        <f ca="1">IF(Impuestos3225[[#This Row],[Valor Adquisición (S/)]]="","", IF(Impuestos3225[[#This Row],[Valor Neto Actual]]=0,"Veh. Ya no deprecia",""))</f>
        <v/>
      </c>
      <c r="S143" s="81" t="s">
        <v>221</v>
      </c>
      <c r="T143" s="81">
        <f>IFERROR(VLOOKUP(Impuestos3225[[#This Row],[Placa Vehiculo]],$AR$6:$CA$159,26,0),"")</f>
        <v>87093.79</v>
      </c>
      <c r="U143" s="81" t="str">
        <f>IF(Impuestos3225[[#This Row],[Buscar Monto]]=Impuestos3225[[#This Row],[Valor Adquisición (S/)]],"ok","mal")</f>
        <v>ok</v>
      </c>
      <c r="V143" s="81"/>
      <c r="Z143" s="87"/>
      <c r="AR143" s="21" t="str">
        <f t="shared" si="24"/>
        <v>BMD-886</v>
      </c>
      <c r="AS143" s="21">
        <f t="shared" si="25"/>
        <v>4220</v>
      </c>
      <c r="AT143" s="21" t="s">
        <v>221</v>
      </c>
      <c r="AU143" s="112">
        <v>34</v>
      </c>
      <c r="AV143" s="99">
        <v>3224110</v>
      </c>
      <c r="AW143" s="99">
        <v>340107</v>
      </c>
      <c r="AX143" s="100">
        <v>343001000061</v>
      </c>
      <c r="AY143" s="113" t="s">
        <v>896</v>
      </c>
      <c r="AZ143" s="101" t="s">
        <v>901</v>
      </c>
      <c r="BA143" s="99"/>
      <c r="BB143" s="99"/>
      <c r="BC143" s="99"/>
      <c r="BD143" s="99">
        <v>202201865</v>
      </c>
      <c r="BE143" s="103" t="s">
        <v>906</v>
      </c>
      <c r="BF143" s="99"/>
      <c r="BG143" s="103" t="s">
        <v>652</v>
      </c>
      <c r="BH143" s="103" t="s">
        <v>657</v>
      </c>
      <c r="BI143" s="115" t="s">
        <v>907</v>
      </c>
      <c r="BJ143" s="104"/>
      <c r="BK143" s="104">
        <v>9111030</v>
      </c>
      <c r="BL143" s="118">
        <v>111030001</v>
      </c>
      <c r="BM143" s="104">
        <v>4220</v>
      </c>
      <c r="BN143" s="122">
        <v>44502</v>
      </c>
      <c r="BO143" s="98">
        <v>6</v>
      </c>
      <c r="BP143" s="98">
        <v>16.667000000000002</v>
      </c>
      <c r="BQ143" s="120">
        <v>87093.79</v>
      </c>
      <c r="BR143" s="107"/>
      <c r="BS143" s="114"/>
      <c r="BT143" s="110">
        <v>44760.689999999995</v>
      </c>
      <c r="BU143" s="108">
        <v>1209.6600000000001</v>
      </c>
      <c r="BV143" s="108">
        <v>1209.6600000000001</v>
      </c>
      <c r="BW143" s="109">
        <v>7257.96</v>
      </c>
      <c r="BX143" s="110">
        <v>52018.649999999994</v>
      </c>
      <c r="BY143" s="110"/>
      <c r="BZ143" s="110"/>
      <c r="CA143" s="108">
        <v>35075.14</v>
      </c>
    </row>
    <row r="144" spans="3:79" x14ac:dyDescent="0.3">
      <c r="C144" s="40" t="str">
        <f>Impuestos3225[[#This Row],[Familia]]</f>
        <v>Pick Up CI 4x2 Toyota</v>
      </c>
      <c r="D144" s="7">
        <f t="shared" si="23"/>
        <v>138</v>
      </c>
      <c r="E144" s="24" t="s">
        <v>236</v>
      </c>
      <c r="F144" s="24" t="s">
        <v>179</v>
      </c>
      <c r="G144" s="25" t="s">
        <v>652</v>
      </c>
      <c r="H144" s="24">
        <v>4220</v>
      </c>
      <c r="I144" s="80">
        <v>44502</v>
      </c>
      <c r="J144" s="8">
        <v>6</v>
      </c>
      <c r="K144" s="10">
        <v>16.667000000000002</v>
      </c>
      <c r="L144" s="81">
        <v>87093.79</v>
      </c>
      <c r="M144" s="82">
        <f>Impuestos3225[[#This Row],[Valor Adquisición (S/)]]*Impuestos3225[[#This Row],[Tasa  % ]]/100</f>
        <v>14515.921979300001</v>
      </c>
      <c r="N144" s="81">
        <f>Impuestos3225[[#This Row],[Depreciación Anual]]/12</f>
        <v>1209.6601649416668</v>
      </c>
      <c r="O144" s="83">
        <f ca="1">ROUNDDOWN((TODAY()-Impuestos3225[[#This Row],[Fecha de Activación Ingreso]])/365, 0)</f>
        <v>4</v>
      </c>
      <c r="P144" s="81">
        <f ca="1">MIN(Impuestos3225[[#This Row],[Depreciación Anual]] * Impuestos3225[[#This Row],[Años Transcurridos]], Impuestos3225[[#This Row],[Valor Adquisición (S/)]])</f>
        <v>58063.687917200004</v>
      </c>
      <c r="Q144" s="81">
        <f ca="1">MAX(Impuestos3225[[#This Row],[Valor Adquisición (S/)]]-Impuestos3225[[#This Row],[Depreciación Acumulada]], 0)</f>
        <v>29030.102082799989</v>
      </c>
      <c r="R144" s="81" t="str">
        <f ca="1">IF(Impuestos3225[[#This Row],[Valor Adquisición (S/)]]="","", IF(Impuestos3225[[#This Row],[Valor Neto Actual]]=0,"Veh. Ya no deprecia",""))</f>
        <v/>
      </c>
      <c r="S144" s="81" t="s">
        <v>221</v>
      </c>
      <c r="T144" s="81">
        <f>IFERROR(VLOOKUP(Impuestos3225[[#This Row],[Placa Vehiculo]],$AR$6:$CA$159,26,0),"")</f>
        <v>87093.79</v>
      </c>
      <c r="U144" s="81" t="str">
        <f>IF(Impuestos3225[[#This Row],[Buscar Monto]]=Impuestos3225[[#This Row],[Valor Adquisición (S/)]],"ok","mal")</f>
        <v>ok</v>
      </c>
      <c r="V144" s="81"/>
      <c r="Z144" s="87"/>
      <c r="AR144" s="21" t="str">
        <f t="shared" si="24"/>
        <v>BMF-779</v>
      </c>
      <c r="AS144" s="21">
        <f t="shared" si="25"/>
        <v>4230</v>
      </c>
      <c r="AT144" s="21" t="s">
        <v>221</v>
      </c>
      <c r="AU144" s="112">
        <v>34</v>
      </c>
      <c r="AV144" s="99">
        <v>3224110</v>
      </c>
      <c r="AW144" s="99">
        <v>340105</v>
      </c>
      <c r="AX144" s="100">
        <v>343001000059</v>
      </c>
      <c r="AY144" s="113" t="s">
        <v>896</v>
      </c>
      <c r="AZ144" s="101" t="s">
        <v>901</v>
      </c>
      <c r="BA144" s="99"/>
      <c r="BB144" s="99"/>
      <c r="BC144" s="99"/>
      <c r="BD144" s="99">
        <v>202202937</v>
      </c>
      <c r="BE144" s="103" t="s">
        <v>908</v>
      </c>
      <c r="BF144" s="99"/>
      <c r="BG144" s="103" t="s">
        <v>652</v>
      </c>
      <c r="BH144" s="103" t="s">
        <v>657</v>
      </c>
      <c r="BI144" s="115" t="s">
        <v>909</v>
      </c>
      <c r="BJ144" s="104"/>
      <c r="BK144" s="111">
        <v>9111040</v>
      </c>
      <c r="BL144" s="111">
        <v>111040001</v>
      </c>
      <c r="BM144" s="104">
        <v>4230</v>
      </c>
      <c r="BN144" s="122">
        <v>44502</v>
      </c>
      <c r="BO144" s="98">
        <v>6</v>
      </c>
      <c r="BP144" s="98">
        <v>16.667000000000002</v>
      </c>
      <c r="BQ144" s="120">
        <v>87093.79</v>
      </c>
      <c r="BR144" s="107"/>
      <c r="BS144" s="114"/>
      <c r="BT144" s="110">
        <v>44760.689999999995</v>
      </c>
      <c r="BU144" s="108">
        <v>1209.6600000000001</v>
      </c>
      <c r="BV144" s="108">
        <v>1209.6600000000001</v>
      </c>
      <c r="BW144" s="109">
        <v>7257.96</v>
      </c>
      <c r="BX144" s="110">
        <v>52018.649999999994</v>
      </c>
      <c r="BY144" s="110"/>
      <c r="BZ144" s="110"/>
      <c r="CA144" s="108">
        <v>35075.14</v>
      </c>
    </row>
    <row r="145" spans="3:79" x14ac:dyDescent="0.3">
      <c r="C145" s="40" t="str">
        <f>Impuestos3225[[#This Row],[Familia]]</f>
        <v>Pick Up CI 4x2 Toyota</v>
      </c>
      <c r="D145" s="7">
        <f t="shared" si="23"/>
        <v>139</v>
      </c>
      <c r="E145" s="24" t="s">
        <v>223</v>
      </c>
      <c r="F145" s="24" t="s">
        <v>179</v>
      </c>
      <c r="G145" s="25" t="s">
        <v>652</v>
      </c>
      <c r="H145" s="24">
        <v>4220</v>
      </c>
      <c r="I145" s="80">
        <v>44502</v>
      </c>
      <c r="J145" s="8">
        <v>6</v>
      </c>
      <c r="K145" s="10">
        <v>16.667000000000002</v>
      </c>
      <c r="L145" s="81">
        <v>87093.79</v>
      </c>
      <c r="M145" s="82">
        <f>Impuestos3225[[#This Row],[Valor Adquisición (S/)]]*Impuestos3225[[#This Row],[Tasa  % ]]/100</f>
        <v>14515.921979300001</v>
      </c>
      <c r="N145" s="81">
        <f>Impuestos3225[[#This Row],[Depreciación Anual]]/12</f>
        <v>1209.6601649416668</v>
      </c>
      <c r="O145" s="83">
        <f ca="1">ROUNDDOWN((TODAY()-Impuestos3225[[#This Row],[Fecha de Activación Ingreso]])/365, 0)</f>
        <v>4</v>
      </c>
      <c r="P145" s="81">
        <f ca="1">MIN(Impuestos3225[[#This Row],[Depreciación Anual]] * Impuestos3225[[#This Row],[Años Transcurridos]], Impuestos3225[[#This Row],[Valor Adquisición (S/)]])</f>
        <v>58063.687917200004</v>
      </c>
      <c r="Q145" s="81">
        <f ca="1">MAX(Impuestos3225[[#This Row],[Valor Adquisición (S/)]]-Impuestos3225[[#This Row],[Depreciación Acumulada]], 0)</f>
        <v>29030.102082799989</v>
      </c>
      <c r="R145" s="81" t="str">
        <f ca="1">IF(Impuestos3225[[#This Row],[Valor Adquisición (S/)]]="","", IF(Impuestos3225[[#This Row],[Valor Neto Actual]]=0,"Veh. Ya no deprecia",""))</f>
        <v/>
      </c>
      <c r="S145" s="81" t="s">
        <v>221</v>
      </c>
      <c r="T145" s="81">
        <f>IFERROR(VLOOKUP(Impuestos3225[[#This Row],[Placa Vehiculo]],$AR$6:$CA$159,26,0),"")</f>
        <v>87093.79</v>
      </c>
      <c r="U145" s="81" t="str">
        <f>IF(Impuestos3225[[#This Row],[Buscar Monto]]=Impuestos3225[[#This Row],[Valor Adquisición (S/)]],"ok","mal")</f>
        <v>ok</v>
      </c>
      <c r="V145" s="81"/>
      <c r="Z145" s="87"/>
      <c r="AR145" s="21" t="str">
        <f t="shared" si="24"/>
        <v>BMD-887</v>
      </c>
      <c r="AS145" s="21">
        <f t="shared" si="25"/>
        <v>4235</v>
      </c>
      <c r="AT145" s="21" t="s">
        <v>221</v>
      </c>
      <c r="AU145" s="112">
        <v>34</v>
      </c>
      <c r="AV145" s="99">
        <v>3224110</v>
      </c>
      <c r="AW145" s="99">
        <v>340109</v>
      </c>
      <c r="AX145" s="100">
        <v>343001000063</v>
      </c>
      <c r="AY145" s="113" t="s">
        <v>896</v>
      </c>
      <c r="AZ145" s="101" t="s">
        <v>901</v>
      </c>
      <c r="BA145" s="99"/>
      <c r="BB145" s="99"/>
      <c r="BC145" s="99"/>
      <c r="BD145" s="99">
        <v>202201873</v>
      </c>
      <c r="BE145" s="103" t="s">
        <v>910</v>
      </c>
      <c r="BF145" s="99"/>
      <c r="BG145" s="103" t="s">
        <v>652</v>
      </c>
      <c r="BH145" s="103" t="s">
        <v>657</v>
      </c>
      <c r="BI145" s="115" t="s">
        <v>911</v>
      </c>
      <c r="BJ145" s="104"/>
      <c r="BK145" s="111">
        <v>9111040</v>
      </c>
      <c r="BL145" s="111">
        <v>111040001</v>
      </c>
      <c r="BM145" s="104">
        <v>4235</v>
      </c>
      <c r="BN145" s="122">
        <v>44502</v>
      </c>
      <c r="BO145" s="98">
        <v>6</v>
      </c>
      <c r="BP145" s="98">
        <v>16.667000000000002</v>
      </c>
      <c r="BQ145" s="120">
        <v>87093.79</v>
      </c>
      <c r="BR145" s="107"/>
      <c r="BS145" s="114"/>
      <c r="BT145" s="110">
        <v>44760.689999999995</v>
      </c>
      <c r="BU145" s="108">
        <v>1209.6600000000001</v>
      </c>
      <c r="BV145" s="108">
        <v>1209.6600000000001</v>
      </c>
      <c r="BW145" s="109">
        <v>7257.96</v>
      </c>
      <c r="BX145" s="110">
        <v>52018.649999999994</v>
      </c>
      <c r="BY145" s="110"/>
      <c r="BZ145" s="110"/>
      <c r="CA145" s="108">
        <v>35075.14</v>
      </c>
    </row>
    <row r="146" spans="3:79" x14ac:dyDescent="0.3">
      <c r="C146" s="40" t="str">
        <f>Impuestos3225[[#This Row],[Familia]]</f>
        <v>Pick Up CI 4x2 Toyota</v>
      </c>
      <c r="D146" s="7">
        <f t="shared" si="23"/>
        <v>140</v>
      </c>
      <c r="E146" s="24" t="s">
        <v>235</v>
      </c>
      <c r="F146" s="24" t="s">
        <v>179</v>
      </c>
      <c r="G146" s="25" t="s">
        <v>652</v>
      </c>
      <c r="H146" s="24">
        <v>4230</v>
      </c>
      <c r="I146" s="80">
        <v>44502</v>
      </c>
      <c r="J146" s="8">
        <v>6</v>
      </c>
      <c r="K146" s="10">
        <v>16.667000000000002</v>
      </c>
      <c r="L146" s="81">
        <v>87093.79</v>
      </c>
      <c r="M146" s="82">
        <f>Impuestos3225[[#This Row],[Valor Adquisición (S/)]]*Impuestos3225[[#This Row],[Tasa  % ]]/100</f>
        <v>14515.921979300001</v>
      </c>
      <c r="N146" s="81">
        <f>Impuestos3225[[#This Row],[Depreciación Anual]]/12</f>
        <v>1209.6601649416668</v>
      </c>
      <c r="O146" s="83">
        <f ca="1">ROUNDDOWN((TODAY()-Impuestos3225[[#This Row],[Fecha de Activación Ingreso]])/365, 0)</f>
        <v>4</v>
      </c>
      <c r="P146" s="81">
        <f ca="1">MIN(Impuestos3225[[#This Row],[Depreciación Anual]] * Impuestos3225[[#This Row],[Años Transcurridos]], Impuestos3225[[#This Row],[Valor Adquisición (S/)]])</f>
        <v>58063.687917200004</v>
      </c>
      <c r="Q146" s="81">
        <f ca="1">MAX(Impuestos3225[[#This Row],[Valor Adquisición (S/)]]-Impuestos3225[[#This Row],[Depreciación Acumulada]], 0)</f>
        <v>29030.102082799989</v>
      </c>
      <c r="R146" s="81" t="str">
        <f ca="1">IF(Impuestos3225[[#This Row],[Valor Adquisición (S/)]]="","", IF(Impuestos3225[[#This Row],[Valor Neto Actual]]=0,"Veh. Ya no deprecia",""))</f>
        <v/>
      </c>
      <c r="S146" s="81" t="s">
        <v>221</v>
      </c>
      <c r="T146" s="81">
        <f>IFERROR(VLOOKUP(Impuestos3225[[#This Row],[Placa Vehiculo]],$AR$6:$CA$159,26,0),"")</f>
        <v>87093.79</v>
      </c>
      <c r="U146" s="81" t="str">
        <f>IF(Impuestos3225[[#This Row],[Buscar Monto]]=Impuestos3225[[#This Row],[Valor Adquisición (S/)]],"ok","mal")</f>
        <v>ok</v>
      </c>
      <c r="V146" s="81"/>
      <c r="Z146" s="87"/>
      <c r="AR146" s="21" t="str">
        <f t="shared" si="24"/>
        <v>BME-702</v>
      </c>
      <c r="AS146" s="21">
        <f t="shared" si="25"/>
        <v>4235</v>
      </c>
      <c r="AT146" s="21" t="s">
        <v>221</v>
      </c>
      <c r="AU146" s="112">
        <v>34</v>
      </c>
      <c r="AV146" s="99">
        <v>3224110</v>
      </c>
      <c r="AW146" s="99">
        <v>340110</v>
      </c>
      <c r="AX146" s="100">
        <v>343001000064</v>
      </c>
      <c r="AY146" s="113" t="s">
        <v>896</v>
      </c>
      <c r="AZ146" s="101" t="s">
        <v>901</v>
      </c>
      <c r="BA146" s="99"/>
      <c r="BB146" s="99"/>
      <c r="BC146" s="99"/>
      <c r="BD146" s="99">
        <v>202201874</v>
      </c>
      <c r="BE146" s="103" t="s">
        <v>912</v>
      </c>
      <c r="BF146" s="99"/>
      <c r="BG146" s="103" t="s">
        <v>652</v>
      </c>
      <c r="BH146" s="103" t="s">
        <v>657</v>
      </c>
      <c r="BI146" s="115" t="s">
        <v>913</v>
      </c>
      <c r="BJ146" s="104"/>
      <c r="BK146" s="111">
        <v>9111040</v>
      </c>
      <c r="BL146" s="111">
        <v>111040001</v>
      </c>
      <c r="BM146" s="104">
        <v>4235</v>
      </c>
      <c r="BN146" s="122">
        <v>44502</v>
      </c>
      <c r="BO146" s="98">
        <v>6</v>
      </c>
      <c r="BP146" s="98">
        <v>16.667000000000002</v>
      </c>
      <c r="BQ146" s="120">
        <v>87093.79</v>
      </c>
      <c r="BR146" s="107"/>
      <c r="BS146" s="114"/>
      <c r="BT146" s="110">
        <v>44760.689999999995</v>
      </c>
      <c r="BU146" s="108">
        <v>1209.6600000000001</v>
      </c>
      <c r="BV146" s="108">
        <v>1209.6600000000001</v>
      </c>
      <c r="BW146" s="109">
        <v>7257.96</v>
      </c>
      <c r="BX146" s="110">
        <v>52018.649999999994</v>
      </c>
      <c r="BY146" s="110"/>
      <c r="BZ146" s="110"/>
      <c r="CA146" s="108">
        <v>35075.14</v>
      </c>
    </row>
    <row r="147" spans="3:79" x14ac:dyDescent="0.3">
      <c r="C147" s="40" t="str">
        <f>Impuestos3225[[#This Row],[Familia]]</f>
        <v>Pick Up CI 4x2 Toyota</v>
      </c>
      <c r="D147" s="7">
        <f t="shared" si="23"/>
        <v>141</v>
      </c>
      <c r="E147" s="24" t="s">
        <v>224</v>
      </c>
      <c r="F147" s="24" t="s">
        <v>179</v>
      </c>
      <c r="G147" s="25" t="s">
        <v>652</v>
      </c>
      <c r="H147" s="24">
        <v>4235</v>
      </c>
      <c r="I147" s="80">
        <v>44502</v>
      </c>
      <c r="J147" s="8">
        <v>6</v>
      </c>
      <c r="K147" s="10">
        <v>16.667000000000002</v>
      </c>
      <c r="L147" s="81">
        <v>87093.79</v>
      </c>
      <c r="M147" s="82">
        <f>Impuestos3225[[#This Row],[Valor Adquisición (S/)]]*Impuestos3225[[#This Row],[Tasa  % ]]/100</f>
        <v>14515.921979300001</v>
      </c>
      <c r="N147" s="81">
        <f>Impuestos3225[[#This Row],[Depreciación Anual]]/12</f>
        <v>1209.6601649416668</v>
      </c>
      <c r="O147" s="83">
        <f ca="1">ROUNDDOWN((TODAY()-Impuestos3225[[#This Row],[Fecha de Activación Ingreso]])/365, 0)</f>
        <v>4</v>
      </c>
      <c r="P147" s="81">
        <f ca="1">MIN(Impuestos3225[[#This Row],[Depreciación Anual]] * Impuestos3225[[#This Row],[Años Transcurridos]], Impuestos3225[[#This Row],[Valor Adquisición (S/)]])</f>
        <v>58063.687917200004</v>
      </c>
      <c r="Q147" s="81">
        <f ca="1">MAX(Impuestos3225[[#This Row],[Valor Adquisición (S/)]]-Impuestos3225[[#This Row],[Depreciación Acumulada]], 0)</f>
        <v>29030.102082799989</v>
      </c>
      <c r="R147" s="81" t="str">
        <f ca="1">IF(Impuestos3225[[#This Row],[Valor Adquisición (S/)]]="","", IF(Impuestos3225[[#This Row],[Valor Neto Actual]]=0,"Veh. Ya no deprecia",""))</f>
        <v/>
      </c>
      <c r="S147" s="81" t="s">
        <v>221</v>
      </c>
      <c r="T147" s="81">
        <f>IFERROR(VLOOKUP(Impuestos3225[[#This Row],[Placa Vehiculo]],$AR$6:$CA$159,26,0),"")</f>
        <v>87093.79</v>
      </c>
      <c r="U147" s="81" t="str">
        <f>IF(Impuestos3225[[#This Row],[Buscar Monto]]=Impuestos3225[[#This Row],[Valor Adquisición (S/)]],"ok","mal")</f>
        <v>ok</v>
      </c>
      <c r="V147" s="81"/>
      <c r="Z147" s="87"/>
      <c r="AR147" s="21" t="str">
        <f t="shared" si="24"/>
        <v>BME-733</v>
      </c>
      <c r="AS147" s="21">
        <f t="shared" si="25"/>
        <v>4230</v>
      </c>
      <c r="AT147" s="21" t="s">
        <v>221</v>
      </c>
      <c r="AU147" s="112">
        <v>34</v>
      </c>
      <c r="AV147" s="99">
        <v>3224110</v>
      </c>
      <c r="AW147" s="99">
        <v>340094</v>
      </c>
      <c r="AX147" s="100">
        <v>343001000050</v>
      </c>
      <c r="AY147" s="113" t="s">
        <v>896</v>
      </c>
      <c r="AZ147" s="101" t="s">
        <v>901</v>
      </c>
      <c r="BA147" s="99"/>
      <c r="BB147" s="99"/>
      <c r="BC147" s="99"/>
      <c r="BD147" s="99">
        <v>202202936</v>
      </c>
      <c r="BE147" s="103" t="s">
        <v>914</v>
      </c>
      <c r="BF147" s="99"/>
      <c r="BG147" s="103" t="s">
        <v>652</v>
      </c>
      <c r="BH147" s="103" t="s">
        <v>657</v>
      </c>
      <c r="BI147" s="115" t="s">
        <v>915</v>
      </c>
      <c r="BJ147" s="104"/>
      <c r="BK147" s="111">
        <v>9111040</v>
      </c>
      <c r="BL147" s="111">
        <v>111040001</v>
      </c>
      <c r="BM147" s="104">
        <v>4230</v>
      </c>
      <c r="BN147" s="122">
        <v>44502</v>
      </c>
      <c r="BO147" s="98">
        <v>6</v>
      </c>
      <c r="BP147" s="98">
        <v>16.667000000000002</v>
      </c>
      <c r="BQ147" s="120">
        <v>87093.79</v>
      </c>
      <c r="BR147" s="107"/>
      <c r="BS147" s="114"/>
      <c r="BT147" s="110">
        <v>44760.689999999995</v>
      </c>
      <c r="BU147" s="108">
        <v>1209.6600000000001</v>
      </c>
      <c r="BV147" s="108">
        <v>1209.6600000000001</v>
      </c>
      <c r="BW147" s="109">
        <v>7257.96</v>
      </c>
      <c r="BX147" s="110">
        <v>52018.649999999994</v>
      </c>
      <c r="BY147" s="110"/>
      <c r="BZ147" s="110"/>
      <c r="CA147" s="108">
        <v>35075.14</v>
      </c>
    </row>
    <row r="148" spans="3:79" x14ac:dyDescent="0.3">
      <c r="C148" s="40" t="str">
        <f>Impuestos3225[[#This Row],[Familia]]</f>
        <v>Pick Up CI 4x2 Toyota</v>
      </c>
      <c r="D148" s="7">
        <f t="shared" si="23"/>
        <v>142</v>
      </c>
      <c r="E148" s="24" t="s">
        <v>227</v>
      </c>
      <c r="F148" s="24" t="s">
        <v>179</v>
      </c>
      <c r="G148" s="25" t="s">
        <v>652</v>
      </c>
      <c r="H148" s="24">
        <v>4235</v>
      </c>
      <c r="I148" s="80">
        <v>44502</v>
      </c>
      <c r="J148" s="8">
        <v>6</v>
      </c>
      <c r="K148" s="10">
        <v>16.667000000000002</v>
      </c>
      <c r="L148" s="81">
        <v>87093.79</v>
      </c>
      <c r="M148" s="82">
        <f>Impuestos3225[[#This Row],[Valor Adquisición (S/)]]*Impuestos3225[[#This Row],[Tasa  % ]]/100</f>
        <v>14515.921979300001</v>
      </c>
      <c r="N148" s="81">
        <f>Impuestos3225[[#This Row],[Depreciación Anual]]/12</f>
        <v>1209.6601649416668</v>
      </c>
      <c r="O148" s="83">
        <f ca="1">ROUNDDOWN((TODAY()-Impuestos3225[[#This Row],[Fecha de Activación Ingreso]])/365, 0)</f>
        <v>4</v>
      </c>
      <c r="P148" s="81">
        <f ca="1">MIN(Impuestos3225[[#This Row],[Depreciación Anual]] * Impuestos3225[[#This Row],[Años Transcurridos]], Impuestos3225[[#This Row],[Valor Adquisición (S/)]])</f>
        <v>58063.687917200004</v>
      </c>
      <c r="Q148" s="81">
        <f ca="1">MAX(Impuestos3225[[#This Row],[Valor Adquisición (S/)]]-Impuestos3225[[#This Row],[Depreciación Acumulada]], 0)</f>
        <v>29030.102082799989</v>
      </c>
      <c r="R148" s="81" t="str">
        <f ca="1">IF(Impuestos3225[[#This Row],[Valor Adquisición (S/)]]="","", IF(Impuestos3225[[#This Row],[Valor Neto Actual]]=0,"Veh. Ya no deprecia",""))</f>
        <v/>
      </c>
      <c r="S148" s="81" t="s">
        <v>221</v>
      </c>
      <c r="T148" s="81">
        <f>IFERROR(VLOOKUP(Impuestos3225[[#This Row],[Placa Vehiculo]],$AR$6:$CA$159,26,0),"")</f>
        <v>87093.79</v>
      </c>
      <c r="U148" s="81" t="str">
        <f>IF(Impuestos3225[[#This Row],[Buscar Monto]]=Impuestos3225[[#This Row],[Valor Adquisición (S/)]],"ok","mal")</f>
        <v>ok</v>
      </c>
      <c r="V148" s="81"/>
      <c r="Z148" s="87"/>
      <c r="AR148" s="21" t="str">
        <f t="shared" si="24"/>
        <v>BMD-931</v>
      </c>
      <c r="AS148" s="21">
        <f t="shared" si="25"/>
        <v>4230</v>
      </c>
      <c r="AT148" s="21" t="s">
        <v>221</v>
      </c>
      <c r="AU148" s="112">
        <v>34</v>
      </c>
      <c r="AV148" s="99">
        <v>3224110</v>
      </c>
      <c r="AW148" s="99">
        <v>340095</v>
      </c>
      <c r="AX148" s="100">
        <v>343001000051</v>
      </c>
      <c r="AY148" s="113" t="s">
        <v>896</v>
      </c>
      <c r="AZ148" s="101" t="s">
        <v>901</v>
      </c>
      <c r="BA148" s="99"/>
      <c r="BB148" s="99"/>
      <c r="BC148" s="99"/>
      <c r="BD148" s="99">
        <v>202202935</v>
      </c>
      <c r="BE148" s="103" t="s">
        <v>916</v>
      </c>
      <c r="BF148" s="99"/>
      <c r="BG148" s="103" t="s">
        <v>652</v>
      </c>
      <c r="BH148" s="103" t="s">
        <v>657</v>
      </c>
      <c r="BI148" s="115" t="s">
        <v>917</v>
      </c>
      <c r="BJ148" s="104"/>
      <c r="BK148" s="111">
        <v>9111040</v>
      </c>
      <c r="BL148" s="111">
        <v>111040001</v>
      </c>
      <c r="BM148" s="104">
        <v>4230</v>
      </c>
      <c r="BN148" s="122">
        <v>44502</v>
      </c>
      <c r="BO148" s="98">
        <v>6</v>
      </c>
      <c r="BP148" s="98">
        <v>16.667000000000002</v>
      </c>
      <c r="BQ148" s="120">
        <v>87093.79</v>
      </c>
      <c r="BR148" s="107"/>
      <c r="BS148" s="114"/>
      <c r="BT148" s="110">
        <v>44760.689999999995</v>
      </c>
      <c r="BU148" s="108">
        <v>1209.6600000000001</v>
      </c>
      <c r="BV148" s="108">
        <v>1209.6600000000001</v>
      </c>
      <c r="BW148" s="109">
        <v>7257.96</v>
      </c>
      <c r="BX148" s="110">
        <v>52018.649999999994</v>
      </c>
      <c r="BY148" s="110"/>
      <c r="BZ148" s="110"/>
      <c r="CA148" s="108">
        <v>35075.14</v>
      </c>
    </row>
    <row r="149" spans="3:79" x14ac:dyDescent="0.3">
      <c r="C149" s="40" t="str">
        <f>Impuestos3225[[#This Row],[Familia]]</f>
        <v>Pick Up CI 4x2 Toyota</v>
      </c>
      <c r="D149" s="7">
        <f t="shared" si="23"/>
        <v>143</v>
      </c>
      <c r="E149" s="24" t="s">
        <v>229</v>
      </c>
      <c r="F149" s="24" t="s">
        <v>179</v>
      </c>
      <c r="G149" s="25" t="s">
        <v>652</v>
      </c>
      <c r="H149" s="24">
        <v>4230</v>
      </c>
      <c r="I149" s="80">
        <v>44502</v>
      </c>
      <c r="J149" s="8">
        <v>6</v>
      </c>
      <c r="K149" s="10">
        <v>16.667000000000002</v>
      </c>
      <c r="L149" s="81">
        <v>87093.79</v>
      </c>
      <c r="M149" s="82">
        <f>Impuestos3225[[#This Row],[Valor Adquisición (S/)]]*Impuestos3225[[#This Row],[Tasa  % ]]/100</f>
        <v>14515.921979300001</v>
      </c>
      <c r="N149" s="81">
        <f>Impuestos3225[[#This Row],[Depreciación Anual]]/12</f>
        <v>1209.6601649416668</v>
      </c>
      <c r="O149" s="83">
        <f ca="1">ROUNDDOWN((TODAY()-Impuestos3225[[#This Row],[Fecha de Activación Ingreso]])/365, 0)</f>
        <v>4</v>
      </c>
      <c r="P149" s="81">
        <f ca="1">MIN(Impuestos3225[[#This Row],[Depreciación Anual]] * Impuestos3225[[#This Row],[Años Transcurridos]], Impuestos3225[[#This Row],[Valor Adquisición (S/)]])</f>
        <v>58063.687917200004</v>
      </c>
      <c r="Q149" s="81">
        <f ca="1">MAX(Impuestos3225[[#This Row],[Valor Adquisición (S/)]]-Impuestos3225[[#This Row],[Depreciación Acumulada]], 0)</f>
        <v>29030.102082799989</v>
      </c>
      <c r="R149" s="81" t="str">
        <f ca="1">IF(Impuestos3225[[#This Row],[Valor Adquisición (S/)]]="","", IF(Impuestos3225[[#This Row],[Valor Neto Actual]]=0,"Veh. Ya no deprecia",""))</f>
        <v/>
      </c>
      <c r="S149" s="81" t="s">
        <v>221</v>
      </c>
      <c r="T149" s="81">
        <f>IFERROR(VLOOKUP(Impuestos3225[[#This Row],[Placa Vehiculo]],$AR$6:$CA$159,26,0),"")</f>
        <v>87093.79</v>
      </c>
      <c r="U149" s="81" t="str">
        <f>IF(Impuestos3225[[#This Row],[Buscar Monto]]=Impuestos3225[[#This Row],[Valor Adquisición (S/)]],"ok","mal")</f>
        <v>ok</v>
      </c>
      <c r="V149" s="81"/>
      <c r="Z149" s="87"/>
      <c r="AR149" s="21" t="str">
        <f t="shared" si="24"/>
        <v>BME-848</v>
      </c>
      <c r="AS149" s="21">
        <f t="shared" si="25"/>
        <v>4230</v>
      </c>
      <c r="AT149" s="21" t="s">
        <v>221</v>
      </c>
      <c r="AU149" s="112">
        <v>34</v>
      </c>
      <c r="AV149" s="99">
        <v>3224110</v>
      </c>
      <c r="AW149" s="99">
        <v>340096</v>
      </c>
      <c r="AX149" s="100">
        <v>343001000052</v>
      </c>
      <c r="AY149" s="113" t="s">
        <v>896</v>
      </c>
      <c r="AZ149" s="101" t="s">
        <v>901</v>
      </c>
      <c r="BA149" s="99"/>
      <c r="BB149" s="99"/>
      <c r="BC149" s="99"/>
      <c r="BD149" s="99">
        <v>202202934</v>
      </c>
      <c r="BE149" s="103" t="s">
        <v>918</v>
      </c>
      <c r="BF149" s="99"/>
      <c r="BG149" s="103" t="s">
        <v>652</v>
      </c>
      <c r="BH149" s="103" t="s">
        <v>657</v>
      </c>
      <c r="BI149" s="115" t="s">
        <v>919</v>
      </c>
      <c r="BJ149" s="104"/>
      <c r="BK149" s="111">
        <v>9111040</v>
      </c>
      <c r="BL149" s="111">
        <v>111040001</v>
      </c>
      <c r="BM149" s="104">
        <v>4230</v>
      </c>
      <c r="BN149" s="122">
        <v>44502</v>
      </c>
      <c r="BO149" s="98">
        <v>6</v>
      </c>
      <c r="BP149" s="98">
        <v>16.667000000000002</v>
      </c>
      <c r="BQ149" s="120">
        <v>87093.79</v>
      </c>
      <c r="BR149" s="107"/>
      <c r="BS149" s="114"/>
      <c r="BT149" s="110">
        <v>44760.689999999995</v>
      </c>
      <c r="BU149" s="108">
        <v>1209.6600000000001</v>
      </c>
      <c r="BV149" s="108">
        <v>1209.6600000000001</v>
      </c>
      <c r="BW149" s="109">
        <v>7257.96</v>
      </c>
      <c r="BX149" s="110">
        <v>52018.649999999994</v>
      </c>
      <c r="BY149" s="110"/>
      <c r="BZ149" s="110"/>
      <c r="CA149" s="108">
        <v>35075.14</v>
      </c>
    </row>
    <row r="150" spans="3:79" x14ac:dyDescent="0.3">
      <c r="C150" s="40" t="str">
        <f>Impuestos3225[[#This Row],[Familia]]</f>
        <v>Pick Up CI 4x2 Toyota</v>
      </c>
      <c r="D150" s="7">
        <f t="shared" si="23"/>
        <v>144</v>
      </c>
      <c r="E150" s="24" t="s">
        <v>225</v>
      </c>
      <c r="F150" s="24" t="s">
        <v>179</v>
      </c>
      <c r="G150" s="25" t="s">
        <v>652</v>
      </c>
      <c r="H150" s="24">
        <v>4230</v>
      </c>
      <c r="I150" s="80">
        <v>44502</v>
      </c>
      <c r="J150" s="8">
        <v>6</v>
      </c>
      <c r="K150" s="10">
        <v>16.667000000000002</v>
      </c>
      <c r="L150" s="81">
        <v>87093.79</v>
      </c>
      <c r="M150" s="82">
        <f>Impuestos3225[[#This Row],[Valor Adquisición (S/)]]*Impuestos3225[[#This Row],[Tasa  % ]]/100</f>
        <v>14515.921979300001</v>
      </c>
      <c r="N150" s="81">
        <f>Impuestos3225[[#This Row],[Depreciación Anual]]/12</f>
        <v>1209.6601649416668</v>
      </c>
      <c r="O150" s="83">
        <f ca="1">ROUNDDOWN((TODAY()-Impuestos3225[[#This Row],[Fecha de Activación Ingreso]])/365, 0)</f>
        <v>4</v>
      </c>
      <c r="P150" s="81">
        <f ca="1">MIN(Impuestos3225[[#This Row],[Depreciación Anual]] * Impuestos3225[[#This Row],[Años Transcurridos]], Impuestos3225[[#This Row],[Valor Adquisición (S/)]])</f>
        <v>58063.687917200004</v>
      </c>
      <c r="Q150" s="81">
        <f ca="1">MAX(Impuestos3225[[#This Row],[Valor Adquisición (S/)]]-Impuestos3225[[#This Row],[Depreciación Acumulada]], 0)</f>
        <v>29030.102082799989</v>
      </c>
      <c r="R150" s="81" t="str">
        <f ca="1">IF(Impuestos3225[[#This Row],[Valor Adquisición (S/)]]="","", IF(Impuestos3225[[#This Row],[Valor Neto Actual]]=0,"Veh. Ya no deprecia",""))</f>
        <v/>
      </c>
      <c r="S150" s="81" t="s">
        <v>221</v>
      </c>
      <c r="T150" s="81">
        <f>IFERROR(VLOOKUP(Impuestos3225[[#This Row],[Placa Vehiculo]],$AR$6:$CA$159,26,0),"")</f>
        <v>87093.79</v>
      </c>
      <c r="U150" s="81" t="str">
        <f>IF(Impuestos3225[[#This Row],[Buscar Monto]]=Impuestos3225[[#This Row],[Valor Adquisición (S/)]],"ok","mal")</f>
        <v>ok</v>
      </c>
      <c r="V150" s="81"/>
      <c r="Z150" s="87"/>
      <c r="AR150" s="21" t="str">
        <f t="shared" si="24"/>
        <v>BME-734</v>
      </c>
      <c r="AS150" s="21">
        <f t="shared" si="25"/>
        <v>4230</v>
      </c>
      <c r="AT150" s="21" t="s">
        <v>221</v>
      </c>
      <c r="AU150" s="112">
        <v>34</v>
      </c>
      <c r="AV150" s="99">
        <v>3224110</v>
      </c>
      <c r="AW150" s="99">
        <v>340097</v>
      </c>
      <c r="AX150" s="100">
        <v>343001000053</v>
      </c>
      <c r="AY150" s="113" t="s">
        <v>896</v>
      </c>
      <c r="AZ150" s="101" t="s">
        <v>901</v>
      </c>
      <c r="BA150" s="99"/>
      <c r="BB150" s="99"/>
      <c r="BC150" s="99"/>
      <c r="BD150" s="99">
        <v>202202933</v>
      </c>
      <c r="BE150" s="103" t="s">
        <v>920</v>
      </c>
      <c r="BF150" s="99"/>
      <c r="BG150" s="103" t="s">
        <v>652</v>
      </c>
      <c r="BH150" s="103" t="s">
        <v>657</v>
      </c>
      <c r="BI150" s="115" t="s">
        <v>921</v>
      </c>
      <c r="BJ150" s="104"/>
      <c r="BK150" s="111">
        <v>9111040</v>
      </c>
      <c r="BL150" s="111">
        <v>111040001</v>
      </c>
      <c r="BM150" s="104">
        <v>4230</v>
      </c>
      <c r="BN150" s="122">
        <v>44502</v>
      </c>
      <c r="BO150" s="98">
        <v>6</v>
      </c>
      <c r="BP150" s="98">
        <v>16.667000000000002</v>
      </c>
      <c r="BQ150" s="120">
        <v>87093.79</v>
      </c>
      <c r="BR150" s="107"/>
      <c r="BS150" s="114"/>
      <c r="BT150" s="110">
        <v>44760.689999999995</v>
      </c>
      <c r="BU150" s="108">
        <v>1209.6600000000001</v>
      </c>
      <c r="BV150" s="108">
        <v>1209.6600000000001</v>
      </c>
      <c r="BW150" s="109">
        <v>7257.96</v>
      </c>
      <c r="BX150" s="110">
        <v>52018.649999999994</v>
      </c>
      <c r="BY150" s="110"/>
      <c r="BZ150" s="110"/>
      <c r="CA150" s="108">
        <v>35075.14</v>
      </c>
    </row>
    <row r="151" spans="3:79" x14ac:dyDescent="0.3">
      <c r="C151" s="40" t="str">
        <f>Impuestos3225[[#This Row],[Familia]]</f>
        <v>Pick Up CI 4x2 Toyota</v>
      </c>
      <c r="D151" s="7">
        <f t="shared" si="23"/>
        <v>145</v>
      </c>
      <c r="E151" s="24" t="s">
        <v>231</v>
      </c>
      <c r="F151" s="24" t="s">
        <v>179</v>
      </c>
      <c r="G151" s="25" t="s">
        <v>652</v>
      </c>
      <c r="H151" s="24">
        <v>4230</v>
      </c>
      <c r="I151" s="80">
        <v>44502</v>
      </c>
      <c r="J151" s="8">
        <v>6</v>
      </c>
      <c r="K151" s="10">
        <v>16.667000000000002</v>
      </c>
      <c r="L151" s="81">
        <v>87093.79</v>
      </c>
      <c r="M151" s="82">
        <f>Impuestos3225[[#This Row],[Valor Adquisición (S/)]]*Impuestos3225[[#This Row],[Tasa  % ]]/100</f>
        <v>14515.921979300001</v>
      </c>
      <c r="N151" s="81">
        <f>Impuestos3225[[#This Row],[Depreciación Anual]]/12</f>
        <v>1209.6601649416668</v>
      </c>
      <c r="O151" s="83">
        <f ca="1">ROUNDDOWN((TODAY()-Impuestos3225[[#This Row],[Fecha de Activación Ingreso]])/365, 0)</f>
        <v>4</v>
      </c>
      <c r="P151" s="81">
        <f ca="1">MIN(Impuestos3225[[#This Row],[Depreciación Anual]] * Impuestos3225[[#This Row],[Años Transcurridos]], Impuestos3225[[#This Row],[Valor Adquisición (S/)]])</f>
        <v>58063.687917200004</v>
      </c>
      <c r="Q151" s="81">
        <f ca="1">MAX(Impuestos3225[[#This Row],[Valor Adquisición (S/)]]-Impuestos3225[[#This Row],[Depreciación Acumulada]], 0)</f>
        <v>29030.102082799989</v>
      </c>
      <c r="R151" s="81" t="str">
        <f ca="1">IF(Impuestos3225[[#This Row],[Valor Adquisición (S/)]]="","", IF(Impuestos3225[[#This Row],[Valor Neto Actual]]=0,"Veh. Ya no deprecia",""))</f>
        <v/>
      </c>
      <c r="S151" s="81" t="s">
        <v>221</v>
      </c>
      <c r="T151" s="81">
        <f>IFERROR(VLOOKUP(Impuestos3225[[#This Row],[Placa Vehiculo]],$AR$6:$CA$159,26,0),"")</f>
        <v>87093.79</v>
      </c>
      <c r="U151" s="81" t="str">
        <f>IF(Impuestos3225[[#This Row],[Buscar Monto]]=Impuestos3225[[#This Row],[Valor Adquisición (S/)]],"ok","mal")</f>
        <v>ok</v>
      </c>
      <c r="V151" s="81"/>
      <c r="Z151" s="87"/>
      <c r="AR151" s="21" t="str">
        <f t="shared" si="24"/>
        <v>BME-849</v>
      </c>
      <c r="AS151" s="21">
        <f t="shared" si="25"/>
        <v>4230</v>
      </c>
      <c r="AT151" s="21" t="s">
        <v>221</v>
      </c>
      <c r="AU151" s="112">
        <v>34</v>
      </c>
      <c r="AV151" s="99">
        <v>3224110</v>
      </c>
      <c r="AW151" s="99">
        <v>340098</v>
      </c>
      <c r="AX151" s="100">
        <v>343001000054</v>
      </c>
      <c r="AY151" s="113" t="s">
        <v>896</v>
      </c>
      <c r="AZ151" s="101" t="s">
        <v>901</v>
      </c>
      <c r="BA151" s="99"/>
      <c r="BB151" s="99"/>
      <c r="BC151" s="99"/>
      <c r="BD151" s="99">
        <v>202202938</v>
      </c>
      <c r="BE151" s="103" t="s">
        <v>922</v>
      </c>
      <c r="BF151" s="99"/>
      <c r="BG151" s="103" t="s">
        <v>652</v>
      </c>
      <c r="BH151" s="103" t="s">
        <v>657</v>
      </c>
      <c r="BI151" s="115" t="s">
        <v>923</v>
      </c>
      <c r="BJ151" s="104"/>
      <c r="BK151" s="111">
        <v>9111040</v>
      </c>
      <c r="BL151" s="111">
        <v>111040001</v>
      </c>
      <c r="BM151" s="104">
        <v>4230</v>
      </c>
      <c r="BN151" s="122">
        <v>44502</v>
      </c>
      <c r="BO151" s="98">
        <v>6</v>
      </c>
      <c r="BP151" s="98">
        <v>16.667000000000002</v>
      </c>
      <c r="BQ151" s="120">
        <v>87093.79</v>
      </c>
      <c r="BR151" s="107"/>
      <c r="BS151" s="114"/>
      <c r="BT151" s="110">
        <v>44760.689999999995</v>
      </c>
      <c r="BU151" s="108">
        <v>1209.6600000000001</v>
      </c>
      <c r="BV151" s="108">
        <v>1209.6600000000001</v>
      </c>
      <c r="BW151" s="109">
        <v>7257.96</v>
      </c>
      <c r="BX151" s="110">
        <v>52018.649999999994</v>
      </c>
      <c r="BY151" s="110"/>
      <c r="BZ151" s="110"/>
      <c r="CA151" s="108">
        <v>35075.14</v>
      </c>
    </row>
    <row r="152" spans="3:79" x14ac:dyDescent="0.3">
      <c r="C152" s="40" t="str">
        <f>Impuestos3225[[#This Row],[Familia]]</f>
        <v>Pick Up CI 4x2 Toyota</v>
      </c>
      <c r="D152" s="7">
        <f t="shared" si="23"/>
        <v>146</v>
      </c>
      <c r="E152" s="24" t="s">
        <v>230</v>
      </c>
      <c r="F152" s="24" t="s">
        <v>179</v>
      </c>
      <c r="G152" s="25" t="s">
        <v>652</v>
      </c>
      <c r="H152" s="24">
        <v>4230</v>
      </c>
      <c r="I152" s="80">
        <v>44502</v>
      </c>
      <c r="J152" s="8">
        <v>6</v>
      </c>
      <c r="K152" s="10">
        <v>16.667000000000002</v>
      </c>
      <c r="L152" s="81">
        <v>87093.79</v>
      </c>
      <c r="M152" s="82">
        <f>Impuestos3225[[#This Row],[Valor Adquisición (S/)]]*Impuestos3225[[#This Row],[Tasa  % ]]/100</f>
        <v>14515.921979300001</v>
      </c>
      <c r="N152" s="81">
        <f>Impuestos3225[[#This Row],[Depreciación Anual]]/12</f>
        <v>1209.6601649416668</v>
      </c>
      <c r="O152" s="83">
        <f ca="1">ROUNDDOWN((TODAY()-Impuestos3225[[#This Row],[Fecha de Activación Ingreso]])/365, 0)</f>
        <v>4</v>
      </c>
      <c r="P152" s="81">
        <f ca="1">MIN(Impuestos3225[[#This Row],[Depreciación Anual]] * Impuestos3225[[#This Row],[Años Transcurridos]], Impuestos3225[[#This Row],[Valor Adquisición (S/)]])</f>
        <v>58063.687917200004</v>
      </c>
      <c r="Q152" s="81">
        <f ca="1">MAX(Impuestos3225[[#This Row],[Valor Adquisición (S/)]]-Impuestos3225[[#This Row],[Depreciación Acumulada]], 0)</f>
        <v>29030.102082799989</v>
      </c>
      <c r="R152" s="81" t="str">
        <f ca="1">IF(Impuestos3225[[#This Row],[Valor Adquisición (S/)]]="","", IF(Impuestos3225[[#This Row],[Valor Neto Actual]]=0,"Veh. Ya no deprecia",""))</f>
        <v/>
      </c>
      <c r="S152" s="81" t="s">
        <v>221</v>
      </c>
      <c r="T152" s="81">
        <f>IFERROR(VLOOKUP(Impuestos3225[[#This Row],[Placa Vehiculo]],$AR$6:$CA$159,26,0),"")</f>
        <v>87093.79</v>
      </c>
      <c r="U152" s="81" t="str">
        <f>IF(Impuestos3225[[#This Row],[Buscar Monto]]=Impuestos3225[[#This Row],[Valor Adquisición (S/)]],"ok","mal")</f>
        <v>ok</v>
      </c>
      <c r="V152" s="81"/>
      <c r="Z152" s="87"/>
      <c r="AR152" s="21" t="str">
        <f t="shared" si="24"/>
        <v>BMD-932</v>
      </c>
      <c r="AS152" s="21">
        <f t="shared" si="25"/>
        <v>4300</v>
      </c>
      <c r="AT152" s="21" t="s">
        <v>221</v>
      </c>
      <c r="AU152" s="112">
        <v>34</v>
      </c>
      <c r="AV152" s="99">
        <v>3224110</v>
      </c>
      <c r="AW152" s="99">
        <v>340106</v>
      </c>
      <c r="AX152" s="100">
        <v>343001000060</v>
      </c>
      <c r="AY152" s="113" t="s">
        <v>896</v>
      </c>
      <c r="AZ152" s="101" t="s">
        <v>901</v>
      </c>
      <c r="BA152" s="99"/>
      <c r="BB152" s="99"/>
      <c r="BC152" s="99"/>
      <c r="BD152" s="99">
        <v>202201872</v>
      </c>
      <c r="BE152" s="103" t="s">
        <v>924</v>
      </c>
      <c r="BF152" s="99"/>
      <c r="BG152" s="103" t="s">
        <v>652</v>
      </c>
      <c r="BH152" s="103" t="s">
        <v>657</v>
      </c>
      <c r="BI152" s="115" t="s">
        <v>925</v>
      </c>
      <c r="BJ152" s="104"/>
      <c r="BK152" s="104">
        <v>9111070</v>
      </c>
      <c r="BL152" s="118">
        <v>111070001</v>
      </c>
      <c r="BM152" s="104">
        <v>4300</v>
      </c>
      <c r="BN152" s="122">
        <v>44502</v>
      </c>
      <c r="BO152" s="98">
        <v>6</v>
      </c>
      <c r="BP152" s="98">
        <v>16.667000000000002</v>
      </c>
      <c r="BQ152" s="120">
        <v>87093.79</v>
      </c>
      <c r="BR152" s="107"/>
      <c r="BS152" s="114"/>
      <c r="BT152" s="110">
        <v>44760.689999999995</v>
      </c>
      <c r="BU152" s="108">
        <v>1209.6600000000001</v>
      </c>
      <c r="BV152" s="108">
        <v>1209.6600000000001</v>
      </c>
      <c r="BW152" s="109">
        <v>7257.96</v>
      </c>
      <c r="BX152" s="110">
        <v>52018.649999999994</v>
      </c>
      <c r="BY152" s="110"/>
      <c r="BZ152" s="110"/>
      <c r="CA152" s="108">
        <v>35075.14</v>
      </c>
    </row>
    <row r="153" spans="3:79" x14ac:dyDescent="0.3">
      <c r="C153" s="40" t="str">
        <f>Impuestos3225[[#This Row],[Familia]]</f>
        <v>Pick Up CI 4x2 Toyota</v>
      </c>
      <c r="D153" s="7">
        <f t="shared" si="23"/>
        <v>147</v>
      </c>
      <c r="E153" s="24" t="s">
        <v>232</v>
      </c>
      <c r="F153" s="24" t="s">
        <v>179</v>
      </c>
      <c r="G153" s="25" t="s">
        <v>652</v>
      </c>
      <c r="H153" s="24">
        <v>4230</v>
      </c>
      <c r="I153" s="80">
        <v>44502</v>
      </c>
      <c r="J153" s="8">
        <v>6</v>
      </c>
      <c r="K153" s="10">
        <v>16.667000000000002</v>
      </c>
      <c r="L153" s="81">
        <v>87093.79</v>
      </c>
      <c r="M153" s="82">
        <f>Impuestos3225[[#This Row],[Valor Adquisición (S/)]]*Impuestos3225[[#This Row],[Tasa  % ]]/100</f>
        <v>14515.921979300001</v>
      </c>
      <c r="N153" s="81">
        <f>Impuestos3225[[#This Row],[Depreciación Anual]]/12</f>
        <v>1209.6601649416668</v>
      </c>
      <c r="O153" s="83">
        <f ca="1">ROUNDDOWN((TODAY()-Impuestos3225[[#This Row],[Fecha de Activación Ingreso]])/365, 0)</f>
        <v>4</v>
      </c>
      <c r="P153" s="81">
        <f ca="1">MIN(Impuestos3225[[#This Row],[Depreciación Anual]] * Impuestos3225[[#This Row],[Años Transcurridos]], Impuestos3225[[#This Row],[Valor Adquisición (S/)]])</f>
        <v>58063.687917200004</v>
      </c>
      <c r="Q153" s="81">
        <f ca="1">MAX(Impuestos3225[[#This Row],[Valor Adquisición (S/)]]-Impuestos3225[[#This Row],[Depreciación Acumulada]], 0)</f>
        <v>29030.102082799989</v>
      </c>
      <c r="R153" s="81" t="str">
        <f ca="1">IF(Impuestos3225[[#This Row],[Valor Adquisición (S/)]]="","", IF(Impuestos3225[[#This Row],[Valor Neto Actual]]=0,"Veh. Ya no deprecia",""))</f>
        <v/>
      </c>
      <c r="S153" s="81" t="s">
        <v>221</v>
      </c>
      <c r="T153" s="81">
        <f>IFERROR(VLOOKUP(Impuestos3225[[#This Row],[Placa Vehiculo]],$AR$6:$CA$159,26,0),"")</f>
        <v>87093.79</v>
      </c>
      <c r="U153" s="81" t="str">
        <f>IF(Impuestos3225[[#This Row],[Buscar Monto]]=Impuestos3225[[#This Row],[Valor Adquisición (S/)]],"ok","mal")</f>
        <v>ok</v>
      </c>
      <c r="V153" s="81"/>
      <c r="Z153" s="87"/>
      <c r="AR153" s="21" t="str">
        <f t="shared" si="24"/>
        <v>BMG-834</v>
      </c>
      <c r="AS153" s="21">
        <f t="shared" si="25"/>
        <v>4300</v>
      </c>
      <c r="AT153" s="21" t="s">
        <v>240</v>
      </c>
      <c r="AU153" s="112">
        <v>34</v>
      </c>
      <c r="AV153" s="99">
        <v>3224110</v>
      </c>
      <c r="AW153" s="99">
        <v>340111</v>
      </c>
      <c r="AX153" s="100">
        <v>343001000068</v>
      </c>
      <c r="AY153" s="113" t="s">
        <v>896</v>
      </c>
      <c r="AZ153" s="101" t="s">
        <v>926</v>
      </c>
      <c r="BA153" s="99"/>
      <c r="BB153" s="99"/>
      <c r="BC153" s="99"/>
      <c r="BD153" s="99">
        <v>202201875</v>
      </c>
      <c r="BE153" s="103" t="s">
        <v>927</v>
      </c>
      <c r="BF153" s="99"/>
      <c r="BG153" s="103" t="s">
        <v>652</v>
      </c>
      <c r="BH153" s="103" t="s">
        <v>674</v>
      </c>
      <c r="BI153" s="115" t="s">
        <v>928</v>
      </c>
      <c r="BJ153" s="104"/>
      <c r="BK153" s="104">
        <v>9111070</v>
      </c>
      <c r="BL153" s="118">
        <v>111070001</v>
      </c>
      <c r="BM153" s="104">
        <v>4300</v>
      </c>
      <c r="BN153" s="122">
        <v>44502</v>
      </c>
      <c r="BO153" s="98">
        <v>6</v>
      </c>
      <c r="BP153" s="98">
        <v>16.667000000000002</v>
      </c>
      <c r="BQ153" s="120">
        <v>126534.34</v>
      </c>
      <c r="BR153" s="107"/>
      <c r="BS153" s="114"/>
      <c r="BT153" s="110">
        <v>65030.699999999983</v>
      </c>
      <c r="BU153" s="108">
        <v>1757.46</v>
      </c>
      <c r="BV153" s="108">
        <v>1757.46</v>
      </c>
      <c r="BW153" s="109">
        <v>10544.759999999998</v>
      </c>
      <c r="BX153" s="110">
        <v>75575.459999999977</v>
      </c>
      <c r="BY153" s="110"/>
      <c r="BZ153" s="110"/>
      <c r="CA153" s="108">
        <v>50958.880000000019</v>
      </c>
    </row>
    <row r="154" spans="3:79" x14ac:dyDescent="0.3">
      <c r="C154" s="40" t="str">
        <f>Impuestos3225[[#This Row],[Familia]]</f>
        <v>Pick Up CI 4x2 Toyota</v>
      </c>
      <c r="D154" s="7">
        <f t="shared" si="23"/>
        <v>148</v>
      </c>
      <c r="E154" s="24" t="s">
        <v>226</v>
      </c>
      <c r="F154" s="24" t="s">
        <v>179</v>
      </c>
      <c r="G154" s="25" t="s">
        <v>652</v>
      </c>
      <c r="H154" s="24">
        <v>4300</v>
      </c>
      <c r="I154" s="80">
        <v>44502</v>
      </c>
      <c r="J154" s="8">
        <v>6</v>
      </c>
      <c r="K154" s="10">
        <v>16.667000000000002</v>
      </c>
      <c r="L154" s="81">
        <v>87093.79</v>
      </c>
      <c r="M154" s="82">
        <f>Impuestos3225[[#This Row],[Valor Adquisición (S/)]]*Impuestos3225[[#This Row],[Tasa  % ]]/100</f>
        <v>14515.921979300001</v>
      </c>
      <c r="N154" s="81">
        <f>Impuestos3225[[#This Row],[Depreciación Anual]]/12</f>
        <v>1209.6601649416668</v>
      </c>
      <c r="O154" s="83">
        <f ca="1">ROUNDDOWN((TODAY()-Impuestos3225[[#This Row],[Fecha de Activación Ingreso]])/365, 0)</f>
        <v>4</v>
      </c>
      <c r="P154" s="81">
        <f ca="1">MIN(Impuestos3225[[#This Row],[Depreciación Anual]] * Impuestos3225[[#This Row],[Años Transcurridos]], Impuestos3225[[#This Row],[Valor Adquisición (S/)]])</f>
        <v>58063.687917200004</v>
      </c>
      <c r="Q154" s="81">
        <f ca="1">MAX(Impuestos3225[[#This Row],[Valor Adquisición (S/)]]-Impuestos3225[[#This Row],[Depreciación Acumulada]], 0)</f>
        <v>29030.102082799989</v>
      </c>
      <c r="R154" s="81" t="str">
        <f ca="1">IF(Impuestos3225[[#This Row],[Valor Adquisición (S/)]]="","", IF(Impuestos3225[[#This Row],[Valor Neto Actual]]=0,"Veh. Ya no deprecia",""))</f>
        <v/>
      </c>
      <c r="S154" s="81" t="s">
        <v>221</v>
      </c>
      <c r="T154" s="81">
        <f>IFERROR(VLOOKUP(Impuestos3225[[#This Row],[Placa Vehiculo]],$AR$6:$CA$159,26,0),"")</f>
        <v>87093.79</v>
      </c>
      <c r="U154" s="81" t="str">
        <f>IF(Impuestos3225[[#This Row],[Buscar Monto]]=Impuestos3225[[#This Row],[Valor Adquisición (S/)]],"ok","mal")</f>
        <v>ok</v>
      </c>
      <c r="V154" s="81"/>
      <c r="Z154" s="87"/>
      <c r="AR154" s="21" t="str">
        <f t="shared" si="24"/>
        <v>BMF-742</v>
      </c>
      <c r="AS154" s="21">
        <f t="shared" si="25"/>
        <v>4301</v>
      </c>
      <c r="AT154" s="21" t="s">
        <v>221</v>
      </c>
      <c r="AU154" s="112">
        <v>34</v>
      </c>
      <c r="AV154" s="99">
        <v>3224110</v>
      </c>
      <c r="AW154" s="99">
        <v>340102</v>
      </c>
      <c r="AX154" s="100">
        <v>343001000056</v>
      </c>
      <c r="AY154" s="113" t="s">
        <v>896</v>
      </c>
      <c r="AZ154" s="101" t="s">
        <v>901</v>
      </c>
      <c r="BA154" s="99"/>
      <c r="BB154" s="99"/>
      <c r="BC154" s="99"/>
      <c r="BD154" s="99">
        <v>202201866</v>
      </c>
      <c r="BE154" s="103" t="s">
        <v>929</v>
      </c>
      <c r="BF154" s="99"/>
      <c r="BG154" s="103" t="s">
        <v>652</v>
      </c>
      <c r="BH154" s="103" t="s">
        <v>657</v>
      </c>
      <c r="BI154" s="115" t="s">
        <v>930</v>
      </c>
      <c r="BJ154" s="104"/>
      <c r="BK154" s="104">
        <v>9111070</v>
      </c>
      <c r="BL154" s="118">
        <v>111070001</v>
      </c>
      <c r="BM154" s="104">
        <v>4301</v>
      </c>
      <c r="BN154" s="122">
        <v>44502</v>
      </c>
      <c r="BO154" s="98">
        <v>6</v>
      </c>
      <c r="BP154" s="98">
        <v>16.667000000000002</v>
      </c>
      <c r="BQ154" s="120">
        <v>87093.79</v>
      </c>
      <c r="BR154" s="107"/>
      <c r="BS154" s="114"/>
      <c r="BT154" s="110">
        <v>44760.689999999995</v>
      </c>
      <c r="BU154" s="108">
        <v>1209.6600000000001</v>
      </c>
      <c r="BV154" s="108">
        <v>1209.6600000000001</v>
      </c>
      <c r="BW154" s="109">
        <v>7257.96</v>
      </c>
      <c r="BX154" s="110">
        <v>52018.649999999994</v>
      </c>
      <c r="BY154" s="110"/>
      <c r="BZ154" s="110"/>
      <c r="CA154" s="108">
        <v>35075.14</v>
      </c>
    </row>
    <row r="155" spans="3:79" x14ac:dyDescent="0.3">
      <c r="C155" s="40" t="str">
        <f>Impuestos3225[[#This Row],[Familia]]</f>
        <v>Pick Up CI 4x4 Toyota</v>
      </c>
      <c r="D155" s="7">
        <f t="shared" si="23"/>
        <v>149</v>
      </c>
      <c r="E155" s="24" t="s">
        <v>242</v>
      </c>
      <c r="F155" s="24" t="s">
        <v>179</v>
      </c>
      <c r="G155" s="25" t="s">
        <v>652</v>
      </c>
      <c r="H155" s="24">
        <v>4300</v>
      </c>
      <c r="I155" s="80">
        <v>44502</v>
      </c>
      <c r="J155" s="8">
        <v>6</v>
      </c>
      <c r="K155" s="10">
        <v>16.667000000000002</v>
      </c>
      <c r="L155" s="81">
        <v>126534.34</v>
      </c>
      <c r="M155" s="82">
        <f>Impuestos3225[[#This Row],[Valor Adquisición (S/)]]*Impuestos3225[[#This Row],[Tasa  % ]]/100</f>
        <v>21089.4784478</v>
      </c>
      <c r="N155" s="81">
        <f>Impuestos3225[[#This Row],[Depreciación Anual]]/12</f>
        <v>1757.4565373166668</v>
      </c>
      <c r="O155" s="83">
        <f ca="1">ROUNDDOWN((TODAY()-Impuestos3225[[#This Row],[Fecha de Activación Ingreso]])/365, 0)</f>
        <v>4</v>
      </c>
      <c r="P155" s="81">
        <f ca="1">MIN(Impuestos3225[[#This Row],[Depreciación Anual]] * Impuestos3225[[#This Row],[Años Transcurridos]], Impuestos3225[[#This Row],[Valor Adquisición (S/)]])</f>
        <v>84357.913791200001</v>
      </c>
      <c r="Q155" s="81">
        <f ca="1">MAX(Impuestos3225[[#This Row],[Valor Adquisición (S/)]]-Impuestos3225[[#This Row],[Depreciación Acumulada]], 0)</f>
        <v>42176.426208799996</v>
      </c>
      <c r="R155" s="81" t="str">
        <f ca="1">IF(Impuestos3225[[#This Row],[Valor Adquisición (S/)]]="","", IF(Impuestos3225[[#This Row],[Valor Neto Actual]]=0,"Veh. Ya no deprecia",""))</f>
        <v/>
      </c>
      <c r="S155" s="81" t="s">
        <v>240</v>
      </c>
      <c r="T155" s="81">
        <f>IFERROR(VLOOKUP(Impuestos3225[[#This Row],[Placa Vehiculo]],$AR$6:$CA$159,26,0),"")</f>
        <v>126534.34</v>
      </c>
      <c r="U155" s="81" t="str">
        <f>IF(Impuestos3225[[#This Row],[Buscar Monto]]=Impuestos3225[[#This Row],[Valor Adquisición (S/)]],"ok","mal")</f>
        <v>ok</v>
      </c>
      <c r="V155" s="81"/>
      <c r="Z155" s="87"/>
      <c r="AR155" s="21" t="str">
        <f t="shared" si="24"/>
        <v>BMF-744</v>
      </c>
      <c r="AS155" s="21">
        <f t="shared" si="25"/>
        <v>4301</v>
      </c>
      <c r="AT155" s="21" t="s">
        <v>221</v>
      </c>
      <c r="AU155" s="112">
        <v>34</v>
      </c>
      <c r="AV155" s="99">
        <v>3224110</v>
      </c>
      <c r="AW155" s="99">
        <v>340104</v>
      </c>
      <c r="AX155" s="100">
        <v>343001000058</v>
      </c>
      <c r="AY155" s="113" t="s">
        <v>896</v>
      </c>
      <c r="AZ155" s="101" t="s">
        <v>901</v>
      </c>
      <c r="BA155" s="99"/>
      <c r="BB155" s="99"/>
      <c r="BC155" s="99"/>
      <c r="BD155" s="99">
        <v>202201867</v>
      </c>
      <c r="BE155" s="103" t="s">
        <v>931</v>
      </c>
      <c r="BF155" s="99"/>
      <c r="BG155" s="103" t="s">
        <v>652</v>
      </c>
      <c r="BH155" s="103" t="s">
        <v>657</v>
      </c>
      <c r="BI155" s="115" t="s">
        <v>932</v>
      </c>
      <c r="BJ155" s="104"/>
      <c r="BK155" s="104">
        <v>9111070</v>
      </c>
      <c r="BL155" s="118">
        <v>111070001</v>
      </c>
      <c r="BM155" s="104">
        <v>4301</v>
      </c>
      <c r="BN155" s="122">
        <v>44502</v>
      </c>
      <c r="BO155" s="98">
        <v>6</v>
      </c>
      <c r="BP155" s="98">
        <v>16.667000000000002</v>
      </c>
      <c r="BQ155" s="120">
        <v>87093.79</v>
      </c>
      <c r="BR155" s="107"/>
      <c r="BS155" s="114"/>
      <c r="BT155" s="110">
        <v>44760.689999999995</v>
      </c>
      <c r="BU155" s="108">
        <v>1209.6600000000001</v>
      </c>
      <c r="BV155" s="108">
        <v>1209.6600000000001</v>
      </c>
      <c r="BW155" s="109">
        <v>7257.96</v>
      </c>
      <c r="BX155" s="110">
        <v>52018.649999999994</v>
      </c>
      <c r="BY155" s="110"/>
      <c r="BZ155" s="110"/>
      <c r="CA155" s="108">
        <v>35075.14</v>
      </c>
    </row>
    <row r="156" spans="3:79" x14ac:dyDescent="0.3">
      <c r="C156" s="40" t="str">
        <f>Impuestos3225[[#This Row],[Familia]]</f>
        <v>Pick Up CI 4x2 Toyota</v>
      </c>
      <c r="D156" s="7">
        <f t="shared" si="23"/>
        <v>150</v>
      </c>
      <c r="E156" s="24" t="s">
        <v>233</v>
      </c>
      <c r="F156" s="24" t="s">
        <v>179</v>
      </c>
      <c r="G156" s="25" t="s">
        <v>652</v>
      </c>
      <c r="H156" s="24">
        <v>4301</v>
      </c>
      <c r="I156" s="80">
        <v>44502</v>
      </c>
      <c r="J156" s="8">
        <v>6</v>
      </c>
      <c r="K156" s="10">
        <v>16.667000000000002</v>
      </c>
      <c r="L156" s="81">
        <v>87093.79</v>
      </c>
      <c r="M156" s="82">
        <f>Impuestos3225[[#This Row],[Valor Adquisición (S/)]]*Impuestos3225[[#This Row],[Tasa  % ]]/100</f>
        <v>14515.921979300001</v>
      </c>
      <c r="N156" s="81">
        <f>Impuestos3225[[#This Row],[Depreciación Anual]]/12</f>
        <v>1209.6601649416668</v>
      </c>
      <c r="O156" s="83">
        <f ca="1">ROUNDDOWN((TODAY()-Impuestos3225[[#This Row],[Fecha de Activación Ingreso]])/365, 0)</f>
        <v>4</v>
      </c>
      <c r="P156" s="81">
        <f ca="1">MIN(Impuestos3225[[#This Row],[Depreciación Anual]] * Impuestos3225[[#This Row],[Años Transcurridos]], Impuestos3225[[#This Row],[Valor Adquisición (S/)]])</f>
        <v>58063.687917200004</v>
      </c>
      <c r="Q156" s="81">
        <f ca="1">MAX(Impuestos3225[[#This Row],[Valor Adquisición (S/)]]-Impuestos3225[[#This Row],[Depreciación Acumulada]], 0)</f>
        <v>29030.102082799989</v>
      </c>
      <c r="R156" s="81" t="str">
        <f ca="1">IF(Impuestos3225[[#This Row],[Valor Adquisición (S/)]]="","", IF(Impuestos3225[[#This Row],[Valor Neto Actual]]=0,"Veh. Ya no deprecia",""))</f>
        <v/>
      </c>
      <c r="S156" s="81" t="s">
        <v>221</v>
      </c>
      <c r="T156" s="81">
        <f>IFERROR(VLOOKUP(Impuestos3225[[#This Row],[Placa Vehiculo]],$AR$6:$CA$159,26,0),"")</f>
        <v>87093.79</v>
      </c>
      <c r="U156" s="81" t="str">
        <f>IF(Impuestos3225[[#This Row],[Buscar Monto]]=Impuestos3225[[#This Row],[Valor Adquisición (S/)]],"ok","mal")</f>
        <v>ok</v>
      </c>
      <c r="V156" s="81"/>
      <c r="Z156" s="87"/>
      <c r="AR156" s="21" t="str">
        <f t="shared" si="24"/>
        <v>BME-703</v>
      </c>
      <c r="AS156" s="21">
        <f t="shared" si="25"/>
        <v>4301</v>
      </c>
      <c r="AT156" s="21" t="s">
        <v>221</v>
      </c>
      <c r="AU156" s="112">
        <v>34</v>
      </c>
      <c r="AV156" s="99">
        <v>3224110</v>
      </c>
      <c r="AW156" s="99">
        <v>340108</v>
      </c>
      <c r="AX156" s="100">
        <v>343001000062</v>
      </c>
      <c r="AY156" s="113" t="s">
        <v>896</v>
      </c>
      <c r="AZ156" s="101" t="s">
        <v>901</v>
      </c>
      <c r="BA156" s="99"/>
      <c r="BB156" s="99"/>
      <c r="BC156" s="99"/>
      <c r="BD156" s="99">
        <v>202201868</v>
      </c>
      <c r="BE156" s="103" t="s">
        <v>933</v>
      </c>
      <c r="BF156" s="99"/>
      <c r="BG156" s="103" t="s">
        <v>652</v>
      </c>
      <c r="BH156" s="103" t="s">
        <v>657</v>
      </c>
      <c r="BI156" s="115" t="s">
        <v>934</v>
      </c>
      <c r="BJ156" s="104"/>
      <c r="BK156" s="104">
        <v>9111070</v>
      </c>
      <c r="BL156" s="118">
        <v>111070001</v>
      </c>
      <c r="BM156" s="104">
        <v>4301</v>
      </c>
      <c r="BN156" s="122">
        <v>44502</v>
      </c>
      <c r="BO156" s="98">
        <v>6</v>
      </c>
      <c r="BP156" s="98">
        <v>16.667000000000002</v>
      </c>
      <c r="BQ156" s="120">
        <v>87093.79</v>
      </c>
      <c r="BR156" s="107"/>
      <c r="BS156" s="114"/>
      <c r="BT156" s="110">
        <v>44760.689999999995</v>
      </c>
      <c r="BU156" s="108">
        <v>1209.6600000000001</v>
      </c>
      <c r="BV156" s="108">
        <v>1209.6600000000001</v>
      </c>
      <c r="BW156" s="109">
        <v>7257.96</v>
      </c>
      <c r="BX156" s="110">
        <v>52018.649999999994</v>
      </c>
      <c r="BY156" s="110"/>
      <c r="BZ156" s="110"/>
      <c r="CA156" s="108">
        <v>35075.14</v>
      </c>
    </row>
    <row r="157" spans="3:79" x14ac:dyDescent="0.3">
      <c r="C157" s="40" t="str">
        <f>Impuestos3225[[#This Row],[Familia]]</f>
        <v>Pick Up CI 4x2 Toyota</v>
      </c>
      <c r="D157" s="7">
        <f t="shared" si="23"/>
        <v>151</v>
      </c>
      <c r="E157" s="24" t="s">
        <v>234</v>
      </c>
      <c r="F157" s="24" t="s">
        <v>179</v>
      </c>
      <c r="G157" s="25" t="s">
        <v>652</v>
      </c>
      <c r="H157" s="24">
        <v>4301</v>
      </c>
      <c r="I157" s="80">
        <v>44502</v>
      </c>
      <c r="J157" s="8">
        <v>6</v>
      </c>
      <c r="K157" s="10">
        <v>16.667000000000002</v>
      </c>
      <c r="L157" s="81">
        <v>87093.79</v>
      </c>
      <c r="M157" s="82">
        <f>Impuestos3225[[#This Row],[Valor Adquisición (S/)]]*Impuestos3225[[#This Row],[Tasa  % ]]/100</f>
        <v>14515.921979300001</v>
      </c>
      <c r="N157" s="81">
        <f>Impuestos3225[[#This Row],[Depreciación Anual]]/12</f>
        <v>1209.6601649416668</v>
      </c>
      <c r="O157" s="83">
        <f ca="1">ROUNDDOWN((TODAY()-Impuestos3225[[#This Row],[Fecha de Activación Ingreso]])/365, 0)</f>
        <v>4</v>
      </c>
      <c r="P157" s="81">
        <f ca="1">MIN(Impuestos3225[[#This Row],[Depreciación Anual]] * Impuestos3225[[#This Row],[Años Transcurridos]], Impuestos3225[[#This Row],[Valor Adquisición (S/)]])</f>
        <v>58063.687917200004</v>
      </c>
      <c r="Q157" s="81">
        <f ca="1">MAX(Impuestos3225[[#This Row],[Valor Adquisición (S/)]]-Impuestos3225[[#This Row],[Depreciación Acumulada]], 0)</f>
        <v>29030.102082799989</v>
      </c>
      <c r="R157" s="81" t="str">
        <f ca="1">IF(Impuestos3225[[#This Row],[Valor Adquisición (S/)]]="","", IF(Impuestos3225[[#This Row],[Valor Neto Actual]]=0,"Veh. Ya no deprecia",""))</f>
        <v/>
      </c>
      <c r="S157" s="81" t="s">
        <v>221</v>
      </c>
      <c r="T157" s="81">
        <f>IFERROR(VLOOKUP(Impuestos3225[[#This Row],[Placa Vehiculo]],$AR$6:$CA$159,26,0),"")</f>
        <v>87093.79</v>
      </c>
      <c r="U157" s="81" t="str">
        <f>IF(Impuestos3225[[#This Row],[Buscar Monto]]=Impuestos3225[[#This Row],[Valor Adquisición (S/)]],"ok","mal")</f>
        <v>ok</v>
      </c>
      <c r="V157" s="81"/>
      <c r="Z157" s="87"/>
      <c r="AR157" s="21" t="str">
        <f t="shared" si="24"/>
        <v>BMG-786</v>
      </c>
      <c r="AS157" s="21">
        <f t="shared" si="25"/>
        <v>4220</v>
      </c>
      <c r="AT157" s="21" t="s">
        <v>240</v>
      </c>
      <c r="AU157" s="112">
        <v>34</v>
      </c>
      <c r="AV157" s="99">
        <v>3224110</v>
      </c>
      <c r="AW157" s="99">
        <v>340093</v>
      </c>
      <c r="AX157" s="100">
        <v>343001000065</v>
      </c>
      <c r="AY157" s="113" t="s">
        <v>896</v>
      </c>
      <c r="AZ157" s="101" t="s">
        <v>926</v>
      </c>
      <c r="BA157" s="99"/>
      <c r="BB157" s="99"/>
      <c r="BC157" s="99"/>
      <c r="BD157" s="99">
        <v>202201859</v>
      </c>
      <c r="BE157" s="103" t="s">
        <v>935</v>
      </c>
      <c r="BF157" s="99"/>
      <c r="BG157" s="103" t="s">
        <v>652</v>
      </c>
      <c r="BH157" s="103" t="s">
        <v>674</v>
      </c>
      <c r="BI157" s="115" t="s">
        <v>936</v>
      </c>
      <c r="BJ157" s="104"/>
      <c r="BK157" s="104">
        <v>9111030</v>
      </c>
      <c r="BL157" s="118">
        <v>111030001</v>
      </c>
      <c r="BM157" s="104">
        <v>4220</v>
      </c>
      <c r="BN157" s="122">
        <v>44502</v>
      </c>
      <c r="BO157" s="98">
        <v>6</v>
      </c>
      <c r="BP157" s="98">
        <v>16.667000000000002</v>
      </c>
      <c r="BQ157" s="120">
        <v>126534.34</v>
      </c>
      <c r="BR157" s="107"/>
      <c r="BS157" s="114"/>
      <c r="BT157" s="110">
        <v>65030.699999999983</v>
      </c>
      <c r="BU157" s="108">
        <v>1757.46</v>
      </c>
      <c r="BV157" s="108">
        <v>1757.46</v>
      </c>
      <c r="BW157" s="109">
        <v>10544.759999999998</v>
      </c>
      <c r="BX157" s="110">
        <v>75575.459999999977</v>
      </c>
      <c r="BY157" s="110"/>
      <c r="BZ157" s="110"/>
      <c r="CA157" s="108">
        <v>50958.880000000019</v>
      </c>
    </row>
    <row r="158" spans="3:79" x14ac:dyDescent="0.3">
      <c r="C158" s="40" t="str">
        <f>Impuestos3225[[#This Row],[Familia]]</f>
        <v>Pick Up CI 4x2 Toyota</v>
      </c>
      <c r="D158" s="7">
        <f t="shared" si="23"/>
        <v>152</v>
      </c>
      <c r="E158" s="24" t="s">
        <v>228</v>
      </c>
      <c r="F158" s="24" t="s">
        <v>179</v>
      </c>
      <c r="G158" s="25" t="s">
        <v>652</v>
      </c>
      <c r="H158" s="24">
        <v>4301</v>
      </c>
      <c r="I158" s="80">
        <v>44502</v>
      </c>
      <c r="J158" s="8">
        <v>6</v>
      </c>
      <c r="K158" s="10">
        <v>16.667000000000002</v>
      </c>
      <c r="L158" s="81">
        <v>87093.79</v>
      </c>
      <c r="M158" s="82">
        <f>Impuestos3225[[#This Row],[Valor Adquisición (S/)]]*Impuestos3225[[#This Row],[Tasa  % ]]/100</f>
        <v>14515.921979300001</v>
      </c>
      <c r="N158" s="81">
        <f>Impuestos3225[[#This Row],[Depreciación Anual]]/12</f>
        <v>1209.6601649416668</v>
      </c>
      <c r="O158" s="83">
        <f ca="1">ROUNDDOWN((TODAY()-Impuestos3225[[#This Row],[Fecha de Activación Ingreso]])/365, 0)</f>
        <v>4</v>
      </c>
      <c r="P158" s="81">
        <f ca="1">MIN(Impuestos3225[[#This Row],[Depreciación Anual]] * Impuestos3225[[#This Row],[Años Transcurridos]], Impuestos3225[[#This Row],[Valor Adquisición (S/)]])</f>
        <v>58063.687917200004</v>
      </c>
      <c r="Q158" s="81">
        <f ca="1">MAX(Impuestos3225[[#This Row],[Valor Adquisición (S/)]]-Impuestos3225[[#This Row],[Depreciación Acumulada]], 0)</f>
        <v>29030.102082799989</v>
      </c>
      <c r="R158" s="81" t="str">
        <f ca="1">IF(Impuestos3225[[#This Row],[Valor Adquisición (S/)]]="","", IF(Impuestos3225[[#This Row],[Valor Neto Actual]]=0,"Veh. Ya no deprecia",""))</f>
        <v/>
      </c>
      <c r="S158" s="81" t="s">
        <v>221</v>
      </c>
      <c r="T158" s="81">
        <f>IFERROR(VLOOKUP(Impuestos3225[[#This Row],[Placa Vehiculo]],$AR$6:$CA$159,26,0),"")</f>
        <v>87093.79</v>
      </c>
      <c r="U158" s="81" t="str">
        <f>IF(Impuestos3225[[#This Row],[Buscar Monto]]=Impuestos3225[[#This Row],[Valor Adquisición (S/)]],"ok","mal")</f>
        <v>ok</v>
      </c>
      <c r="V158" s="81"/>
      <c r="Z158" s="87"/>
      <c r="AR158" s="21" t="str">
        <f t="shared" si="24"/>
        <v>BMH-850</v>
      </c>
      <c r="AS158" s="21">
        <f t="shared" si="25"/>
        <v>4904</v>
      </c>
      <c r="AT158" s="21" t="s">
        <v>240</v>
      </c>
      <c r="AU158" s="112">
        <v>34</v>
      </c>
      <c r="AV158" s="99">
        <v>3224110</v>
      </c>
      <c r="AW158" s="99">
        <v>340099</v>
      </c>
      <c r="AX158" s="100">
        <v>343001000066</v>
      </c>
      <c r="AY158" s="113" t="s">
        <v>896</v>
      </c>
      <c r="AZ158" s="101" t="s">
        <v>926</v>
      </c>
      <c r="BA158" s="99"/>
      <c r="BB158" s="99"/>
      <c r="BC158" s="99"/>
      <c r="BD158" s="99">
        <v>202201869</v>
      </c>
      <c r="BE158" s="103" t="s">
        <v>937</v>
      </c>
      <c r="BF158" s="99"/>
      <c r="BG158" s="103" t="s">
        <v>652</v>
      </c>
      <c r="BH158" s="103" t="s">
        <v>674</v>
      </c>
      <c r="BI158" s="115" t="s">
        <v>938</v>
      </c>
      <c r="BJ158" s="104"/>
      <c r="BK158" s="104">
        <v>9121020</v>
      </c>
      <c r="BL158" s="118">
        <v>121020001</v>
      </c>
      <c r="BM158" s="104">
        <v>4904</v>
      </c>
      <c r="BN158" s="122">
        <v>44502</v>
      </c>
      <c r="BO158" s="98">
        <v>6</v>
      </c>
      <c r="BP158" s="98">
        <v>16.667000000000002</v>
      </c>
      <c r="BQ158" s="120">
        <v>126534.34</v>
      </c>
      <c r="BR158" s="107"/>
      <c r="BS158" s="114"/>
      <c r="BT158" s="110">
        <v>65030.699999999983</v>
      </c>
      <c r="BU158" s="108">
        <v>1757.46</v>
      </c>
      <c r="BV158" s="108">
        <v>1757.46</v>
      </c>
      <c r="BW158" s="109">
        <v>10544.759999999998</v>
      </c>
      <c r="BX158" s="110">
        <v>75575.459999999977</v>
      </c>
      <c r="BY158" s="110"/>
      <c r="BZ158" s="110"/>
      <c r="CA158" s="108">
        <v>50958.880000000019</v>
      </c>
    </row>
    <row r="159" spans="3:79" x14ac:dyDescent="0.3">
      <c r="C159" s="40" t="str">
        <f>Impuestos3225[[#This Row],[Familia]]</f>
        <v>Pick Up CI 4x4 Toyota</v>
      </c>
      <c r="D159" s="7">
        <f t="shared" si="23"/>
        <v>153</v>
      </c>
      <c r="E159" s="24" t="s">
        <v>241</v>
      </c>
      <c r="F159" s="24" t="s">
        <v>179</v>
      </c>
      <c r="G159" s="25" t="s">
        <v>652</v>
      </c>
      <c r="H159" s="24">
        <v>4220</v>
      </c>
      <c r="I159" s="80">
        <v>44502</v>
      </c>
      <c r="J159" s="8">
        <v>6</v>
      </c>
      <c r="K159" s="10">
        <v>16.667000000000002</v>
      </c>
      <c r="L159" s="81">
        <v>126534.34</v>
      </c>
      <c r="M159" s="82">
        <f>Impuestos3225[[#This Row],[Valor Adquisición (S/)]]*Impuestos3225[[#This Row],[Tasa  % ]]/100</f>
        <v>21089.4784478</v>
      </c>
      <c r="N159" s="81">
        <f>Impuestos3225[[#This Row],[Depreciación Anual]]/12</f>
        <v>1757.4565373166668</v>
      </c>
      <c r="O159" s="83">
        <f ca="1">ROUNDDOWN((TODAY()-Impuestos3225[[#This Row],[Fecha de Activación Ingreso]])/365, 0)</f>
        <v>4</v>
      </c>
      <c r="P159" s="81">
        <f ca="1">MIN(Impuestos3225[[#This Row],[Depreciación Anual]] * Impuestos3225[[#This Row],[Años Transcurridos]], Impuestos3225[[#This Row],[Valor Adquisición (S/)]])</f>
        <v>84357.913791200001</v>
      </c>
      <c r="Q159" s="81">
        <f ca="1">MAX(Impuestos3225[[#This Row],[Valor Adquisición (S/)]]-Impuestos3225[[#This Row],[Depreciación Acumulada]], 0)</f>
        <v>42176.426208799996</v>
      </c>
      <c r="R159" s="81" t="str">
        <f ca="1">IF(Impuestos3225[[#This Row],[Valor Adquisición (S/)]]="","", IF(Impuestos3225[[#This Row],[Valor Neto Actual]]=0,"Veh. Ya no deprecia",""))</f>
        <v/>
      </c>
      <c r="S159" s="81" t="s">
        <v>240</v>
      </c>
      <c r="T159" s="81">
        <f>IFERROR(VLOOKUP(Impuestos3225[[#This Row],[Placa Vehiculo]],$AR$6:$CA$159,26,0),"")</f>
        <v>126534.34</v>
      </c>
      <c r="U159" s="81" t="str">
        <f>IF(Impuestos3225[[#This Row],[Buscar Monto]]=Impuestos3225[[#This Row],[Valor Adquisición (S/)]],"ok","mal")</f>
        <v>ok</v>
      </c>
      <c r="V159" s="81"/>
      <c r="Z159" s="87"/>
      <c r="AR159" s="21" t="str">
        <f t="shared" si="24"/>
        <v>BMI-759</v>
      </c>
      <c r="AS159" s="21">
        <f t="shared" si="25"/>
        <v>4904</v>
      </c>
      <c r="AT159" s="21" t="s">
        <v>240</v>
      </c>
      <c r="AU159" s="112">
        <v>34</v>
      </c>
      <c r="AV159" s="99">
        <v>3224110</v>
      </c>
      <c r="AW159" s="99">
        <v>340100</v>
      </c>
      <c r="AX159" s="100">
        <v>343001000067</v>
      </c>
      <c r="AY159" s="113" t="s">
        <v>896</v>
      </c>
      <c r="AZ159" s="101" t="s">
        <v>926</v>
      </c>
      <c r="BA159" s="99"/>
      <c r="BB159" s="99"/>
      <c r="BC159" s="99"/>
      <c r="BD159" s="99">
        <v>202201870</v>
      </c>
      <c r="BE159" s="103" t="s">
        <v>939</v>
      </c>
      <c r="BF159" s="99"/>
      <c r="BG159" s="103" t="s">
        <v>652</v>
      </c>
      <c r="BH159" s="103" t="s">
        <v>674</v>
      </c>
      <c r="BI159" s="115" t="s">
        <v>940</v>
      </c>
      <c r="BJ159" s="104"/>
      <c r="BK159" s="104">
        <v>9121020</v>
      </c>
      <c r="BL159" s="118">
        <v>121020001</v>
      </c>
      <c r="BM159" s="104">
        <v>4904</v>
      </c>
      <c r="BN159" s="122">
        <v>44502</v>
      </c>
      <c r="BO159" s="98">
        <v>6</v>
      </c>
      <c r="BP159" s="98">
        <v>16.667000000000002</v>
      </c>
      <c r="BQ159" s="120">
        <v>126534.34</v>
      </c>
      <c r="BR159" s="107"/>
      <c r="BS159" s="114"/>
      <c r="BT159" s="110">
        <v>65030.699999999983</v>
      </c>
      <c r="BU159" s="108">
        <v>1757.46</v>
      </c>
      <c r="BV159" s="108">
        <v>1757.46</v>
      </c>
      <c r="BW159" s="109">
        <v>10544.759999999998</v>
      </c>
      <c r="BX159" s="110">
        <v>75575.459999999977</v>
      </c>
      <c r="BY159" s="110"/>
      <c r="BZ159" s="110"/>
      <c r="CA159" s="108">
        <v>50958.880000000019</v>
      </c>
    </row>
    <row r="160" spans="3:79" x14ac:dyDescent="0.3">
      <c r="C160" s="40" t="str">
        <f>Impuestos3225[[#This Row],[Familia]]</f>
        <v>Pick Up CI 4x4 Toyota</v>
      </c>
      <c r="D160" s="7">
        <f t="shared" si="23"/>
        <v>154</v>
      </c>
      <c r="E160" s="24" t="s">
        <v>243</v>
      </c>
      <c r="F160" s="24" t="s">
        <v>179</v>
      </c>
      <c r="G160" s="25" t="s">
        <v>652</v>
      </c>
      <c r="H160" s="24">
        <v>4904</v>
      </c>
      <c r="I160" s="80">
        <v>44502</v>
      </c>
      <c r="J160" s="8">
        <v>6</v>
      </c>
      <c r="K160" s="10">
        <v>16.667000000000002</v>
      </c>
      <c r="L160" s="81">
        <v>126534.34</v>
      </c>
      <c r="M160" s="82">
        <f>Impuestos3225[[#This Row],[Valor Adquisición (S/)]]*Impuestos3225[[#This Row],[Tasa  % ]]/100</f>
        <v>21089.4784478</v>
      </c>
      <c r="N160" s="81">
        <f>Impuestos3225[[#This Row],[Depreciación Anual]]/12</f>
        <v>1757.4565373166668</v>
      </c>
      <c r="O160" s="83">
        <f ca="1">ROUNDDOWN((TODAY()-Impuestos3225[[#This Row],[Fecha de Activación Ingreso]])/365, 0)</f>
        <v>4</v>
      </c>
      <c r="P160" s="81">
        <f ca="1">MIN(Impuestos3225[[#This Row],[Depreciación Anual]] * Impuestos3225[[#This Row],[Años Transcurridos]], Impuestos3225[[#This Row],[Valor Adquisición (S/)]])</f>
        <v>84357.913791200001</v>
      </c>
      <c r="Q160" s="81">
        <f ca="1">MAX(Impuestos3225[[#This Row],[Valor Adquisición (S/)]]-Impuestos3225[[#This Row],[Depreciación Acumulada]], 0)</f>
        <v>42176.426208799996</v>
      </c>
      <c r="R160" s="81" t="str">
        <f ca="1">IF(Impuestos3225[[#This Row],[Valor Adquisición (S/)]]="","", IF(Impuestos3225[[#This Row],[Valor Neto Actual]]=0,"Veh. Ya no deprecia",""))</f>
        <v/>
      </c>
      <c r="S160" s="81" t="s">
        <v>240</v>
      </c>
      <c r="T160" s="81">
        <f>IFERROR(VLOOKUP(Impuestos3225[[#This Row],[Placa Vehiculo]],$AR$6:$CA$159,26,0),"")</f>
        <v>126534.34</v>
      </c>
      <c r="U160" s="81" t="str">
        <f>IF(Impuestos3225[[#This Row],[Buscar Monto]]=Impuestos3225[[#This Row],[Valor Adquisición (S/)]],"ok","mal")</f>
        <v>ok</v>
      </c>
      <c r="V160" s="81"/>
      <c r="Z160" s="87"/>
    </row>
    <row r="161" spans="3:26" x14ac:dyDescent="0.3">
      <c r="C161" s="40" t="str">
        <f>Impuestos3225[[#This Row],[Familia]]</f>
        <v>Pick Up CI 4x4 Toyota</v>
      </c>
      <c r="D161" s="7">
        <f t="shared" si="23"/>
        <v>155</v>
      </c>
      <c r="E161" s="24" t="s">
        <v>244</v>
      </c>
      <c r="F161" s="24" t="s">
        <v>179</v>
      </c>
      <c r="G161" s="25" t="s">
        <v>652</v>
      </c>
      <c r="H161" s="24">
        <v>4904</v>
      </c>
      <c r="I161" s="80">
        <v>44502</v>
      </c>
      <c r="J161" s="8">
        <v>6</v>
      </c>
      <c r="K161" s="10">
        <v>16.667000000000002</v>
      </c>
      <c r="L161" s="81">
        <v>126534.34</v>
      </c>
      <c r="M161" s="82">
        <f>Impuestos3225[[#This Row],[Valor Adquisición (S/)]]*Impuestos3225[[#This Row],[Tasa  % ]]/100</f>
        <v>21089.4784478</v>
      </c>
      <c r="N161" s="81">
        <f>Impuestos3225[[#This Row],[Depreciación Anual]]/12</f>
        <v>1757.4565373166668</v>
      </c>
      <c r="O161" s="83">
        <f ca="1">ROUNDDOWN((TODAY()-Impuestos3225[[#This Row],[Fecha de Activación Ingreso]])/365, 0)</f>
        <v>4</v>
      </c>
      <c r="P161" s="81">
        <f ca="1">MIN(Impuestos3225[[#This Row],[Depreciación Anual]] * Impuestos3225[[#This Row],[Años Transcurridos]], Impuestos3225[[#This Row],[Valor Adquisición (S/)]])</f>
        <v>84357.913791200001</v>
      </c>
      <c r="Q161" s="81">
        <f ca="1">MAX(Impuestos3225[[#This Row],[Valor Adquisición (S/)]]-Impuestos3225[[#This Row],[Depreciación Acumulada]], 0)</f>
        <v>42176.426208799996</v>
      </c>
      <c r="R161" s="81" t="str">
        <f ca="1">IF(Impuestos3225[[#This Row],[Valor Adquisición (S/)]]="","", IF(Impuestos3225[[#This Row],[Valor Neto Actual]]=0,"Veh. Ya no deprecia",""))</f>
        <v/>
      </c>
      <c r="S161" s="81" t="s">
        <v>240</v>
      </c>
      <c r="T161" s="81">
        <f>IFERROR(VLOOKUP(Impuestos3225[[#This Row],[Placa Vehiculo]],$AR$6:$CA$159,26,0),"")</f>
        <v>126534.34</v>
      </c>
      <c r="U161" s="81" t="str">
        <f>IF(Impuestos3225[[#This Row],[Buscar Monto]]=Impuestos3225[[#This Row],[Valor Adquisición (S/)]],"ok","mal")</f>
        <v>ok</v>
      </c>
      <c r="V161" s="81"/>
      <c r="Z161" s="87"/>
    </row>
  </sheetData>
  <phoneticPr fontId="28" type="noConversion"/>
  <conditionalFormatting sqref="E16:E141 E163:E218 E220:E270">
    <cfRule type="duplicateValues" dxfId="50" priority="20"/>
  </conditionalFormatting>
  <conditionalFormatting sqref="AW6:AW159">
    <cfRule type="duplicateValues" dxfId="49" priority="8"/>
  </conditionalFormatting>
  <conditionalFormatting sqref="AW7:AW159">
    <cfRule type="duplicateValues" dxfId="48" priority="1" stopIfTrue="1"/>
    <cfRule type="duplicateValues" priority="2" stopIfTrue="1"/>
    <cfRule type="duplicateValues" dxfId="47" priority="3" stopIfTrue="1"/>
    <cfRule type="duplicateValues" dxfId="46" priority="4" stopIfTrue="1"/>
    <cfRule type="duplicateValues" dxfId="45" priority="5" stopIfTrue="1"/>
    <cfRule type="duplicateValues" dxfId="44" priority="6" stopIfTrue="1"/>
    <cfRule type="duplicateValues" dxfId="43" priority="7"/>
    <cfRule type="duplicateValues" dxfId="42" priority="17"/>
  </conditionalFormatting>
  <conditionalFormatting sqref="AW6:AX159">
    <cfRule type="duplicateValues" dxfId="41" priority="9"/>
  </conditionalFormatting>
  <conditionalFormatting sqref="AX6:AX159">
    <cfRule type="duplicateValues" dxfId="40" priority="16"/>
  </conditionalFormatting>
  <conditionalFormatting sqref="AX7:AX159">
    <cfRule type="duplicateValues" dxfId="39" priority="10"/>
    <cfRule type="duplicateValues" dxfId="38" priority="11" stopIfTrue="1"/>
    <cfRule type="duplicateValues" dxfId="37" priority="12" stopIfTrue="1"/>
    <cfRule type="duplicateValues" dxfId="36" priority="13" stopIfTrue="1"/>
    <cfRule type="duplicateValues" dxfId="35" priority="14" stopIfTrue="1"/>
    <cfRule type="duplicateValues" dxfId="34" priority="15" stopIfTrue="1"/>
    <cfRule type="duplicateValues" dxfId="33" priority="18"/>
  </conditionalFormatting>
  <conditionalFormatting sqref="BJ17:BJ139">
    <cfRule type="duplicateValues" dxfId="32" priority="19"/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7291-D0F4-4581-8DB5-C87F2AF0341A}">
  <sheetPr>
    <tabColor theme="5"/>
  </sheetPr>
  <dimension ref="A1:BH426"/>
  <sheetViews>
    <sheetView topLeftCell="AQ1" zoomScale="70" zoomScaleNormal="70" workbookViewId="0">
      <selection activeCell="AY24" sqref="AY24"/>
    </sheetView>
  </sheetViews>
  <sheetFormatPr baseColWidth="10" defaultColWidth="11" defaultRowHeight="14" x14ac:dyDescent="0.3"/>
  <cols>
    <col min="1" max="1" width="2.33203125" style="17" customWidth="1"/>
    <col min="2" max="2" width="1.58203125" customWidth="1"/>
    <col min="3" max="3" width="4.25" customWidth="1"/>
    <col min="4" max="4" width="9.33203125" customWidth="1"/>
    <col min="5" max="5" width="9.83203125" bestFit="1" customWidth="1"/>
    <col min="6" max="6" width="12.08203125" customWidth="1"/>
    <col min="9" max="9" width="10.08203125" customWidth="1"/>
    <col min="11" max="11" width="6.58203125" customWidth="1"/>
    <col min="12" max="12" width="10.25" customWidth="1"/>
    <col min="14" max="14" width="15.33203125" customWidth="1"/>
    <col min="15" max="15" width="7.58203125" bestFit="1" customWidth="1"/>
    <col min="20" max="20" width="20.5" bestFit="1" customWidth="1"/>
    <col min="37" max="37" width="8.58203125" bestFit="1" customWidth="1"/>
    <col min="57" max="57" width="22.83203125" bestFit="1" customWidth="1"/>
  </cols>
  <sheetData>
    <row r="1" spans="1:60" s="18" customFormat="1" ht="36" thickBot="1" x14ac:dyDescent="0.35">
      <c r="A1" s="17"/>
      <c r="C1" s="19" t="s">
        <v>941</v>
      </c>
      <c r="D1" s="20"/>
    </row>
    <row r="3" spans="1:60" ht="19.5" customHeight="1" x14ac:dyDescent="0.3">
      <c r="I3" s="124">
        <f ca="1">TODAY()</f>
        <v>45968</v>
      </c>
      <c r="R3" t="s">
        <v>942</v>
      </c>
      <c r="T3">
        <v>2025</v>
      </c>
      <c r="U3">
        <v>1</v>
      </c>
      <c r="V3">
        <v>2</v>
      </c>
      <c r="W3">
        <v>3</v>
      </c>
      <c r="X3">
        <v>4</v>
      </c>
      <c r="Y3">
        <v>5</v>
      </c>
      <c r="Z3">
        <v>6</v>
      </c>
      <c r="AA3">
        <v>7</v>
      </c>
      <c r="AB3">
        <v>8</v>
      </c>
      <c r="AC3">
        <v>9</v>
      </c>
      <c r="AD3">
        <v>10</v>
      </c>
      <c r="AE3">
        <v>11</v>
      </c>
      <c r="AF3">
        <v>12</v>
      </c>
    </row>
    <row r="4" spans="1:60" ht="42" x14ac:dyDescent="0.3">
      <c r="C4" s="22" t="s">
        <v>943</v>
      </c>
      <c r="D4" s="22" t="s">
        <v>273</v>
      </c>
      <c r="E4" s="23" t="s">
        <v>622</v>
      </c>
      <c r="F4" s="22" t="s">
        <v>944</v>
      </c>
      <c r="G4" s="22" t="s">
        <v>945</v>
      </c>
      <c r="H4" s="22" t="s">
        <v>946</v>
      </c>
      <c r="I4" s="22" t="s">
        <v>947</v>
      </c>
      <c r="J4" s="22" t="s">
        <v>948</v>
      </c>
      <c r="K4" s="22" t="s">
        <v>949</v>
      </c>
      <c r="L4" s="22" t="s">
        <v>950</v>
      </c>
      <c r="M4" s="22" t="s">
        <v>28</v>
      </c>
      <c r="N4" s="22" t="s">
        <v>31</v>
      </c>
      <c r="O4" s="22" t="s">
        <v>951</v>
      </c>
      <c r="P4" s="22" t="s">
        <v>952</v>
      </c>
      <c r="Q4" s="22" t="s">
        <v>953</v>
      </c>
      <c r="R4" s="22" t="s">
        <v>954</v>
      </c>
      <c r="T4" s="125" t="s">
        <v>31</v>
      </c>
      <c r="U4" s="126" t="s">
        <v>11</v>
      </c>
      <c r="V4" s="126" t="s">
        <v>12</v>
      </c>
      <c r="W4" s="126" t="s">
        <v>13</v>
      </c>
      <c r="X4" s="126" t="s">
        <v>14</v>
      </c>
      <c r="Y4" s="126" t="s">
        <v>15</v>
      </c>
      <c r="Z4" s="126" t="s">
        <v>16</v>
      </c>
      <c r="AA4" s="126" t="s">
        <v>17</v>
      </c>
      <c r="AB4" s="126" t="s">
        <v>18</v>
      </c>
      <c r="AC4" s="126" t="s">
        <v>574</v>
      </c>
      <c r="AD4" s="126" t="s">
        <v>20</v>
      </c>
      <c r="AE4" s="126" t="s">
        <v>21</v>
      </c>
      <c r="AF4" s="126" t="s">
        <v>22</v>
      </c>
      <c r="AG4" s="127" t="s">
        <v>23</v>
      </c>
      <c r="AL4" s="141" t="s">
        <v>273</v>
      </c>
      <c r="AM4" s="141" t="s">
        <v>622</v>
      </c>
      <c r="AN4" s="141" t="s">
        <v>944</v>
      </c>
      <c r="AO4" s="142" t="s">
        <v>955</v>
      </c>
      <c r="AP4" s="142" t="s">
        <v>956</v>
      </c>
      <c r="AQ4" s="142" t="s">
        <v>957</v>
      </c>
      <c r="AR4" s="142" t="s">
        <v>958</v>
      </c>
      <c r="AS4" s="143" t="s">
        <v>945</v>
      </c>
      <c r="AT4" s="143" t="s">
        <v>946</v>
      </c>
      <c r="AU4" s="143" t="s">
        <v>947</v>
      </c>
      <c r="AV4" s="143" t="s">
        <v>948</v>
      </c>
      <c r="AW4" s="144" t="s">
        <v>959</v>
      </c>
      <c r="AX4" s="144" t="s">
        <v>960</v>
      </c>
      <c r="AY4" s="144" t="s">
        <v>961</v>
      </c>
      <c r="AZ4" s="145" t="s">
        <v>962</v>
      </c>
      <c r="BA4" s="146" t="s">
        <v>31</v>
      </c>
      <c r="BD4" s="153" t="s">
        <v>963</v>
      </c>
      <c r="BE4" s="153" t="s">
        <v>618</v>
      </c>
      <c r="BF4" s="153" t="s">
        <v>964</v>
      </c>
      <c r="BG4" s="155" t="s">
        <v>965</v>
      </c>
    </row>
    <row r="5" spans="1:60" x14ac:dyDescent="0.3">
      <c r="C5" s="7">
        <v>1</v>
      </c>
      <c r="D5" s="24" t="s">
        <v>118</v>
      </c>
      <c r="E5" s="8" t="s">
        <v>117</v>
      </c>
      <c r="F5" s="13" t="s">
        <v>966</v>
      </c>
      <c r="G5" s="128">
        <f>IFERROR(VLOOKUP(Pólizas48[[#This Row],[PLACA]],ITV_LA[#All],8,0),"")</f>
        <v>45469</v>
      </c>
      <c r="H5" s="128">
        <f>IFERROR(VLOOKUP(Pólizas48[[#This Row],[PLACA]],ITV_LA[#All],9,0),"")</f>
        <v>46201</v>
      </c>
      <c r="I5" s="8">
        <f ca="1">IFERROR(Pólizas48[[#This Row],[Fecha de vencimiento '[RTV']]]-$I$3,"")</f>
        <v>233</v>
      </c>
      <c r="J5" s="27" t="str">
        <f ca="1">IF(Pólizas48[[#This Row],[Fecha de vencimiento '[RTV']]]="","",IF(Pólizas48[[#This Row],[Fecha de vencimiento '[RTV']]]&lt;TODAY(),"Vencido","Vigente"))</f>
        <v>Vigente</v>
      </c>
      <c r="K5" s="27">
        <f>IFERROR(MONTH(Pólizas48[[#This Row],[Fecha de Emision '[RTV']]]),"")</f>
        <v>6</v>
      </c>
      <c r="L5" s="27">
        <f>IFERROR(YEAR(Pólizas48[[#This Row],[Fecha de Emision '[RTV']]]),"")</f>
        <v>2024</v>
      </c>
      <c r="M5" s="27" t="s">
        <v>37</v>
      </c>
      <c r="N5" s="27" t="s">
        <v>40</v>
      </c>
      <c r="O5" s="27" t="s">
        <v>967</v>
      </c>
      <c r="P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5" s="27">
        <f>VLOOKUP(Pólizas48[[#This Row],[Categoría]],$BD$4:$BG$8,4,0)</f>
        <v>100</v>
      </c>
      <c r="R5" s="27">
        <f>IF(Pólizas48[[#This Row],[Inspección]]=2024,2025,Pólizas48[[#This Row],[Inspección]])</f>
        <v>2025</v>
      </c>
      <c r="T5" s="129" t="s">
        <v>32</v>
      </c>
      <c r="U5" s="130">
        <f>SUMIFS(Pólizas48[Precio S/.(CITV)],Pólizas48[Familia],$T5,Pólizas48[Prox Insp],2025,Pólizas48[Mes Inicia Pago],U$3)</f>
        <v>0</v>
      </c>
      <c r="V5" s="130">
        <f>SUMIFS(Pólizas48[Precio S/.(CITV)],Pólizas48[Familia],$T5,Pólizas48[Prox Insp],2025,Pólizas48[Mes Inicia Pago],V$3)</f>
        <v>0</v>
      </c>
      <c r="W5" s="130">
        <f>SUMIFS(Pólizas48[Precio S/.(CITV)],Pólizas48[Familia],$T5,Pólizas48[Prox Insp],2025,Pólizas48[Mes Inicia Pago],W$3)</f>
        <v>0</v>
      </c>
      <c r="X5" s="130">
        <f>SUMIFS(Pólizas48[Precio S/.(CITV)],Pólizas48[Familia],$T5,Pólizas48[Prox Insp],2025,Pólizas48[Mes Inicia Pago],X$3)</f>
        <v>43</v>
      </c>
      <c r="Y5" s="130">
        <f>SUMIFS(Pólizas48[Precio S/.(CITV)],Pólizas48[Familia],$T5,Pólizas48[Prox Insp],2025,Pólizas48[Mes Inicia Pago],Y$3)</f>
        <v>0</v>
      </c>
      <c r="Z5" s="130">
        <f>SUMIFS(Pólizas48[Precio S/.(CITV)],Pólizas48[Familia],$T5,Pólizas48[Prox Insp],2025,Pólizas48[Mes Inicia Pago],Z$3)</f>
        <v>0</v>
      </c>
      <c r="AA5" s="130">
        <f>SUMIFS(Pólizas48[Precio S/.(CITV)],Pólizas48[Familia],$T5,Pólizas48[Prox Insp],2025,Pólizas48[Mes Inicia Pago],AA$3)</f>
        <v>0</v>
      </c>
      <c r="AB5" s="130">
        <f>SUMIFS(Pólizas48[Precio S/.(CITV)],Pólizas48[Familia],$T5,Pólizas48[Prox Insp],2025,Pólizas48[Mes Inicia Pago],AB$3)</f>
        <v>0</v>
      </c>
      <c r="AC5" s="130">
        <f>SUMIFS(Pólizas48[Precio S/.(CITV)],Pólizas48[Familia],$T5,Pólizas48[Prox Insp],2025,Pólizas48[Mes Inicia Pago],AC$3)</f>
        <v>0</v>
      </c>
      <c r="AD5" s="130">
        <f>SUMIFS(Pólizas48[Precio S/.(CITV)],Pólizas48[Familia],$T5,Pólizas48[Prox Insp],2025,Pólizas48[Mes Inicia Pago],AD$3)</f>
        <v>0</v>
      </c>
      <c r="AE5" s="130">
        <f>SUMIFS(Pólizas48[Precio S/.(CITV)],Pólizas48[Familia],$T5,Pólizas48[Prox Insp],2025,Pólizas48[Mes Inicia Pago],AE$3)</f>
        <v>0</v>
      </c>
      <c r="AF5" s="130">
        <f>SUMIFS(Pólizas48[Precio S/.(CITV)],Pólizas48[Familia],$T5,Pólizas48[Prox Insp],2025,Pólizas48[Mes Inicia Pago],AF$3)</f>
        <v>0</v>
      </c>
      <c r="AG5" s="40">
        <f>SUM(U5:AF5)</f>
        <v>43</v>
      </c>
      <c r="AL5" s="147" t="s">
        <v>968</v>
      </c>
      <c r="AM5" s="139" t="s">
        <v>969</v>
      </c>
      <c r="AN5" s="139" t="s">
        <v>970</v>
      </c>
      <c r="AO5" s="139" t="s">
        <v>971</v>
      </c>
      <c r="AP5" s="139" t="s">
        <v>972</v>
      </c>
      <c r="AQ5" s="139" t="s">
        <v>973</v>
      </c>
      <c r="AR5" s="139" t="s">
        <v>974</v>
      </c>
      <c r="AS5" s="12">
        <v>45429</v>
      </c>
      <c r="AT5" s="148">
        <v>45794</v>
      </c>
      <c r="AU5" s="140">
        <v>-138</v>
      </c>
      <c r="AV5" s="149" t="s">
        <v>975</v>
      </c>
      <c r="AW5" s="12">
        <v>45794</v>
      </c>
      <c r="AX5" s="140">
        <v>-138</v>
      </c>
      <c r="AY5" s="149" t="s">
        <v>975</v>
      </c>
      <c r="AZ5" s="11"/>
      <c r="BA5" s="11" t="s">
        <v>575</v>
      </c>
      <c r="BD5" s="154" t="s">
        <v>976</v>
      </c>
      <c r="BE5" s="154" t="s">
        <v>977</v>
      </c>
      <c r="BF5" s="154">
        <v>4</v>
      </c>
      <c r="BG5" s="63">
        <v>40</v>
      </c>
    </row>
    <row r="6" spans="1:60" x14ac:dyDescent="0.3">
      <c r="C6" s="7">
        <v>2</v>
      </c>
      <c r="D6" s="24" t="s">
        <v>120</v>
      </c>
      <c r="E6" s="8" t="s">
        <v>117</v>
      </c>
      <c r="F6" s="13" t="s">
        <v>966</v>
      </c>
      <c r="G6" s="128">
        <f>IFERROR(VLOOKUP(Pólizas48[[#This Row],[PLACA]],ITV_LA[#All],8,0),"")</f>
        <v>45468</v>
      </c>
      <c r="H6" s="128">
        <f>IFERROR(VLOOKUP(Pólizas48[[#This Row],[PLACA]],ITV_LA[#All],9,0),"")</f>
        <v>46201</v>
      </c>
      <c r="I6" s="8">
        <f ca="1">IFERROR(Pólizas48[[#This Row],[Fecha de vencimiento '[RTV']]]-$I$3,"")</f>
        <v>233</v>
      </c>
      <c r="J6" s="27" t="str">
        <f ca="1">IF(Pólizas48[[#This Row],[Fecha de vencimiento '[RTV']]]="","",IF(Pólizas48[[#This Row],[Fecha de vencimiento '[RTV']]]&lt;TODAY(),"Vencido","Vigente"))</f>
        <v>Vigente</v>
      </c>
      <c r="K6" s="27">
        <f>IFERROR(MONTH(Pólizas48[[#This Row],[Fecha de Emision '[RTV']]]),"")</f>
        <v>6</v>
      </c>
      <c r="L6" s="27">
        <f>IFERROR(YEAR(Pólizas48[[#This Row],[Fecha de Emision '[RTV']]]),"")</f>
        <v>2024</v>
      </c>
      <c r="M6" s="27" t="s">
        <v>37</v>
      </c>
      <c r="N6" s="27" t="s">
        <v>40</v>
      </c>
      <c r="O6" s="27" t="s">
        <v>967</v>
      </c>
      <c r="P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6" s="27">
        <f>VLOOKUP(Pólizas48[[#This Row],[Categoría]],$BD$4:$BG$8,4,0)</f>
        <v>100</v>
      </c>
      <c r="R6" s="27">
        <f>IF(Pólizas48[[#This Row],[Inspección]]=2024,2025,Pólizas48[[#This Row],[Inspección]])</f>
        <v>2025</v>
      </c>
      <c r="T6" s="129" t="s">
        <v>40</v>
      </c>
      <c r="U6" s="130">
        <f>SUMIFS(Pólizas48[Precio S/.(CITV)],Pólizas48[Familia],$T6,Pólizas48[Prox Insp],2025,Pólizas48[Mes Inicia Pago],U$3)</f>
        <v>0</v>
      </c>
      <c r="V6" s="130">
        <f>SUMIFS(Pólizas48[Precio S/.(CITV)],Pólizas48[Familia],$T6,Pólizas48[Prox Insp],2025,Pólizas48[Mes Inicia Pago],V$3)</f>
        <v>0</v>
      </c>
      <c r="W6" s="130">
        <f>SUMIFS(Pólizas48[Precio S/.(CITV)],Pólizas48[Familia],$T6,Pólizas48[Prox Insp],2025,Pólizas48[Mes Inicia Pago],W$3)</f>
        <v>0</v>
      </c>
      <c r="X6" s="130">
        <f>SUMIFS(Pólizas48[Precio S/.(CITV)],Pólizas48[Familia],$T6,Pólizas48[Prox Insp],2025,Pólizas48[Mes Inicia Pago],X$3)</f>
        <v>0</v>
      </c>
      <c r="Y6" s="130">
        <f>SUMIFS(Pólizas48[Precio S/.(CITV)],Pólizas48[Familia],$T6,Pólizas48[Prox Insp],2025,Pólizas48[Mes Inicia Pago],Y$3)</f>
        <v>0</v>
      </c>
      <c r="Z6" s="130">
        <f>SUMIFS(Pólizas48[Precio S/.(CITV)],Pólizas48[Familia],$T6,Pólizas48[Prox Insp],2025,Pólizas48[Mes Inicia Pago],Z$3)</f>
        <v>1200</v>
      </c>
      <c r="AA6" s="130">
        <f>SUMIFS(Pólizas48[Precio S/.(CITV)],Pólizas48[Familia],$T6,Pólizas48[Prox Insp],2025,Pólizas48[Mes Inicia Pago],AA$3)</f>
        <v>0</v>
      </c>
      <c r="AB6" s="130">
        <f>SUMIFS(Pólizas48[Precio S/.(CITV)],Pólizas48[Familia],$T6,Pólizas48[Prox Insp],2025,Pólizas48[Mes Inicia Pago],AB$3)</f>
        <v>0</v>
      </c>
      <c r="AC6" s="130">
        <f>SUMIFS(Pólizas48[Precio S/.(CITV)],Pólizas48[Familia],$T6,Pólizas48[Prox Insp],2025,Pólizas48[Mes Inicia Pago],AC$3)</f>
        <v>0</v>
      </c>
      <c r="AD6" s="130">
        <f>SUMIFS(Pólizas48[Precio S/.(CITV)],Pólizas48[Familia],$T6,Pólizas48[Prox Insp],2025,Pólizas48[Mes Inicia Pago],AD$3)</f>
        <v>0</v>
      </c>
      <c r="AE6" s="130">
        <f>SUMIFS(Pólizas48[Precio S/.(CITV)],Pólizas48[Familia],$T6,Pólizas48[Prox Insp],2025,Pólizas48[Mes Inicia Pago],AE$3)</f>
        <v>0</v>
      </c>
      <c r="AF6" s="130">
        <f>SUMIFS(Pólizas48[Precio S/.(CITV)],Pólizas48[Familia],$T6,Pólizas48[Prox Insp],2025,Pólizas48[Mes Inicia Pago],AF$3)</f>
        <v>0</v>
      </c>
      <c r="AG6" s="40">
        <f t="shared" ref="AG6:AG15" si="0">SUM(U6:AF6)</f>
        <v>1200</v>
      </c>
      <c r="AL6" s="147" t="s">
        <v>498</v>
      </c>
      <c r="AM6" s="139" t="s">
        <v>978</v>
      </c>
      <c r="AN6" s="139" t="s">
        <v>979</v>
      </c>
      <c r="AO6" s="139" t="s">
        <v>971</v>
      </c>
      <c r="AP6" s="139" t="s">
        <v>972</v>
      </c>
      <c r="AQ6" s="139" t="s">
        <v>980</v>
      </c>
      <c r="AR6" s="139" t="s">
        <v>981</v>
      </c>
      <c r="AS6" s="12">
        <v>45430</v>
      </c>
      <c r="AT6" s="148">
        <v>45795</v>
      </c>
      <c r="AU6" s="140">
        <v>-137</v>
      </c>
      <c r="AV6" s="149" t="s">
        <v>975</v>
      </c>
      <c r="AW6" s="12">
        <v>46154</v>
      </c>
      <c r="AX6" s="140">
        <v>222</v>
      </c>
      <c r="AY6" s="149" t="s">
        <v>1163</v>
      </c>
      <c r="AZ6" s="11"/>
      <c r="BA6" s="11" t="s">
        <v>575</v>
      </c>
      <c r="BD6" s="154" t="s">
        <v>982</v>
      </c>
      <c r="BE6" s="154" t="s">
        <v>983</v>
      </c>
      <c r="BF6" s="154">
        <v>0</v>
      </c>
      <c r="BG6" s="63">
        <v>43</v>
      </c>
      <c r="BH6" s="63">
        <v>80</v>
      </c>
    </row>
    <row r="7" spans="1:60" x14ac:dyDescent="0.3">
      <c r="C7" s="7">
        <v>3</v>
      </c>
      <c r="D7" s="24" t="s">
        <v>122</v>
      </c>
      <c r="E7" s="8" t="s">
        <v>117</v>
      </c>
      <c r="F7" s="13" t="s">
        <v>966</v>
      </c>
      <c r="G7" s="128">
        <f>IFERROR(VLOOKUP(Pólizas48[[#This Row],[PLACA]],ITV_LA[#All],8,0),"")</f>
        <v>45468</v>
      </c>
      <c r="H7" s="128">
        <f>IFERROR(VLOOKUP(Pólizas48[[#This Row],[PLACA]],ITV_LA[#All],9,0),"")</f>
        <v>46208</v>
      </c>
      <c r="I7" s="8">
        <f ca="1">IFERROR(Pólizas48[[#This Row],[Fecha de vencimiento '[RTV']]]-$I$3,"")</f>
        <v>240</v>
      </c>
      <c r="J7" s="27" t="str">
        <f ca="1">IF(Pólizas48[[#This Row],[Fecha de vencimiento '[RTV']]]="","",IF(Pólizas48[[#This Row],[Fecha de vencimiento '[RTV']]]&lt;TODAY(),"Vencido","Vigente"))</f>
        <v>Vigente</v>
      </c>
      <c r="K7" s="27">
        <f>IFERROR(MONTH(Pólizas48[[#This Row],[Fecha de Emision '[RTV']]]),"")</f>
        <v>6</v>
      </c>
      <c r="L7" s="27">
        <f>IFERROR(YEAR(Pólizas48[[#This Row],[Fecha de Emision '[RTV']]]),"")</f>
        <v>2024</v>
      </c>
      <c r="M7" s="27" t="s">
        <v>37</v>
      </c>
      <c r="N7" s="27" t="s">
        <v>40</v>
      </c>
      <c r="O7" s="27" t="s">
        <v>967</v>
      </c>
      <c r="P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7" s="27">
        <f>VLOOKUP(Pólizas48[[#This Row],[Categoría]],$BD$4:$BG$8,4,0)</f>
        <v>100</v>
      </c>
      <c r="R7" s="27">
        <f>IF(Pólizas48[[#This Row],[Inspección]]=2024,2025,Pólizas48[[#This Row],[Inspección]])</f>
        <v>2025</v>
      </c>
      <c r="T7" s="129" t="s">
        <v>46</v>
      </c>
      <c r="U7" s="130">
        <f>SUMIFS(Pólizas48[Precio S/.(CITV)],Pólizas48[Familia],$T7,Pólizas48[Prox Insp],2025,Pólizas48[Mes Inicia Pago],U$3)</f>
        <v>0</v>
      </c>
      <c r="V7" s="130">
        <f>SUMIFS(Pólizas48[Precio S/.(CITV)],Pólizas48[Familia],$T7,Pólizas48[Prox Insp],2025,Pólizas48[Mes Inicia Pago],V$3)</f>
        <v>0</v>
      </c>
      <c r="W7" s="130">
        <f>SUMIFS(Pólizas48[Precio S/.(CITV)],Pólizas48[Familia],$T7,Pólizas48[Prox Insp],2025,Pólizas48[Mes Inicia Pago],W$3)</f>
        <v>0</v>
      </c>
      <c r="X7" s="130">
        <f>SUMIFS(Pólizas48[Precio S/.(CITV)],Pólizas48[Familia],$T7,Pólizas48[Prox Insp],2025,Pólizas48[Mes Inicia Pago],X$3)</f>
        <v>100</v>
      </c>
      <c r="Y7" s="130">
        <f>SUMIFS(Pólizas48[Precio S/.(CITV)],Pólizas48[Familia],$T7,Pólizas48[Prox Insp],2025,Pólizas48[Mes Inicia Pago],Y$3)</f>
        <v>0</v>
      </c>
      <c r="Z7" s="130">
        <f>SUMIFS(Pólizas48[Precio S/.(CITV)],Pólizas48[Familia],$T7,Pólizas48[Prox Insp],2025,Pólizas48[Mes Inicia Pago],Z$3)</f>
        <v>0</v>
      </c>
      <c r="AA7" s="130">
        <f>SUMIFS(Pólizas48[Precio S/.(CITV)],Pólizas48[Familia],$T7,Pólizas48[Prox Insp],2025,Pólizas48[Mes Inicia Pago],AA$3)</f>
        <v>0</v>
      </c>
      <c r="AB7" s="130">
        <f>SUMIFS(Pólizas48[Precio S/.(CITV)],Pólizas48[Familia],$T7,Pólizas48[Prox Insp],2025,Pólizas48[Mes Inicia Pago],AB$3)</f>
        <v>0</v>
      </c>
      <c r="AC7" s="130">
        <f>SUMIFS(Pólizas48[Precio S/.(CITV)],Pólizas48[Familia],$T7,Pólizas48[Prox Insp],2025,Pólizas48[Mes Inicia Pago],AC$3)</f>
        <v>0</v>
      </c>
      <c r="AD7" s="130">
        <f>SUMIFS(Pólizas48[Precio S/.(CITV)],Pólizas48[Familia],$T7,Pólizas48[Prox Insp],2025,Pólizas48[Mes Inicia Pago],AD$3)</f>
        <v>0</v>
      </c>
      <c r="AE7" s="130">
        <f>SUMIFS(Pólizas48[Precio S/.(CITV)],Pólizas48[Familia],$T7,Pólizas48[Prox Insp],2025,Pólizas48[Mes Inicia Pago],AE$3)</f>
        <v>0</v>
      </c>
      <c r="AF7" s="130">
        <f>SUMIFS(Pólizas48[Precio S/.(CITV)],Pólizas48[Familia],$T7,Pólizas48[Prox Insp],2025,Pólizas48[Mes Inicia Pago],AF$3)</f>
        <v>0</v>
      </c>
      <c r="AG7" s="40">
        <f t="shared" si="0"/>
        <v>100</v>
      </c>
      <c r="AL7" s="147" t="s">
        <v>984</v>
      </c>
      <c r="AM7" s="139" t="s">
        <v>978</v>
      </c>
      <c r="AN7" s="139" t="s">
        <v>979</v>
      </c>
      <c r="AO7" s="139" t="s">
        <v>985</v>
      </c>
      <c r="AP7" s="139" t="s">
        <v>986</v>
      </c>
      <c r="AQ7" s="139" t="s">
        <v>987</v>
      </c>
      <c r="AR7" s="139" t="s">
        <v>988</v>
      </c>
      <c r="AS7" s="12">
        <v>45430</v>
      </c>
      <c r="AT7" s="148">
        <v>45795</v>
      </c>
      <c r="AU7" s="140">
        <v>-137</v>
      </c>
      <c r="AV7" s="149" t="s">
        <v>1164</v>
      </c>
      <c r="AW7" s="12">
        <v>46001</v>
      </c>
      <c r="AX7" s="140">
        <v>69</v>
      </c>
      <c r="AY7" s="149" t="s">
        <v>1163</v>
      </c>
      <c r="AZ7" s="11"/>
      <c r="BA7" s="11" t="s">
        <v>575</v>
      </c>
      <c r="BD7" s="154" t="s">
        <v>989</v>
      </c>
      <c r="BE7" s="154" t="s">
        <v>977</v>
      </c>
      <c r="BF7" s="154">
        <v>3</v>
      </c>
      <c r="BG7" s="63">
        <v>90</v>
      </c>
    </row>
    <row r="8" spans="1:60" ht="15" customHeight="1" x14ac:dyDescent="0.3">
      <c r="C8" s="7">
        <v>4</v>
      </c>
      <c r="D8" s="24" t="s">
        <v>123</v>
      </c>
      <c r="E8" s="8" t="s">
        <v>117</v>
      </c>
      <c r="F8" s="13" t="s">
        <v>966</v>
      </c>
      <c r="G8" s="128">
        <f>IFERROR(VLOOKUP(Pólizas48[[#This Row],[PLACA]],ITV_LA[#All],8,0),"")</f>
        <v>45468</v>
      </c>
      <c r="H8" s="128">
        <f>IFERROR(VLOOKUP(Pólizas48[[#This Row],[PLACA]],ITV_LA[#All],9,0),"")</f>
        <v>46201</v>
      </c>
      <c r="I8" s="8">
        <f ca="1">IFERROR(Pólizas48[[#This Row],[Fecha de vencimiento '[RTV']]]-$I$3,"")</f>
        <v>233</v>
      </c>
      <c r="J8" s="27" t="str">
        <f ca="1">IF(Pólizas48[[#This Row],[Fecha de vencimiento '[RTV']]]="","",IF(Pólizas48[[#This Row],[Fecha de vencimiento '[RTV']]]&lt;TODAY(),"Vencido","Vigente"))</f>
        <v>Vigente</v>
      </c>
      <c r="K8" s="27">
        <f>IFERROR(MONTH(Pólizas48[[#This Row],[Fecha de Emision '[RTV']]]),"")</f>
        <v>6</v>
      </c>
      <c r="L8" s="27">
        <f>IFERROR(YEAR(Pólizas48[[#This Row],[Fecha de Emision '[RTV']]]),"")</f>
        <v>2024</v>
      </c>
      <c r="M8" s="27" t="s">
        <v>37</v>
      </c>
      <c r="N8" s="27" t="s">
        <v>40</v>
      </c>
      <c r="O8" s="27" t="s">
        <v>967</v>
      </c>
      <c r="P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8" s="27">
        <f>VLOOKUP(Pólizas48[[#This Row],[Categoría]],$BD$4:$BG$8,4,0)</f>
        <v>100</v>
      </c>
      <c r="R8" s="27">
        <f>IF(Pólizas48[[#This Row],[Inspección]]=2024,2025,Pólizas48[[#This Row],[Inspección]])</f>
        <v>2025</v>
      </c>
      <c r="T8" s="129" t="s">
        <v>48</v>
      </c>
      <c r="U8" s="130">
        <f>SUMIFS(Pólizas48[Precio S/.(CITV)],Pólizas48[Familia],$T8,Pólizas48[Prox Insp],2025,Pólizas48[Mes Inicia Pago],U$3)</f>
        <v>0</v>
      </c>
      <c r="V8" s="130">
        <f>SUMIFS(Pólizas48[Precio S/.(CITV)],Pólizas48[Familia],$T8,Pólizas48[Prox Insp],2025,Pólizas48[Mes Inicia Pago],V$3)</f>
        <v>0</v>
      </c>
      <c r="W8" s="130">
        <f>SUMIFS(Pólizas48[Precio S/.(CITV)],Pólizas48[Familia],$T8,Pólizas48[Prox Insp],2025,Pólizas48[Mes Inicia Pago],W$3)</f>
        <v>0</v>
      </c>
      <c r="X8" s="130">
        <f>SUMIFS(Pólizas48[Precio S/.(CITV)],Pólizas48[Familia],$T8,Pólizas48[Prox Insp],2025,Pólizas48[Mes Inicia Pago],X$3)</f>
        <v>0</v>
      </c>
      <c r="Y8" s="130">
        <f>SUMIFS(Pólizas48[Precio S/.(CITV)],Pólizas48[Familia],$T8,Pólizas48[Prox Insp],2025,Pólizas48[Mes Inicia Pago],Y$3)</f>
        <v>0</v>
      </c>
      <c r="Z8" s="130">
        <f>SUMIFS(Pólizas48[Precio S/.(CITV)],Pólizas48[Familia],$T8,Pólizas48[Prox Insp],2025,Pólizas48[Mes Inicia Pago],Z$3)</f>
        <v>0</v>
      </c>
      <c r="AA8" s="130">
        <f>SUMIFS(Pólizas48[Precio S/.(CITV)],Pólizas48[Familia],$T8,Pólizas48[Prox Insp],2025,Pólizas48[Mes Inicia Pago],AA$3)</f>
        <v>0</v>
      </c>
      <c r="AB8" s="130">
        <f>SUMIFS(Pólizas48[Precio S/.(CITV)],Pólizas48[Familia],$T8,Pólizas48[Prox Insp],2025,Pólizas48[Mes Inicia Pago],AB$3)</f>
        <v>0</v>
      </c>
      <c r="AC8" s="130">
        <f>SUMIFS(Pólizas48[Precio S/.(CITV)],Pólizas48[Familia],$T8,Pólizas48[Prox Insp],2025,Pólizas48[Mes Inicia Pago],AC$3)</f>
        <v>0</v>
      </c>
      <c r="AD8" s="130">
        <f>SUMIFS(Pólizas48[Precio S/.(CITV)],Pólizas48[Familia],$T8,Pólizas48[Prox Insp],2025,Pólizas48[Mes Inicia Pago],AD$3)</f>
        <v>0</v>
      </c>
      <c r="AE8" s="130">
        <f>SUMIFS(Pólizas48[Precio S/.(CITV)],Pólizas48[Familia],$T8,Pólizas48[Prox Insp],2025,Pólizas48[Mes Inicia Pago],AE$3)</f>
        <v>0</v>
      </c>
      <c r="AF8" s="130">
        <f>SUMIFS(Pólizas48[Precio S/.(CITV)],Pólizas48[Familia],$T8,Pólizas48[Prox Insp],2025,Pólizas48[Mes Inicia Pago],AF$3)</f>
        <v>0</v>
      </c>
      <c r="AG8" s="40">
        <f t="shared" si="0"/>
        <v>0</v>
      </c>
      <c r="AL8" s="147" t="s">
        <v>990</v>
      </c>
      <c r="AM8" s="139" t="s">
        <v>991</v>
      </c>
      <c r="AN8" s="139" t="s">
        <v>979</v>
      </c>
      <c r="AO8" s="139" t="s">
        <v>985</v>
      </c>
      <c r="AP8" s="139" t="s">
        <v>992</v>
      </c>
      <c r="AQ8" s="139" t="s">
        <v>993</v>
      </c>
      <c r="AR8" s="139" t="s">
        <v>994</v>
      </c>
      <c r="AS8" s="12">
        <v>45784</v>
      </c>
      <c r="AT8" s="148">
        <v>45968</v>
      </c>
      <c r="AU8" s="140">
        <v>36</v>
      </c>
      <c r="AV8" s="149" t="s">
        <v>1163</v>
      </c>
      <c r="AW8" s="12">
        <v>46108</v>
      </c>
      <c r="AX8" s="140">
        <v>176</v>
      </c>
      <c r="AY8" s="149" t="s">
        <v>1163</v>
      </c>
      <c r="AZ8" s="11"/>
      <c r="BA8" s="11" t="s">
        <v>575</v>
      </c>
      <c r="BD8" s="154" t="s">
        <v>967</v>
      </c>
      <c r="BE8" s="154" t="s">
        <v>995</v>
      </c>
      <c r="BF8" s="154">
        <v>0</v>
      </c>
      <c r="BG8" s="63">
        <v>100</v>
      </c>
    </row>
    <row r="9" spans="1:60" x14ac:dyDescent="0.3">
      <c r="C9" s="7">
        <v>5</v>
      </c>
      <c r="D9" s="24" t="s">
        <v>124</v>
      </c>
      <c r="E9" s="8" t="s">
        <v>117</v>
      </c>
      <c r="F9" s="13" t="s">
        <v>966</v>
      </c>
      <c r="G9" s="128">
        <f>IFERROR(VLOOKUP(Pólizas48[[#This Row],[PLACA]],ITV_LA[#All],8,0),"")</f>
        <v>45468</v>
      </c>
      <c r="H9" s="128">
        <f>IFERROR(VLOOKUP(Pólizas48[[#This Row],[PLACA]],ITV_LA[#All],9,0),"")</f>
        <v>46201</v>
      </c>
      <c r="I9" s="8">
        <f ca="1">IFERROR(Pólizas48[[#This Row],[Fecha de vencimiento '[RTV']]]-$I$3,"")</f>
        <v>233</v>
      </c>
      <c r="J9" s="27" t="str">
        <f ca="1">IF(Pólizas48[[#This Row],[Fecha de vencimiento '[RTV']]]="","",IF(Pólizas48[[#This Row],[Fecha de vencimiento '[RTV']]]&lt;TODAY(),"Vencido","Vigente"))</f>
        <v>Vigente</v>
      </c>
      <c r="K9" s="27">
        <f>IFERROR(MONTH(Pólizas48[[#This Row],[Fecha de Emision '[RTV']]]),"")</f>
        <v>6</v>
      </c>
      <c r="L9" s="27">
        <f>IFERROR(YEAR(Pólizas48[[#This Row],[Fecha de Emision '[RTV']]]),"")</f>
        <v>2024</v>
      </c>
      <c r="M9" s="27" t="s">
        <v>37</v>
      </c>
      <c r="N9" s="27" t="s">
        <v>40</v>
      </c>
      <c r="O9" s="27" t="s">
        <v>967</v>
      </c>
      <c r="P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9" s="27">
        <f>VLOOKUP(Pólizas48[[#This Row],[Categoría]],$BD$4:$BG$8,4,0)</f>
        <v>100</v>
      </c>
      <c r="R9" s="27">
        <f>IF(Pólizas48[[#This Row],[Inspección]]=2024,2025,Pólizas48[[#This Row],[Inspección]])</f>
        <v>2025</v>
      </c>
      <c r="T9" s="129" t="s">
        <v>45</v>
      </c>
      <c r="U9" s="130">
        <f>SUMIFS(Pólizas48[Precio S/.(CITV)],Pólizas48[Familia],$T9,Pólizas48[Prox Insp],2025,Pólizas48[Mes Inicia Pago],U$3)</f>
        <v>0</v>
      </c>
      <c r="V9" s="130">
        <f>SUMIFS(Pólizas48[Precio S/.(CITV)],Pólizas48[Familia],$T9,Pólizas48[Prox Insp],2025,Pólizas48[Mes Inicia Pago],V$3)</f>
        <v>0</v>
      </c>
      <c r="W9" s="130">
        <f>SUMIFS(Pólizas48[Precio S/.(CITV)],Pólizas48[Familia],$T9,Pólizas48[Prox Insp],2025,Pólizas48[Mes Inicia Pago],W$3)</f>
        <v>0</v>
      </c>
      <c r="X9" s="130">
        <f>SUMIFS(Pólizas48[Precio S/.(CITV)],Pólizas48[Familia],$T9,Pólizas48[Prox Insp],2025,Pólizas48[Mes Inicia Pago],X$3)</f>
        <v>0</v>
      </c>
      <c r="Y9" s="130">
        <f>SUMIFS(Pólizas48[Precio S/.(CITV)],Pólizas48[Familia],$T9,Pólizas48[Prox Insp],2025,Pólizas48[Mes Inicia Pago],Y$3)</f>
        <v>0</v>
      </c>
      <c r="Z9" s="130">
        <f>SUMIFS(Pólizas48[Precio S/.(CITV)],Pólizas48[Familia],$T9,Pólizas48[Prox Insp],2025,Pólizas48[Mes Inicia Pago],Z$3)</f>
        <v>0</v>
      </c>
      <c r="AA9" s="130">
        <f>SUMIFS(Pólizas48[Precio S/.(CITV)],Pólizas48[Familia],$T9,Pólizas48[Prox Insp],2025,Pólizas48[Mes Inicia Pago],AA$3)</f>
        <v>0</v>
      </c>
      <c r="AB9" s="130">
        <f>SUMIFS(Pólizas48[Precio S/.(CITV)],Pólizas48[Familia],$T9,Pólizas48[Prox Insp],2025,Pólizas48[Mes Inicia Pago],AB$3)</f>
        <v>0</v>
      </c>
      <c r="AC9" s="130">
        <f>SUMIFS(Pólizas48[Precio S/.(CITV)],Pólizas48[Familia],$T9,Pólizas48[Prox Insp],2025,Pólizas48[Mes Inicia Pago],AC$3)</f>
        <v>0</v>
      </c>
      <c r="AD9" s="130">
        <f>SUMIFS(Pólizas48[Precio S/.(CITV)],Pólizas48[Familia],$T9,Pólizas48[Prox Insp],2025,Pólizas48[Mes Inicia Pago],AD$3)</f>
        <v>0</v>
      </c>
      <c r="AE9" s="130">
        <f>SUMIFS(Pólizas48[Precio S/.(CITV)],Pólizas48[Familia],$T9,Pólizas48[Prox Insp],2025,Pólizas48[Mes Inicia Pago],AE$3)</f>
        <v>0</v>
      </c>
      <c r="AF9" s="130">
        <f>SUMIFS(Pólizas48[Precio S/.(CITV)],Pólizas48[Familia],$T9,Pólizas48[Prox Insp],2025,Pólizas48[Mes Inicia Pago],AF$3)</f>
        <v>0</v>
      </c>
      <c r="AG9" s="40">
        <f t="shared" si="0"/>
        <v>0</v>
      </c>
      <c r="AL9" s="147" t="s">
        <v>519</v>
      </c>
      <c r="AM9" s="139" t="s">
        <v>978</v>
      </c>
      <c r="AN9" s="139" t="s">
        <v>979</v>
      </c>
      <c r="AO9" s="139" t="s">
        <v>996</v>
      </c>
      <c r="AP9" s="139" t="s">
        <v>997</v>
      </c>
      <c r="AQ9" s="139" t="s">
        <v>998</v>
      </c>
      <c r="AR9" s="139" t="s">
        <v>974</v>
      </c>
      <c r="AS9" s="12">
        <v>45789</v>
      </c>
      <c r="AT9" s="148">
        <v>46154</v>
      </c>
      <c r="AU9" s="140">
        <v>222</v>
      </c>
      <c r="AV9" s="149" t="s">
        <v>1163</v>
      </c>
      <c r="AW9" s="12">
        <v>45799</v>
      </c>
      <c r="AX9" s="140">
        <v>-133</v>
      </c>
      <c r="AY9" s="149" t="s">
        <v>1164</v>
      </c>
      <c r="AZ9" s="11"/>
      <c r="BA9" s="11" t="s">
        <v>575</v>
      </c>
    </row>
    <row r="10" spans="1:60" x14ac:dyDescent="0.3">
      <c r="C10" s="7">
        <v>6</v>
      </c>
      <c r="D10" s="24" t="s">
        <v>126</v>
      </c>
      <c r="E10" s="8" t="s">
        <v>117</v>
      </c>
      <c r="F10" s="13" t="s">
        <v>966</v>
      </c>
      <c r="G10" s="128">
        <f>IFERROR(VLOOKUP(Pólizas48[[#This Row],[PLACA]],ITV_LA[#All],8,0),"")</f>
        <v>45468</v>
      </c>
      <c r="H10" s="128">
        <f>IFERROR(VLOOKUP(Pólizas48[[#This Row],[PLACA]],ITV_LA[#All],9,0),"")</f>
        <v>46208</v>
      </c>
      <c r="I10" s="8">
        <f ca="1">IFERROR(Pólizas48[[#This Row],[Fecha de vencimiento '[RTV']]]-$I$3,"")</f>
        <v>240</v>
      </c>
      <c r="J10" s="27" t="str">
        <f ca="1">IF(Pólizas48[[#This Row],[Fecha de vencimiento '[RTV']]]="","",IF(Pólizas48[[#This Row],[Fecha de vencimiento '[RTV']]]&lt;TODAY(),"Vencido","Vigente"))</f>
        <v>Vigente</v>
      </c>
      <c r="K10" s="27">
        <f>IFERROR(MONTH(Pólizas48[[#This Row],[Fecha de Emision '[RTV']]]),"")</f>
        <v>6</v>
      </c>
      <c r="L10" s="27">
        <f>IFERROR(YEAR(Pólizas48[[#This Row],[Fecha de Emision '[RTV']]]),"")</f>
        <v>2024</v>
      </c>
      <c r="M10" s="27" t="s">
        <v>37</v>
      </c>
      <c r="N10" s="27" t="s">
        <v>40</v>
      </c>
      <c r="O10" s="27" t="s">
        <v>967</v>
      </c>
      <c r="P1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10" s="27">
        <f>VLOOKUP(Pólizas48[[#This Row],[Categoría]],$BD$4:$BG$8,4,0)</f>
        <v>100</v>
      </c>
      <c r="R10" s="27">
        <f>IF(Pólizas48[[#This Row],[Inspección]]=2024,2025,Pólizas48[[#This Row],[Inspección]])</f>
        <v>2025</v>
      </c>
      <c r="T10" s="129" t="s">
        <v>39</v>
      </c>
      <c r="U10" s="130">
        <f>SUMIFS(Pólizas48[Precio S/.(CITV)],Pólizas48[Familia],$T10,Pólizas48[Prox Insp],2025,Pólizas48[Mes Inicia Pago],U$3)</f>
        <v>0</v>
      </c>
      <c r="V10" s="130">
        <f>SUMIFS(Pólizas48[Precio S/.(CITV)],Pólizas48[Familia],$T10,Pólizas48[Prox Insp],2025,Pólizas48[Mes Inicia Pago],V$3)</f>
        <v>0</v>
      </c>
      <c r="W10" s="130">
        <f>SUMIFS(Pólizas48[Precio S/.(CITV)],Pólizas48[Familia],$T10,Pólizas48[Prox Insp],2025,Pólizas48[Mes Inicia Pago],W$3)</f>
        <v>0</v>
      </c>
      <c r="X10" s="130">
        <f>SUMIFS(Pólizas48[Precio S/.(CITV)],Pólizas48[Familia],$T10,Pólizas48[Prox Insp],2025,Pólizas48[Mes Inicia Pago],X$3)</f>
        <v>0</v>
      </c>
      <c r="Y10" s="130">
        <f>SUMIFS(Pólizas48[Precio S/.(CITV)],Pólizas48[Familia],$T10,Pólizas48[Prox Insp],2025,Pólizas48[Mes Inicia Pago],Y$3)</f>
        <v>0</v>
      </c>
      <c r="Z10" s="130">
        <f>SUMIFS(Pólizas48[Precio S/.(CITV)],Pólizas48[Familia],$T10,Pólizas48[Prox Insp],2025,Pólizas48[Mes Inicia Pago],Z$3)</f>
        <v>0</v>
      </c>
      <c r="AA10" s="130">
        <f>SUMIFS(Pólizas48[Precio S/.(CITV)],Pólizas48[Familia],$T10,Pólizas48[Prox Insp],2025,Pólizas48[Mes Inicia Pago],AA$3)</f>
        <v>0</v>
      </c>
      <c r="AB10" s="130">
        <f>SUMIFS(Pólizas48[Precio S/.(CITV)],Pólizas48[Familia],$T10,Pólizas48[Prox Insp],2025,Pólizas48[Mes Inicia Pago],AB$3)</f>
        <v>0</v>
      </c>
      <c r="AC10" s="130">
        <f>SUMIFS(Pólizas48[Precio S/.(CITV)],Pólizas48[Familia],$T10,Pólizas48[Prox Insp],2025,Pólizas48[Mes Inicia Pago],AC$3)</f>
        <v>0</v>
      </c>
      <c r="AD10" s="130">
        <f>SUMIFS(Pólizas48[Precio S/.(CITV)],Pólizas48[Familia],$T10,Pólizas48[Prox Insp],2025,Pólizas48[Mes Inicia Pago],AD$3)</f>
        <v>0</v>
      </c>
      <c r="AE10" s="130">
        <f>SUMIFS(Pólizas48[Precio S/.(CITV)],Pólizas48[Familia],$T10,Pólizas48[Prox Insp],2025,Pólizas48[Mes Inicia Pago],AE$3)</f>
        <v>0</v>
      </c>
      <c r="AF10" s="130">
        <f>SUMIFS(Pólizas48[Precio S/.(CITV)],Pólizas48[Familia],$T10,Pólizas48[Prox Insp],2025,Pólizas48[Mes Inicia Pago],AF$3)</f>
        <v>0</v>
      </c>
      <c r="AG10" s="40">
        <f t="shared" si="0"/>
        <v>0</v>
      </c>
      <c r="AL10" s="147" t="s">
        <v>999</v>
      </c>
      <c r="AM10" s="139" t="s">
        <v>978</v>
      </c>
      <c r="AN10" s="139" t="s">
        <v>979</v>
      </c>
      <c r="AO10" s="139" t="s">
        <v>985</v>
      </c>
      <c r="AP10" s="139" t="s">
        <v>992</v>
      </c>
      <c r="AQ10" s="139" t="s">
        <v>1000</v>
      </c>
      <c r="AR10" s="139" t="s">
        <v>994</v>
      </c>
      <c r="AS10" s="12">
        <v>45787</v>
      </c>
      <c r="AT10" s="148">
        <v>46152</v>
      </c>
      <c r="AU10" s="140">
        <v>220</v>
      </c>
      <c r="AV10" s="149" t="s">
        <v>1163</v>
      </c>
      <c r="AW10" s="12">
        <v>46001</v>
      </c>
      <c r="AX10" s="140">
        <v>69</v>
      </c>
      <c r="AY10" s="149" t="s">
        <v>1163</v>
      </c>
      <c r="AZ10" s="11"/>
      <c r="BA10" s="11" t="s">
        <v>575</v>
      </c>
      <c r="BE10">
        <v>2025</v>
      </c>
      <c r="BF10">
        <f>BE10+BF5</f>
        <v>2029</v>
      </c>
    </row>
    <row r="11" spans="1:60" x14ac:dyDescent="0.3">
      <c r="C11" s="7">
        <v>7</v>
      </c>
      <c r="D11" s="24" t="s">
        <v>128</v>
      </c>
      <c r="E11" s="8" t="s">
        <v>117</v>
      </c>
      <c r="F11" s="13" t="s">
        <v>966</v>
      </c>
      <c r="G11" s="128">
        <f>IFERROR(VLOOKUP(Pólizas48[[#This Row],[PLACA]],ITV_LA[#All],8,0),"")</f>
        <v>45468</v>
      </c>
      <c r="H11" s="128">
        <f>IFERROR(VLOOKUP(Pólizas48[[#This Row],[PLACA]],ITV_LA[#All],9,0),"")</f>
        <v>46202</v>
      </c>
      <c r="I11" s="8">
        <f ca="1">IFERROR(Pólizas48[[#This Row],[Fecha de vencimiento '[RTV']]]-$I$3,"")</f>
        <v>234</v>
      </c>
      <c r="J11" s="27" t="str">
        <f ca="1">IF(Pólizas48[[#This Row],[Fecha de vencimiento '[RTV']]]="","",IF(Pólizas48[[#This Row],[Fecha de vencimiento '[RTV']]]&lt;TODAY(),"Vencido","Vigente"))</f>
        <v>Vigente</v>
      </c>
      <c r="K11" s="27">
        <f>IFERROR(MONTH(Pólizas48[[#This Row],[Fecha de Emision '[RTV']]]),"")</f>
        <v>6</v>
      </c>
      <c r="L11" s="27">
        <f>IFERROR(YEAR(Pólizas48[[#This Row],[Fecha de Emision '[RTV']]]),"")</f>
        <v>2024</v>
      </c>
      <c r="M11" s="27" t="s">
        <v>37</v>
      </c>
      <c r="N11" s="27" t="s">
        <v>40</v>
      </c>
      <c r="O11" s="27" t="s">
        <v>967</v>
      </c>
      <c r="P1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11" s="27">
        <f>VLOOKUP(Pólizas48[[#This Row],[Categoría]],$BD$4:$BG$8,4,0)</f>
        <v>100</v>
      </c>
      <c r="R11" s="27">
        <f>IF(Pólizas48[[#This Row],[Inspección]]=2024,2025,Pólizas48[[#This Row],[Inspección]])</f>
        <v>2025</v>
      </c>
      <c r="T11" s="129" t="s">
        <v>52</v>
      </c>
      <c r="U11" s="130">
        <f>SUMIFS(Pólizas48[Precio S/.(CITV)],Pólizas48[Familia],$T11,Pólizas48[Prox Insp],2025,Pólizas48[Mes Inicia Pago],U$3)</f>
        <v>0</v>
      </c>
      <c r="V11" s="130">
        <f>SUMIFS(Pólizas48[Precio S/.(CITV)],Pólizas48[Familia],$T11,Pólizas48[Prox Insp],2025,Pólizas48[Mes Inicia Pago],V$3)</f>
        <v>0</v>
      </c>
      <c r="W11" s="130">
        <f>SUMIFS(Pólizas48[Precio S/.(CITV)],Pólizas48[Familia],$T11,Pólizas48[Prox Insp],2025,Pólizas48[Mes Inicia Pago],W$3)</f>
        <v>0</v>
      </c>
      <c r="X11" s="130">
        <f>SUMIFS(Pólizas48[Precio S/.(CITV)],Pólizas48[Familia],$T11,Pólizas48[Prox Insp],2025,Pólizas48[Mes Inicia Pago],X$3)</f>
        <v>0</v>
      </c>
      <c r="Y11" s="130">
        <f>SUMIFS(Pólizas48[Precio S/.(CITV)],Pólizas48[Familia],$T11,Pólizas48[Prox Insp],2025,Pólizas48[Mes Inicia Pago],Y$3)</f>
        <v>0</v>
      </c>
      <c r="Z11" s="130">
        <f>SUMIFS(Pólizas48[Precio S/.(CITV)],Pólizas48[Familia],$T11,Pólizas48[Prox Insp],2025,Pólizas48[Mes Inicia Pago],Z$3)</f>
        <v>0</v>
      </c>
      <c r="AA11" s="130">
        <f>SUMIFS(Pólizas48[Precio S/.(CITV)],Pólizas48[Familia],$T11,Pólizas48[Prox Insp],2025,Pólizas48[Mes Inicia Pago],AA$3)</f>
        <v>0</v>
      </c>
      <c r="AB11" s="130">
        <f>SUMIFS(Pólizas48[Precio S/.(CITV)],Pólizas48[Familia],$T11,Pólizas48[Prox Insp],2025,Pólizas48[Mes Inicia Pago],AB$3)</f>
        <v>0</v>
      </c>
      <c r="AC11" s="130">
        <f>SUMIFS(Pólizas48[Precio S/.(CITV)],Pólizas48[Familia],$T11,Pólizas48[Prox Insp],2025,Pólizas48[Mes Inicia Pago],AC$3)</f>
        <v>0</v>
      </c>
      <c r="AD11" s="130">
        <f>SUMIFS(Pólizas48[Precio S/.(CITV)],Pólizas48[Familia],$T11,Pólizas48[Prox Insp],2025,Pólizas48[Mes Inicia Pago],AD$3)</f>
        <v>0</v>
      </c>
      <c r="AE11" s="130">
        <f>SUMIFS(Pólizas48[Precio S/.(CITV)],Pólizas48[Familia],$T11,Pólizas48[Prox Insp],2025,Pólizas48[Mes Inicia Pago],AE$3)</f>
        <v>0</v>
      </c>
      <c r="AF11" s="130">
        <f>SUMIFS(Pólizas48[Precio S/.(CITV)],Pólizas48[Familia],$T11,Pólizas48[Prox Insp],2025,Pólizas48[Mes Inicia Pago],AF$3)</f>
        <v>0</v>
      </c>
      <c r="AG11" s="40">
        <f t="shared" si="0"/>
        <v>0</v>
      </c>
      <c r="AL11" s="147" t="s">
        <v>1001</v>
      </c>
      <c r="AM11" s="139" t="s">
        <v>978</v>
      </c>
      <c r="AN11" s="139" t="s">
        <v>979</v>
      </c>
      <c r="AO11" s="139" t="s">
        <v>985</v>
      </c>
      <c r="AP11" s="139" t="s">
        <v>1002</v>
      </c>
      <c r="AQ11" s="139" t="s">
        <v>1003</v>
      </c>
      <c r="AR11" s="139" t="s">
        <v>1004</v>
      </c>
      <c r="AS11" s="12">
        <v>45444</v>
      </c>
      <c r="AT11" s="148">
        <v>45809</v>
      </c>
      <c r="AU11" s="140">
        <v>-123</v>
      </c>
      <c r="AV11" s="149" t="s">
        <v>1164</v>
      </c>
      <c r="AW11" s="12">
        <v>46001</v>
      </c>
      <c r="AX11" s="140">
        <v>69</v>
      </c>
      <c r="AY11" s="149" t="s">
        <v>1163</v>
      </c>
      <c r="AZ11" s="11"/>
      <c r="BA11" s="11" t="s">
        <v>575</v>
      </c>
    </row>
    <row r="12" spans="1:60" x14ac:dyDescent="0.3">
      <c r="C12" s="7">
        <v>8</v>
      </c>
      <c r="D12" s="24" t="s">
        <v>127</v>
      </c>
      <c r="E12" s="8" t="s">
        <v>117</v>
      </c>
      <c r="F12" s="13" t="s">
        <v>966</v>
      </c>
      <c r="G12" s="128">
        <f>IFERROR(VLOOKUP(Pólizas48[[#This Row],[PLACA]],ITV_LA[#All],8,0),"")</f>
        <v>45469</v>
      </c>
      <c r="H12" s="128">
        <f>IFERROR(VLOOKUP(Pólizas48[[#This Row],[PLACA]],ITV_LA[#All],9,0),"")</f>
        <v>46201</v>
      </c>
      <c r="I12" s="8">
        <f ca="1">IFERROR(Pólizas48[[#This Row],[Fecha de vencimiento '[RTV']]]-$I$3,"")</f>
        <v>233</v>
      </c>
      <c r="J12" s="27" t="str">
        <f ca="1">IF(Pólizas48[[#This Row],[Fecha de vencimiento '[RTV']]]="","",IF(Pólizas48[[#This Row],[Fecha de vencimiento '[RTV']]]&lt;TODAY(),"Vencido","Vigente"))</f>
        <v>Vigente</v>
      </c>
      <c r="K12" s="27">
        <f>IFERROR(MONTH(Pólizas48[[#This Row],[Fecha de Emision '[RTV']]]),"")</f>
        <v>6</v>
      </c>
      <c r="L12" s="27">
        <f>IFERROR(YEAR(Pólizas48[[#This Row],[Fecha de Emision '[RTV']]]),"")</f>
        <v>2024</v>
      </c>
      <c r="M12" s="27" t="s">
        <v>37</v>
      </c>
      <c r="N12" s="27" t="s">
        <v>40</v>
      </c>
      <c r="O12" s="27" t="s">
        <v>967</v>
      </c>
      <c r="P1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12" s="27">
        <f>VLOOKUP(Pólizas48[[#This Row],[Categoría]],$BD$4:$BG$8,4,0)</f>
        <v>100</v>
      </c>
      <c r="R12" s="27">
        <f>IF(Pólizas48[[#This Row],[Inspección]]=2024,2025,Pólizas48[[#This Row],[Inspección]])</f>
        <v>2025</v>
      </c>
      <c r="T12" s="129" t="s">
        <v>54</v>
      </c>
      <c r="U12" s="130">
        <f>SUMIFS(Pólizas48[Precio S/.(CITV)],Pólizas48[Familia],$T12,Pólizas48[Prox Insp],2025,Pólizas48[Mes Inicia Pago],U$3)</f>
        <v>0</v>
      </c>
      <c r="V12" s="130">
        <f>SUMIFS(Pólizas48[Precio S/.(CITV)],Pólizas48[Familia],$T12,Pólizas48[Prox Insp],2025,Pólizas48[Mes Inicia Pago],V$3)</f>
        <v>0</v>
      </c>
      <c r="W12" s="130">
        <f>SUMIFS(Pólizas48[Precio S/.(CITV)],Pólizas48[Familia],$T12,Pólizas48[Prox Insp],2025,Pólizas48[Mes Inicia Pago],W$3)</f>
        <v>0</v>
      </c>
      <c r="X12" s="130">
        <f>SUMIFS(Pólizas48[Precio S/.(CITV)],Pólizas48[Familia],$T12,Pólizas48[Prox Insp],2025,Pólizas48[Mes Inicia Pago],X$3)</f>
        <v>0</v>
      </c>
      <c r="Y12" s="130">
        <f>SUMIFS(Pólizas48[Precio S/.(CITV)],Pólizas48[Familia],$T12,Pólizas48[Prox Insp],2025,Pólizas48[Mes Inicia Pago],Y$3)</f>
        <v>0</v>
      </c>
      <c r="Z12" s="130">
        <f>SUMIFS(Pólizas48[Precio S/.(CITV)],Pólizas48[Familia],$T12,Pólizas48[Prox Insp],2025,Pólizas48[Mes Inicia Pago],Z$3)</f>
        <v>0</v>
      </c>
      <c r="AA12" s="130">
        <f>SUMIFS(Pólizas48[Precio S/.(CITV)],Pólizas48[Familia],$T12,Pólizas48[Prox Insp],2025,Pólizas48[Mes Inicia Pago],AA$3)</f>
        <v>0</v>
      </c>
      <c r="AB12" s="130">
        <f>SUMIFS(Pólizas48[Precio S/.(CITV)],Pólizas48[Familia],$T12,Pólizas48[Prox Insp],2025,Pólizas48[Mes Inicia Pago],AB$3)</f>
        <v>0</v>
      </c>
      <c r="AC12" s="130">
        <f>SUMIFS(Pólizas48[Precio S/.(CITV)],Pólizas48[Familia],$T12,Pólizas48[Prox Insp],2025,Pólizas48[Mes Inicia Pago],AC$3)</f>
        <v>0</v>
      </c>
      <c r="AD12" s="130">
        <f>SUMIFS(Pólizas48[Precio S/.(CITV)],Pólizas48[Familia],$T12,Pólizas48[Prox Insp],2025,Pólizas48[Mes Inicia Pago],AD$3)</f>
        <v>0</v>
      </c>
      <c r="AE12" s="130">
        <f>SUMIFS(Pólizas48[Precio S/.(CITV)],Pólizas48[Familia],$T12,Pólizas48[Prox Insp],2025,Pólizas48[Mes Inicia Pago],AE$3)</f>
        <v>0</v>
      </c>
      <c r="AF12" s="130">
        <f>SUMIFS(Pólizas48[Precio S/.(CITV)],Pólizas48[Familia],$T12,Pólizas48[Prox Insp],2025,Pólizas48[Mes Inicia Pago],AF$3)</f>
        <v>0</v>
      </c>
      <c r="AG12" s="40">
        <f t="shared" si="0"/>
        <v>0</v>
      </c>
      <c r="AL12" s="147" t="s">
        <v>1005</v>
      </c>
      <c r="AM12" s="139" t="s">
        <v>1006</v>
      </c>
      <c r="AN12" s="139" t="s">
        <v>979</v>
      </c>
      <c r="AO12" s="139" t="s">
        <v>985</v>
      </c>
      <c r="AP12" s="139" t="s">
        <v>1002</v>
      </c>
      <c r="AQ12" s="139" t="s">
        <v>1007</v>
      </c>
      <c r="AR12" s="139" t="s">
        <v>1004</v>
      </c>
      <c r="AS12" s="12">
        <v>45458</v>
      </c>
      <c r="AT12" s="148">
        <v>45823</v>
      </c>
      <c r="AU12" s="140">
        <v>-109</v>
      </c>
      <c r="AV12" s="149" t="s">
        <v>1164</v>
      </c>
      <c r="AW12" s="148">
        <v>45840</v>
      </c>
      <c r="AX12" s="140">
        <v>-92</v>
      </c>
      <c r="AY12" s="149" t="s">
        <v>1164</v>
      </c>
      <c r="AZ12" s="11"/>
      <c r="BA12" s="11" t="s">
        <v>575</v>
      </c>
    </row>
    <row r="13" spans="1:60" x14ac:dyDescent="0.3">
      <c r="C13" s="7">
        <v>9</v>
      </c>
      <c r="D13" s="24" t="s">
        <v>125</v>
      </c>
      <c r="E13" s="8" t="s">
        <v>117</v>
      </c>
      <c r="F13" s="13" t="s">
        <v>966</v>
      </c>
      <c r="G13" s="128">
        <f>IFERROR(VLOOKUP(Pólizas48[[#This Row],[PLACA]],ITV_LA[#All],8,0),"")</f>
        <v>45469</v>
      </c>
      <c r="H13" s="128">
        <f>IFERROR(VLOOKUP(Pólizas48[[#This Row],[PLACA]],ITV_LA[#All],9,0),"")</f>
        <v>46201</v>
      </c>
      <c r="I13" s="8">
        <f ca="1">IFERROR(Pólizas48[[#This Row],[Fecha de vencimiento '[RTV']]]-$I$3,"")</f>
        <v>233</v>
      </c>
      <c r="J13" s="27" t="str">
        <f ca="1">IF(Pólizas48[[#This Row],[Fecha de vencimiento '[RTV']]]="","",IF(Pólizas48[[#This Row],[Fecha de vencimiento '[RTV']]]&lt;TODAY(),"Vencido","Vigente"))</f>
        <v>Vigente</v>
      </c>
      <c r="K13" s="27">
        <f>IFERROR(MONTH(Pólizas48[[#This Row],[Fecha de Emision '[RTV']]]),"")</f>
        <v>6</v>
      </c>
      <c r="L13" s="27">
        <f>IFERROR(YEAR(Pólizas48[[#This Row],[Fecha de Emision '[RTV']]]),"")</f>
        <v>2024</v>
      </c>
      <c r="M13" s="27" t="s">
        <v>37</v>
      </c>
      <c r="N13" s="27" t="s">
        <v>40</v>
      </c>
      <c r="O13" s="27" t="s">
        <v>967</v>
      </c>
      <c r="P1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13" s="27">
        <f>VLOOKUP(Pólizas48[[#This Row],[Categoría]],$BD$4:$BG$8,4,0)</f>
        <v>100</v>
      </c>
      <c r="R13" s="27">
        <f>IF(Pólizas48[[#This Row],[Inspección]]=2024,2025,Pólizas48[[#This Row],[Inspección]])</f>
        <v>2025</v>
      </c>
      <c r="T13" s="129" t="s">
        <v>56</v>
      </c>
      <c r="U13" s="130">
        <f>SUMIFS(Pólizas48[Precio S/.(CITV)],Pólizas48[Familia],$T13,Pólizas48[Prox Insp],2025,Pólizas48[Mes Inicia Pago],U$3)</f>
        <v>0</v>
      </c>
      <c r="V13" s="130">
        <f>SUMIFS(Pólizas48[Precio S/.(CITV)],Pólizas48[Familia],$T13,Pólizas48[Prox Insp],2025,Pólizas48[Mes Inicia Pago],V$3)</f>
        <v>0</v>
      </c>
      <c r="W13" s="130">
        <f>SUMIFS(Pólizas48[Precio S/.(CITV)],Pólizas48[Familia],$T13,Pólizas48[Prox Insp],2025,Pólizas48[Mes Inicia Pago],W$3)</f>
        <v>0</v>
      </c>
      <c r="X13" s="130">
        <f>SUMIFS(Pólizas48[Precio S/.(CITV)],Pólizas48[Familia],$T13,Pólizas48[Prox Insp],2025,Pólizas48[Mes Inicia Pago],X$3)</f>
        <v>0</v>
      </c>
      <c r="Y13" s="130">
        <f>SUMIFS(Pólizas48[Precio S/.(CITV)],Pólizas48[Familia],$T13,Pólizas48[Prox Insp],2025,Pólizas48[Mes Inicia Pago],Y$3)</f>
        <v>0</v>
      </c>
      <c r="Z13" s="130">
        <f>SUMIFS(Pólizas48[Precio S/.(CITV)],Pólizas48[Familia],$T13,Pólizas48[Prox Insp],2025,Pólizas48[Mes Inicia Pago],Z$3)</f>
        <v>0</v>
      </c>
      <c r="AA13" s="130">
        <f>SUMIFS(Pólizas48[Precio S/.(CITV)],Pólizas48[Familia],$T13,Pólizas48[Prox Insp],2025,Pólizas48[Mes Inicia Pago],AA$3)</f>
        <v>0</v>
      </c>
      <c r="AB13" s="130">
        <f>SUMIFS(Pólizas48[Precio S/.(CITV)],Pólizas48[Familia],$T13,Pólizas48[Prox Insp],2025,Pólizas48[Mes Inicia Pago],AB$3)</f>
        <v>0</v>
      </c>
      <c r="AC13" s="130">
        <f>SUMIFS(Pólizas48[Precio S/.(CITV)],Pólizas48[Familia],$T13,Pólizas48[Prox Insp],2025,Pólizas48[Mes Inicia Pago],AC$3)</f>
        <v>0</v>
      </c>
      <c r="AD13" s="130">
        <f>SUMIFS(Pólizas48[Precio S/.(CITV)],Pólizas48[Familia],$T13,Pólizas48[Prox Insp],2025,Pólizas48[Mes Inicia Pago],AD$3)</f>
        <v>0</v>
      </c>
      <c r="AE13" s="130">
        <f>SUMIFS(Pólizas48[Precio S/.(CITV)],Pólizas48[Familia],$T13,Pólizas48[Prox Insp],2025,Pólizas48[Mes Inicia Pago],AE$3)</f>
        <v>0</v>
      </c>
      <c r="AF13" s="130">
        <f>SUMIFS(Pólizas48[Precio S/.(CITV)],Pólizas48[Familia],$T13,Pólizas48[Prox Insp],2025,Pólizas48[Mes Inicia Pago],AF$3)</f>
        <v>0</v>
      </c>
      <c r="AG13" s="40">
        <f t="shared" si="0"/>
        <v>0</v>
      </c>
      <c r="AL13" s="147" t="s">
        <v>1008</v>
      </c>
      <c r="AM13" s="139" t="s">
        <v>978</v>
      </c>
      <c r="AN13" s="139" t="s">
        <v>979</v>
      </c>
      <c r="AO13" s="139" t="s">
        <v>971</v>
      </c>
      <c r="AP13" s="139" t="s">
        <v>972</v>
      </c>
      <c r="AQ13" s="139" t="s">
        <v>980</v>
      </c>
      <c r="AR13" s="139" t="s">
        <v>981</v>
      </c>
      <c r="AS13" s="12">
        <v>45444</v>
      </c>
      <c r="AT13" s="148">
        <v>45809</v>
      </c>
      <c r="AU13" s="140">
        <v>-123</v>
      </c>
      <c r="AV13" s="149" t="s">
        <v>1164</v>
      </c>
      <c r="AW13" s="12">
        <v>46001</v>
      </c>
      <c r="AX13" s="140">
        <v>69</v>
      </c>
      <c r="AY13" s="149" t="s">
        <v>1163</v>
      </c>
      <c r="AZ13" s="11"/>
      <c r="BA13" s="11" t="s">
        <v>575</v>
      </c>
    </row>
    <row r="14" spans="1:60" x14ac:dyDescent="0.3">
      <c r="C14" s="7">
        <v>10</v>
      </c>
      <c r="D14" s="24" t="s">
        <v>129</v>
      </c>
      <c r="E14" s="8" t="s">
        <v>117</v>
      </c>
      <c r="F14" s="13" t="s">
        <v>966</v>
      </c>
      <c r="G14" s="128">
        <f>IFERROR(VLOOKUP(Pólizas48[[#This Row],[PLACA]],ITV_LA[#All],8,0),"")</f>
        <v>45468</v>
      </c>
      <c r="H14" s="128">
        <f>IFERROR(VLOOKUP(Pólizas48[[#This Row],[PLACA]],ITV_LA[#All],9,0),"")</f>
        <v>46201</v>
      </c>
      <c r="I14" s="8">
        <f ca="1">IFERROR(Pólizas48[[#This Row],[Fecha de vencimiento '[RTV']]]-$I$3,"")</f>
        <v>233</v>
      </c>
      <c r="J14" s="27" t="str">
        <f ca="1">IF(Pólizas48[[#This Row],[Fecha de vencimiento '[RTV']]]="","",IF(Pólizas48[[#This Row],[Fecha de vencimiento '[RTV']]]&lt;TODAY(),"Vencido","Vigente"))</f>
        <v>Vigente</v>
      </c>
      <c r="K14" s="27">
        <f>IFERROR(MONTH(Pólizas48[[#This Row],[Fecha de Emision '[RTV']]]),"")</f>
        <v>6</v>
      </c>
      <c r="L14" s="27">
        <f>IFERROR(YEAR(Pólizas48[[#This Row],[Fecha de Emision '[RTV']]]),"")</f>
        <v>2024</v>
      </c>
      <c r="M14" s="27" t="s">
        <v>37</v>
      </c>
      <c r="N14" s="27" t="s">
        <v>40</v>
      </c>
      <c r="O14" s="27" t="s">
        <v>967</v>
      </c>
      <c r="P1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14" s="27">
        <f>VLOOKUP(Pólizas48[[#This Row],[Categoría]],$BD$4:$BG$8,4,0)</f>
        <v>100</v>
      </c>
      <c r="R14" s="27">
        <f>IF(Pólizas48[[#This Row],[Inspección]]=2024,2025,Pólizas48[[#This Row],[Inspección]])</f>
        <v>2025</v>
      </c>
      <c r="T14" s="129" t="s">
        <v>58</v>
      </c>
      <c r="U14" s="130">
        <f>SUMIFS(Pólizas48[Precio S/.(CITV)],Pólizas48[Familia],$T14,Pólizas48[Prox Insp],2025,Pólizas48[Mes Inicia Pago],U$3)</f>
        <v>0</v>
      </c>
      <c r="V14" s="130">
        <f>SUMIFS(Pólizas48[Precio S/.(CITV)],Pólizas48[Familia],$T14,Pólizas48[Prox Insp],2025,Pólizas48[Mes Inicia Pago],V$3)</f>
        <v>0</v>
      </c>
      <c r="W14" s="130">
        <f>SUMIFS(Pólizas48[Precio S/.(CITV)],Pólizas48[Familia],$T14,Pólizas48[Prox Insp],2025,Pólizas48[Mes Inicia Pago],W$3)</f>
        <v>0</v>
      </c>
      <c r="X14" s="130">
        <f>SUMIFS(Pólizas48[Precio S/.(CITV)],Pólizas48[Familia],$T14,Pólizas48[Prox Insp],2025,Pólizas48[Mes Inicia Pago],X$3)</f>
        <v>0</v>
      </c>
      <c r="Y14" s="130">
        <f>SUMIFS(Pólizas48[Precio S/.(CITV)],Pólizas48[Familia],$T14,Pólizas48[Prox Insp],2025,Pólizas48[Mes Inicia Pago],Y$3)</f>
        <v>0</v>
      </c>
      <c r="Z14" s="130">
        <f>SUMIFS(Pólizas48[Precio S/.(CITV)],Pólizas48[Familia],$T14,Pólizas48[Prox Insp],2025,Pólizas48[Mes Inicia Pago],Z$3)</f>
        <v>0</v>
      </c>
      <c r="AA14" s="130">
        <f>SUMIFS(Pólizas48[Precio S/.(CITV)],Pólizas48[Familia],$T14,Pólizas48[Prox Insp],2025,Pólizas48[Mes Inicia Pago],AA$3)</f>
        <v>0</v>
      </c>
      <c r="AB14" s="130">
        <f>SUMIFS(Pólizas48[Precio S/.(CITV)],Pólizas48[Familia],$T14,Pólizas48[Prox Insp],2025,Pólizas48[Mes Inicia Pago],AB$3)</f>
        <v>0</v>
      </c>
      <c r="AC14" s="130">
        <f>SUMIFS(Pólizas48[Precio S/.(CITV)],Pólizas48[Familia],$T14,Pólizas48[Prox Insp],2025,Pólizas48[Mes Inicia Pago],AC$3)</f>
        <v>0</v>
      </c>
      <c r="AD14" s="130">
        <f>SUMIFS(Pólizas48[Precio S/.(CITV)],Pólizas48[Familia],$T14,Pólizas48[Prox Insp],2025,Pólizas48[Mes Inicia Pago],AD$3)</f>
        <v>0</v>
      </c>
      <c r="AE14" s="130">
        <f>SUMIFS(Pólizas48[Precio S/.(CITV)],Pólizas48[Familia],$T14,Pólizas48[Prox Insp],2025,Pólizas48[Mes Inicia Pago],AE$3)</f>
        <v>0</v>
      </c>
      <c r="AF14" s="130">
        <f>SUMIFS(Pólizas48[Precio S/.(CITV)],Pólizas48[Familia],$T14,Pólizas48[Prox Insp],2025,Pólizas48[Mes Inicia Pago],AF$3)</f>
        <v>0</v>
      </c>
      <c r="AG14" s="40">
        <f t="shared" si="0"/>
        <v>0</v>
      </c>
      <c r="AL14" s="147" t="s">
        <v>1009</v>
      </c>
      <c r="AM14" s="139" t="s">
        <v>978</v>
      </c>
      <c r="AN14" s="139" t="s">
        <v>979</v>
      </c>
      <c r="AO14" s="139" t="s">
        <v>996</v>
      </c>
      <c r="AP14" s="139" t="s">
        <v>997</v>
      </c>
      <c r="AQ14" s="139" t="s">
        <v>998</v>
      </c>
      <c r="AR14" s="139" t="s">
        <v>994</v>
      </c>
      <c r="AS14" s="12">
        <v>45430</v>
      </c>
      <c r="AT14" s="148">
        <v>45795</v>
      </c>
      <c r="AU14" s="140">
        <v>-137</v>
      </c>
      <c r="AV14" s="149" t="s">
        <v>1164</v>
      </c>
      <c r="AW14" s="12">
        <v>45852</v>
      </c>
      <c r="AX14" s="140">
        <v>-80</v>
      </c>
      <c r="AY14" s="149" t="s">
        <v>1164</v>
      </c>
      <c r="AZ14" s="11"/>
      <c r="BA14" s="11" t="s">
        <v>575</v>
      </c>
    </row>
    <row r="15" spans="1:60" x14ac:dyDescent="0.3">
      <c r="C15" s="7">
        <v>11</v>
      </c>
      <c r="D15" s="24" t="s">
        <v>130</v>
      </c>
      <c r="E15" s="8" t="s">
        <v>117</v>
      </c>
      <c r="F15" s="13" t="s">
        <v>966</v>
      </c>
      <c r="G15" s="128">
        <f>IFERROR(VLOOKUP(Pólizas48[[#This Row],[PLACA]],ITV_LA[#All],8,0),"")</f>
        <v>45468</v>
      </c>
      <c r="H15" s="128">
        <f>IFERROR(VLOOKUP(Pólizas48[[#This Row],[PLACA]],ITV_LA[#All],9,0),"")</f>
        <v>46202</v>
      </c>
      <c r="I15" s="8">
        <f ca="1">IFERROR(Pólizas48[[#This Row],[Fecha de vencimiento '[RTV']]]-$I$3,"")</f>
        <v>234</v>
      </c>
      <c r="J15" s="27" t="str">
        <f ca="1">IF(Pólizas48[[#This Row],[Fecha de vencimiento '[RTV']]]="","",IF(Pólizas48[[#This Row],[Fecha de vencimiento '[RTV']]]&lt;TODAY(),"Vencido","Vigente"))</f>
        <v>Vigente</v>
      </c>
      <c r="K15" s="27">
        <f>IFERROR(MONTH(Pólizas48[[#This Row],[Fecha de Emision '[RTV']]]),"")</f>
        <v>6</v>
      </c>
      <c r="L15" s="27">
        <f>IFERROR(YEAR(Pólizas48[[#This Row],[Fecha de Emision '[RTV']]]),"")</f>
        <v>2024</v>
      </c>
      <c r="M15" s="27" t="s">
        <v>37</v>
      </c>
      <c r="N15" s="27" t="s">
        <v>40</v>
      </c>
      <c r="O15" s="27" t="s">
        <v>967</v>
      </c>
      <c r="P1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15" s="27">
        <f>VLOOKUP(Pólizas48[[#This Row],[Categoría]],$BD$4:$BG$8,4,0)</f>
        <v>100</v>
      </c>
      <c r="R15" s="27">
        <f>IF(Pólizas48[[#This Row],[Inspección]]=2024,2025,Pólizas48[[#This Row],[Inspección]])</f>
        <v>2025</v>
      </c>
      <c r="T15" s="131" t="s">
        <v>23</v>
      </c>
      <c r="U15" s="40">
        <f>SUM(U5:U14)</f>
        <v>0</v>
      </c>
      <c r="V15" s="40">
        <f t="shared" ref="V15:AF15" si="1">SUM(V5:V14)</f>
        <v>0</v>
      </c>
      <c r="W15" s="40">
        <f t="shared" si="1"/>
        <v>0</v>
      </c>
      <c r="X15" s="40">
        <f t="shared" si="1"/>
        <v>143</v>
      </c>
      <c r="Y15" s="40">
        <f t="shared" si="1"/>
        <v>0</v>
      </c>
      <c r="Z15" s="40">
        <f t="shared" si="1"/>
        <v>1200</v>
      </c>
      <c r="AA15" s="40">
        <f t="shared" si="1"/>
        <v>0</v>
      </c>
      <c r="AB15" s="40">
        <f t="shared" si="1"/>
        <v>0</v>
      </c>
      <c r="AC15" s="40">
        <f t="shared" si="1"/>
        <v>0</v>
      </c>
      <c r="AD15" s="40">
        <f t="shared" si="1"/>
        <v>0</v>
      </c>
      <c r="AE15" s="40">
        <f t="shared" si="1"/>
        <v>0</v>
      </c>
      <c r="AF15" s="40">
        <f t="shared" si="1"/>
        <v>0</v>
      </c>
      <c r="AG15" s="132">
        <f t="shared" si="0"/>
        <v>1343</v>
      </c>
      <c r="AL15" s="147" t="s">
        <v>118</v>
      </c>
      <c r="AM15" s="139" t="s">
        <v>1010</v>
      </c>
      <c r="AN15" s="139" t="s">
        <v>966</v>
      </c>
      <c r="AO15" s="139" t="s">
        <v>971</v>
      </c>
      <c r="AP15" s="139" t="s">
        <v>972</v>
      </c>
      <c r="AQ15" s="139" t="s">
        <v>973</v>
      </c>
      <c r="AR15" s="139" t="s">
        <v>974</v>
      </c>
      <c r="AS15" s="12">
        <v>45469</v>
      </c>
      <c r="AT15" s="148">
        <v>46201</v>
      </c>
      <c r="AU15" s="140">
        <v>269</v>
      </c>
      <c r="AV15" s="149" t="s">
        <v>1163</v>
      </c>
      <c r="AW15" s="12">
        <v>45827</v>
      </c>
      <c r="AX15" s="140">
        <v>-105</v>
      </c>
      <c r="AY15" s="149" t="s">
        <v>1164</v>
      </c>
      <c r="AZ15" s="11"/>
      <c r="BA15" s="11" t="s">
        <v>40</v>
      </c>
    </row>
    <row r="16" spans="1:60" x14ac:dyDescent="0.3">
      <c r="C16" s="7">
        <v>12</v>
      </c>
      <c r="D16" s="24" t="s">
        <v>64</v>
      </c>
      <c r="E16" s="8" t="s">
        <v>61</v>
      </c>
      <c r="F16" s="13" t="s">
        <v>966</v>
      </c>
      <c r="G16" s="128">
        <f>IFERROR(VLOOKUP(Pólizas48[[#This Row],[PLACA]],ITV_LA[#All],8,0),"")</f>
        <v>45363</v>
      </c>
      <c r="H16" s="128">
        <f>IFERROR(VLOOKUP(Pólizas48[[#This Row],[PLACA]],ITV_LA[#All],9,0),"")</f>
        <v>46458</v>
      </c>
      <c r="I16" s="8">
        <f ca="1">IFERROR(Pólizas48[[#This Row],[Fecha de vencimiento '[RTV']]]-$I$3,"")</f>
        <v>490</v>
      </c>
      <c r="J16" s="27" t="str">
        <f ca="1">IF(Pólizas48[[#This Row],[Fecha de vencimiento '[RTV']]]="","",IF(Pólizas48[[#This Row],[Fecha de vencimiento '[RTV']]]&lt;TODAY(),"Vencido","Vigente"))</f>
        <v>Vigente</v>
      </c>
      <c r="K16" s="27">
        <f>IFERROR(MONTH(Pólizas48[[#This Row],[Fecha de Emision '[RTV']]]),"")</f>
        <v>3</v>
      </c>
      <c r="L16" s="27">
        <f>IFERROR(YEAR(Pólizas48[[#This Row],[Fecha de Emision '[RTV']]]),"")</f>
        <v>2024</v>
      </c>
      <c r="M16" s="27" t="s">
        <v>37</v>
      </c>
      <c r="N16" s="27" t="s">
        <v>58</v>
      </c>
      <c r="O16" s="27" t="s">
        <v>989</v>
      </c>
      <c r="P1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16" s="27">
        <f>VLOOKUP(Pólizas48[[#This Row],[Categoría]],$BD$4:$BG$8,4,0)</f>
        <v>90</v>
      </c>
      <c r="R16" s="27">
        <f>IF(Pólizas48[[#This Row],[Inspección]]=2024,2025,Pólizas48[[#This Row],[Inspección]])</f>
        <v>2027</v>
      </c>
      <c r="AL16" s="147" t="s">
        <v>120</v>
      </c>
      <c r="AM16" s="139" t="s">
        <v>1010</v>
      </c>
      <c r="AN16" s="139" t="s">
        <v>966</v>
      </c>
      <c r="AO16" s="139" t="s">
        <v>971</v>
      </c>
      <c r="AP16" s="139" t="s">
        <v>972</v>
      </c>
      <c r="AQ16" s="139" t="s">
        <v>973</v>
      </c>
      <c r="AR16" s="139" t="s">
        <v>974</v>
      </c>
      <c r="AS16" s="12">
        <v>45468</v>
      </c>
      <c r="AT16" s="148">
        <v>46201</v>
      </c>
      <c r="AU16" s="140">
        <v>269</v>
      </c>
      <c r="AV16" s="149" t="s">
        <v>1163</v>
      </c>
      <c r="AW16" s="12">
        <v>45827</v>
      </c>
      <c r="AX16" s="140">
        <v>-105</v>
      </c>
      <c r="AY16" s="149" t="s">
        <v>1164</v>
      </c>
      <c r="AZ16" s="11"/>
      <c r="BA16" s="11" t="s">
        <v>40</v>
      </c>
    </row>
    <row r="17" spans="3:53" x14ac:dyDescent="0.3">
      <c r="C17" s="7">
        <v>13</v>
      </c>
      <c r="D17" s="24" t="s">
        <v>63</v>
      </c>
      <c r="E17" s="8" t="s">
        <v>61</v>
      </c>
      <c r="F17" s="13" t="s">
        <v>966</v>
      </c>
      <c r="G17" s="128">
        <f>IFERROR(VLOOKUP(Pólizas48[[#This Row],[PLACA]],ITV_LA[#All],8,0),"")</f>
        <v>45363</v>
      </c>
      <c r="H17" s="128">
        <f>IFERROR(VLOOKUP(Pólizas48[[#This Row],[PLACA]],ITV_LA[#All],9,0),"")</f>
        <v>46458</v>
      </c>
      <c r="I17" s="8">
        <f ca="1">IFERROR(Pólizas48[[#This Row],[Fecha de vencimiento '[RTV']]]-$I$3,"")</f>
        <v>490</v>
      </c>
      <c r="J17" s="27" t="str">
        <f ca="1">IF(Pólizas48[[#This Row],[Fecha de vencimiento '[RTV']]]="","",IF(Pólizas48[[#This Row],[Fecha de vencimiento '[RTV']]]&lt;TODAY(),"Vencido","Vigente"))</f>
        <v>Vigente</v>
      </c>
      <c r="K17" s="27">
        <f>IFERROR(MONTH(Pólizas48[[#This Row],[Fecha de Emision '[RTV']]]),"")</f>
        <v>3</v>
      </c>
      <c r="L17" s="27">
        <f>IFERROR(YEAR(Pólizas48[[#This Row],[Fecha de Emision '[RTV']]]),"")</f>
        <v>2024</v>
      </c>
      <c r="M17" s="27" t="s">
        <v>37</v>
      </c>
      <c r="N17" s="27" t="s">
        <v>58</v>
      </c>
      <c r="O17" s="27" t="s">
        <v>989</v>
      </c>
      <c r="P1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17" s="27">
        <f>VLOOKUP(Pólizas48[[#This Row],[Categoría]],$BD$4:$BG$8,4,0)</f>
        <v>90</v>
      </c>
      <c r="R17" s="27">
        <f>IF(Pólizas48[[#This Row],[Inspección]]=2024,2025,Pólizas48[[#This Row],[Inspección]])</f>
        <v>2027</v>
      </c>
      <c r="AL17" s="147" t="s">
        <v>122</v>
      </c>
      <c r="AM17" s="139" t="s">
        <v>1010</v>
      </c>
      <c r="AN17" s="139" t="s">
        <v>966</v>
      </c>
      <c r="AO17" s="139" t="s">
        <v>971</v>
      </c>
      <c r="AP17" s="139" t="s">
        <v>972</v>
      </c>
      <c r="AQ17" s="139" t="s">
        <v>973</v>
      </c>
      <c r="AR17" s="139" t="s">
        <v>974</v>
      </c>
      <c r="AS17" s="12">
        <v>45468</v>
      </c>
      <c r="AT17" s="148">
        <v>46208</v>
      </c>
      <c r="AU17" s="140">
        <v>276</v>
      </c>
      <c r="AV17" s="149" t="s">
        <v>1163</v>
      </c>
      <c r="AW17" s="12">
        <v>45827</v>
      </c>
      <c r="AX17" s="140">
        <v>-105</v>
      </c>
      <c r="AY17" s="149" t="s">
        <v>1164</v>
      </c>
      <c r="AZ17" s="11"/>
      <c r="BA17" s="11" t="s">
        <v>40</v>
      </c>
    </row>
    <row r="18" spans="3:53" x14ac:dyDescent="0.3">
      <c r="C18" s="7">
        <v>14</v>
      </c>
      <c r="D18" s="24" t="s">
        <v>101</v>
      </c>
      <c r="E18" s="8" t="s">
        <v>71</v>
      </c>
      <c r="F18" s="13" t="s">
        <v>966</v>
      </c>
      <c r="G18" s="128">
        <f>IFERROR(VLOOKUP(Pólizas48[[#This Row],[PLACA]],ITV_LA[#All],8,0),"")</f>
        <v>45370</v>
      </c>
      <c r="H18" s="128">
        <f>IFERROR(VLOOKUP(Pólizas48[[#This Row],[PLACA]],ITV_LA[#All],9,0),"")</f>
        <v>46461</v>
      </c>
      <c r="I18" s="8">
        <f ca="1">IFERROR(Pólizas48[[#This Row],[Fecha de vencimiento '[RTV']]]-$I$3,"")</f>
        <v>493</v>
      </c>
      <c r="J18" s="27" t="str">
        <f ca="1">IF(Pólizas48[[#This Row],[Fecha de vencimiento '[RTV']]]="","",IF(Pólizas48[[#This Row],[Fecha de vencimiento '[RTV']]]&lt;TODAY(),"Vencido","Vigente"))</f>
        <v>Vigente</v>
      </c>
      <c r="K18" s="27">
        <f>IFERROR(MONTH(Pólizas48[[#This Row],[Fecha de Emision '[RTV']]]),"")</f>
        <v>3</v>
      </c>
      <c r="L18" s="27">
        <f>IFERROR(YEAR(Pólizas48[[#This Row],[Fecha de Emision '[RTV']]]),"")</f>
        <v>2024</v>
      </c>
      <c r="M18" s="27" t="s">
        <v>37</v>
      </c>
      <c r="N18" s="27" t="s">
        <v>54</v>
      </c>
      <c r="O18" s="27" t="s">
        <v>976</v>
      </c>
      <c r="P1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18" s="27">
        <f>VLOOKUP(Pólizas48[[#This Row],[Categoría]],$BD$4:$BG$8,4,0)</f>
        <v>40</v>
      </c>
      <c r="R18" s="27">
        <f>IF(Pólizas48[[#This Row],[Inspección]]=2024,2025,Pólizas48[[#This Row],[Inspección]])</f>
        <v>2028</v>
      </c>
      <c r="T18">
        <v>2026</v>
      </c>
      <c r="U18">
        <v>1</v>
      </c>
      <c r="V18">
        <v>2</v>
      </c>
      <c r="W18">
        <v>3</v>
      </c>
      <c r="X18">
        <v>4</v>
      </c>
      <c r="Y18">
        <v>5</v>
      </c>
      <c r="Z18">
        <v>6</v>
      </c>
      <c r="AA18">
        <v>7</v>
      </c>
      <c r="AB18">
        <v>8</v>
      </c>
      <c r="AC18">
        <v>9</v>
      </c>
      <c r="AD18">
        <v>10</v>
      </c>
      <c r="AE18">
        <v>11</v>
      </c>
      <c r="AF18">
        <v>12</v>
      </c>
      <c r="AL18" s="147" t="s">
        <v>123</v>
      </c>
      <c r="AM18" s="139" t="s">
        <v>1010</v>
      </c>
      <c r="AN18" s="139" t="s">
        <v>966</v>
      </c>
      <c r="AO18" s="139" t="s">
        <v>971</v>
      </c>
      <c r="AP18" s="139" t="s">
        <v>972</v>
      </c>
      <c r="AQ18" s="139" t="s">
        <v>973</v>
      </c>
      <c r="AR18" s="139" t="s">
        <v>974</v>
      </c>
      <c r="AS18" s="12">
        <v>45468</v>
      </c>
      <c r="AT18" s="148">
        <v>46201</v>
      </c>
      <c r="AU18" s="140">
        <v>269</v>
      </c>
      <c r="AV18" s="149" t="s">
        <v>1163</v>
      </c>
      <c r="AW18" s="12">
        <v>45827</v>
      </c>
      <c r="AX18" s="140">
        <v>-105</v>
      </c>
      <c r="AY18" s="149" t="s">
        <v>1164</v>
      </c>
      <c r="AZ18" s="11"/>
      <c r="BA18" s="11" t="s">
        <v>40</v>
      </c>
    </row>
    <row r="19" spans="3:53" x14ac:dyDescent="0.3">
      <c r="C19" s="7">
        <v>15</v>
      </c>
      <c r="D19" s="24" t="s">
        <v>114</v>
      </c>
      <c r="E19" s="8" t="s">
        <v>113</v>
      </c>
      <c r="F19" s="13" t="s">
        <v>966</v>
      </c>
      <c r="G19" s="128">
        <f>IFERROR(VLOOKUP(Pólizas48[[#This Row],[PLACA]],ITV_LA[#All],8,0),"")</f>
        <v>45004</v>
      </c>
      <c r="H19" s="128">
        <f>IFERROR(VLOOKUP(Pólizas48[[#This Row],[PLACA]],ITV_LA[#All],9,0),"")</f>
        <v>46100</v>
      </c>
      <c r="I19" s="8">
        <f ca="1">IFERROR(Pólizas48[[#This Row],[Fecha de vencimiento '[RTV']]]-$I$3,"")</f>
        <v>132</v>
      </c>
      <c r="J19" s="27" t="str">
        <f ca="1">IF(Pólizas48[[#This Row],[Fecha de vencimiento '[RTV']]]="","",IF(Pólizas48[[#This Row],[Fecha de vencimiento '[RTV']]]&lt;TODAY(),"Vencido","Vigente"))</f>
        <v>Vigente</v>
      </c>
      <c r="K19" s="27">
        <f>IFERROR(MONTH(Pólizas48[[#This Row],[Fecha de Emision '[RTV']]]),"")</f>
        <v>3</v>
      </c>
      <c r="L19" s="27">
        <f>IFERROR(YEAR(Pólizas48[[#This Row],[Fecha de Emision '[RTV']]]),"")</f>
        <v>2023</v>
      </c>
      <c r="M19" s="27" t="s">
        <v>37</v>
      </c>
      <c r="N19" s="27" t="s">
        <v>56</v>
      </c>
      <c r="O19" s="27" t="s">
        <v>976</v>
      </c>
      <c r="P1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19" s="27">
        <f>VLOOKUP(Pólizas48[[#This Row],[Categoría]],$BD$4:$BG$8,4,0)</f>
        <v>40</v>
      </c>
      <c r="R19" s="27">
        <f>IF(Pólizas48[[#This Row],[Inspección]]=2024,2025,Pólizas48[[#This Row],[Inspección]])</f>
        <v>2027</v>
      </c>
      <c r="T19" s="125" t="s">
        <v>31</v>
      </c>
      <c r="U19" s="126" t="s">
        <v>11</v>
      </c>
      <c r="V19" s="126" t="s">
        <v>12</v>
      </c>
      <c r="W19" s="126" t="s">
        <v>13</v>
      </c>
      <c r="X19" s="126" t="s">
        <v>14</v>
      </c>
      <c r="Y19" s="126" t="s">
        <v>15</v>
      </c>
      <c r="Z19" s="126" t="s">
        <v>16</v>
      </c>
      <c r="AA19" s="126" t="s">
        <v>17</v>
      </c>
      <c r="AB19" s="126" t="s">
        <v>18</v>
      </c>
      <c r="AC19" s="126" t="s">
        <v>574</v>
      </c>
      <c r="AD19" s="126" t="s">
        <v>20</v>
      </c>
      <c r="AE19" s="126" t="s">
        <v>21</v>
      </c>
      <c r="AF19" s="126" t="s">
        <v>22</v>
      </c>
      <c r="AG19" s="127" t="s">
        <v>23</v>
      </c>
      <c r="AL19" s="147" t="s">
        <v>124</v>
      </c>
      <c r="AM19" s="139" t="s">
        <v>1010</v>
      </c>
      <c r="AN19" s="139" t="s">
        <v>966</v>
      </c>
      <c r="AO19" s="139" t="s">
        <v>971</v>
      </c>
      <c r="AP19" s="139" t="s">
        <v>972</v>
      </c>
      <c r="AQ19" s="139" t="s">
        <v>973</v>
      </c>
      <c r="AR19" s="139" t="s">
        <v>974</v>
      </c>
      <c r="AS19" s="12">
        <v>45468</v>
      </c>
      <c r="AT19" s="148">
        <v>46201</v>
      </c>
      <c r="AU19" s="140">
        <v>269</v>
      </c>
      <c r="AV19" s="149" t="s">
        <v>1163</v>
      </c>
      <c r="AW19" s="12">
        <v>45827</v>
      </c>
      <c r="AX19" s="140">
        <v>-105</v>
      </c>
      <c r="AY19" s="149" t="s">
        <v>1164</v>
      </c>
      <c r="AZ19" s="11"/>
      <c r="BA19" s="11" t="s">
        <v>40</v>
      </c>
    </row>
    <row r="20" spans="3:53" x14ac:dyDescent="0.3">
      <c r="C20" s="7">
        <v>16</v>
      </c>
      <c r="D20" s="24" t="s">
        <v>110</v>
      </c>
      <c r="E20" s="8" t="s">
        <v>113</v>
      </c>
      <c r="F20" s="13" t="s">
        <v>966</v>
      </c>
      <c r="G20" s="128">
        <f>IFERROR(VLOOKUP(Pólizas48[[#This Row],[PLACA]],ITV_LA[#All],8,0),"")</f>
        <v>45004</v>
      </c>
      <c r="H20" s="128">
        <f>IFERROR(VLOOKUP(Pólizas48[[#This Row],[PLACA]],ITV_LA[#All],9,0),"")</f>
        <v>46100</v>
      </c>
      <c r="I20" s="8">
        <f ca="1">IFERROR(Pólizas48[[#This Row],[Fecha de vencimiento '[RTV']]]-$I$3,"")</f>
        <v>132</v>
      </c>
      <c r="J20" s="27" t="str">
        <f ca="1">IF(Pólizas48[[#This Row],[Fecha de vencimiento '[RTV']]]="","",IF(Pólizas48[[#This Row],[Fecha de vencimiento '[RTV']]]&lt;TODAY(),"Vencido","Vigente"))</f>
        <v>Vigente</v>
      </c>
      <c r="K20" s="27">
        <f>IFERROR(MONTH(Pólizas48[[#This Row],[Fecha de Emision '[RTV']]]),"")</f>
        <v>3</v>
      </c>
      <c r="L20" s="27">
        <f>IFERROR(YEAR(Pólizas48[[#This Row],[Fecha de Emision '[RTV']]]),"")</f>
        <v>2023</v>
      </c>
      <c r="M20" s="27" t="s">
        <v>37</v>
      </c>
      <c r="N20" s="27" t="s">
        <v>56</v>
      </c>
      <c r="O20" s="27" t="s">
        <v>976</v>
      </c>
      <c r="P2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20" s="27">
        <f>VLOOKUP(Pólizas48[[#This Row],[Categoría]],$BD$4:$BG$8,4,0)</f>
        <v>40</v>
      </c>
      <c r="R20" s="27">
        <f>IF(Pólizas48[[#This Row],[Inspección]]=2024,2025,Pólizas48[[#This Row],[Inspección]])</f>
        <v>2027</v>
      </c>
      <c r="T20" s="129" t="s">
        <v>32</v>
      </c>
      <c r="U20" s="130">
        <f>SUMIFS(Pólizas48[Precio S/.(CITV)],Pólizas48[Familia],$T20,Pólizas48[Prox Insp],2026,Pólizas48[Mes Inicia Pago],U$18)+U5</f>
        <v>0</v>
      </c>
      <c r="V20" s="130">
        <f>SUMIFS(Pólizas48[Precio S/.(CITV)],Pólizas48[Familia],$T20,Pólizas48[Prox Insp],2026,Pólizas48[Mes Inicia Pago],V$18)+V5</f>
        <v>0</v>
      </c>
      <c r="W20" s="130">
        <f>SUMIFS(Pólizas48[Precio S/.(CITV)],Pólizas48[Familia],$T20,Pólizas48[Prox Insp],2026,Pólizas48[Mes Inicia Pago],W$18)+W5</f>
        <v>0</v>
      </c>
      <c r="X20" s="130">
        <f>SUMIFS(Pólizas48[Precio S/.(CITV)],Pólizas48[Familia],$T20,Pólizas48[Prox Insp],2026,Pólizas48[Mes Inicia Pago],X$18)+X5</f>
        <v>43</v>
      </c>
      <c r="Y20" s="130">
        <f>SUMIFS(Pólizas48[Precio S/.(CITV)],Pólizas48[Familia],$T20,Pólizas48[Prox Insp],2026,Pólizas48[Mes Inicia Pago],Y$18)+Y5</f>
        <v>0</v>
      </c>
      <c r="Z20" s="130">
        <f>SUMIFS(Pólizas48[Precio S/.(CITV)],Pólizas48[Familia],$T20,Pólizas48[Prox Insp],2026,Pólizas48[Mes Inicia Pago],Z$18)+Z5</f>
        <v>0</v>
      </c>
      <c r="AA20" s="130">
        <f>SUMIFS(Pólizas48[Precio S/.(CITV)],Pólizas48[Familia],$T20,Pólizas48[Prox Insp],2026,Pólizas48[Mes Inicia Pago],AA$18)+AA5</f>
        <v>0</v>
      </c>
      <c r="AB20" s="130">
        <f>SUMIFS(Pólizas48[Precio S/.(CITV)],Pólizas48[Familia],$T20,Pólizas48[Prox Insp],2026,Pólizas48[Mes Inicia Pago],AB$18)+AB5</f>
        <v>0</v>
      </c>
      <c r="AC20" s="130">
        <f>SUMIFS(Pólizas48[Precio S/.(CITV)],Pólizas48[Familia],$T20,Pólizas48[Prox Insp],2026,Pólizas48[Mes Inicia Pago],AC$18)+AC5</f>
        <v>0</v>
      </c>
      <c r="AD20" s="130">
        <f>SUMIFS(Pólizas48[Precio S/.(CITV)],Pólizas48[Familia],$T20,Pólizas48[Prox Insp],2026,Pólizas48[Mes Inicia Pago],AD$18)+AD5</f>
        <v>0</v>
      </c>
      <c r="AE20" s="130">
        <f>SUMIFS(Pólizas48[Precio S/.(CITV)],Pólizas48[Familia],$T20,Pólizas48[Prox Insp],2026,Pólizas48[Mes Inicia Pago],AE$18)+AE5</f>
        <v>0</v>
      </c>
      <c r="AF20" s="130">
        <f>SUMIFS(Pólizas48[Precio S/.(CITV)],Pólizas48[Familia],$T20,Pólizas48[Prox Insp],2026,Pólizas48[Mes Inicia Pago],AF$18)+AF5</f>
        <v>0</v>
      </c>
      <c r="AG20" s="40">
        <f>SUM(U20:AF20)</f>
        <v>43</v>
      </c>
      <c r="AL20" s="147" t="s">
        <v>126</v>
      </c>
      <c r="AM20" s="139" t="s">
        <v>1010</v>
      </c>
      <c r="AN20" s="139" t="s">
        <v>966</v>
      </c>
      <c r="AO20" s="139" t="s">
        <v>971</v>
      </c>
      <c r="AP20" s="139" t="s">
        <v>972</v>
      </c>
      <c r="AQ20" s="139" t="s">
        <v>973</v>
      </c>
      <c r="AR20" s="139" t="s">
        <v>974</v>
      </c>
      <c r="AS20" s="12">
        <v>45468</v>
      </c>
      <c r="AT20" s="148">
        <v>46208</v>
      </c>
      <c r="AU20" s="140">
        <v>276</v>
      </c>
      <c r="AV20" s="149" t="s">
        <v>1163</v>
      </c>
      <c r="AW20" s="12">
        <v>45827</v>
      </c>
      <c r="AX20" s="140">
        <v>-105</v>
      </c>
      <c r="AY20" s="149" t="s">
        <v>1164</v>
      </c>
      <c r="AZ20" s="11"/>
      <c r="BA20" s="11" t="s">
        <v>40</v>
      </c>
    </row>
    <row r="21" spans="3:53" x14ac:dyDescent="0.3">
      <c r="C21" s="7">
        <v>17</v>
      </c>
      <c r="D21" s="24" t="s">
        <v>138</v>
      </c>
      <c r="E21" s="8" t="s">
        <v>133</v>
      </c>
      <c r="F21" s="13" t="s">
        <v>966</v>
      </c>
      <c r="G21" s="128">
        <f>IFERROR(VLOOKUP(Pólizas48[[#This Row],[PLACA]],ITV_LA[#All],8,0),"")</f>
        <v>45033</v>
      </c>
      <c r="H21" s="128">
        <f>IFERROR(VLOOKUP(Pólizas48[[#This Row],[PLACA]],ITV_LA[#All],9,0),"")</f>
        <v>46129</v>
      </c>
      <c r="I21" s="8">
        <f ca="1">IFERROR(Pólizas48[[#This Row],[Fecha de vencimiento '[RTV']]]-$I$3,"")</f>
        <v>161</v>
      </c>
      <c r="J21" s="27" t="str">
        <f ca="1">IF(Pólizas48[[#This Row],[Fecha de vencimiento '[RTV']]]="","",IF(Pólizas48[[#This Row],[Fecha de vencimiento '[RTV']]]&lt;TODAY(),"Vencido","Vigente"))</f>
        <v>Vigente</v>
      </c>
      <c r="K21" s="27">
        <f>IFERROR(MONTH(Pólizas48[[#This Row],[Fecha de Emision '[RTV']]]),"")</f>
        <v>4</v>
      </c>
      <c r="L21" s="27">
        <f>IFERROR(YEAR(Pólizas48[[#This Row],[Fecha de Emision '[RTV']]]),"")</f>
        <v>2023</v>
      </c>
      <c r="M21" s="27" t="s">
        <v>37</v>
      </c>
      <c r="N21" s="27" t="s">
        <v>48</v>
      </c>
      <c r="O21" s="27" t="s">
        <v>989</v>
      </c>
      <c r="P2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21" s="27">
        <f>VLOOKUP(Pólizas48[[#This Row],[Categoría]],$BD$4:$BG$8,4,0)</f>
        <v>90</v>
      </c>
      <c r="R21" s="27">
        <f>IF(Pólizas48[[#This Row],[Inspección]]=2024,2025,Pólizas48[[#This Row],[Inspección]])</f>
        <v>2026</v>
      </c>
      <c r="T21" s="129" t="s">
        <v>40</v>
      </c>
      <c r="U21" s="130">
        <f>SUMIFS(Pólizas48[Precio S/.(CITV)],Pólizas48[Familia],$T21,Pólizas48[Prox Insp],2026,Pólizas48[Mes Inicia Pago],U$18)+U6</f>
        <v>0</v>
      </c>
      <c r="V21" s="130">
        <f>SUMIFS(Pólizas48[Precio S/.(CITV)],Pólizas48[Familia],$T21,Pólizas48[Prox Insp],2026,Pólizas48[Mes Inicia Pago],V$18)+V6</f>
        <v>0</v>
      </c>
      <c r="W21" s="130">
        <f>SUMIFS(Pólizas48[Precio S/.(CITV)],Pólizas48[Familia],$T21,Pólizas48[Prox Insp],2026,Pólizas48[Mes Inicia Pago],W$18)+W6</f>
        <v>0</v>
      </c>
      <c r="X21" s="130">
        <f>SUMIFS(Pólizas48[Precio S/.(CITV)],Pólizas48[Familia],$T21,Pólizas48[Prox Insp],2026,Pólizas48[Mes Inicia Pago],X$18)+X6</f>
        <v>0</v>
      </c>
      <c r="Y21" s="130">
        <f>SUMIFS(Pólizas48[Precio S/.(CITV)],Pólizas48[Familia],$T21,Pólizas48[Prox Insp],2026,Pólizas48[Mes Inicia Pago],Y$18)+Y6</f>
        <v>0</v>
      </c>
      <c r="Z21" s="130">
        <f>SUMIFS(Pólizas48[Precio S/.(CITV)],Pólizas48[Familia],$T21,Pólizas48[Prox Insp],2026,Pólizas48[Mes Inicia Pago],Z$18)+Z6</f>
        <v>1200</v>
      </c>
      <c r="AA21" s="130">
        <f>SUMIFS(Pólizas48[Precio S/.(CITV)],Pólizas48[Familia],$T21,Pólizas48[Prox Insp],2026,Pólizas48[Mes Inicia Pago],AA$18)+AA6</f>
        <v>0</v>
      </c>
      <c r="AB21" s="130">
        <f>SUMIFS(Pólizas48[Precio S/.(CITV)],Pólizas48[Familia],$T21,Pólizas48[Prox Insp],2026,Pólizas48[Mes Inicia Pago],AB$18)+AB6</f>
        <v>0</v>
      </c>
      <c r="AC21" s="130">
        <f>SUMIFS(Pólizas48[Precio S/.(CITV)],Pólizas48[Familia],$T21,Pólizas48[Prox Insp],2026,Pólizas48[Mes Inicia Pago],AC$18)+AC6</f>
        <v>0</v>
      </c>
      <c r="AD21" s="130">
        <f>SUMIFS(Pólizas48[Precio S/.(CITV)],Pólizas48[Familia],$T21,Pólizas48[Prox Insp],2026,Pólizas48[Mes Inicia Pago],AD$18)+AD6</f>
        <v>0</v>
      </c>
      <c r="AE21" s="130">
        <f>SUMIFS(Pólizas48[Precio S/.(CITV)],Pólizas48[Familia],$T21,Pólizas48[Prox Insp],2026,Pólizas48[Mes Inicia Pago],AE$18)+AE6</f>
        <v>0</v>
      </c>
      <c r="AF21" s="130">
        <f>SUMIFS(Pólizas48[Precio S/.(CITV)],Pólizas48[Familia],$T21,Pólizas48[Prox Insp],2026,Pólizas48[Mes Inicia Pago],AF$18)+AF6</f>
        <v>0</v>
      </c>
      <c r="AG21" s="40">
        <f t="shared" ref="AG21:AG30" si="2">SUM(U21:AF21)</f>
        <v>1200</v>
      </c>
      <c r="AL21" s="147" t="s">
        <v>128</v>
      </c>
      <c r="AM21" s="139" t="s">
        <v>1010</v>
      </c>
      <c r="AN21" s="139" t="s">
        <v>966</v>
      </c>
      <c r="AO21" s="139" t="s">
        <v>971</v>
      </c>
      <c r="AP21" s="139" t="s">
        <v>972</v>
      </c>
      <c r="AQ21" s="139" t="s">
        <v>1011</v>
      </c>
      <c r="AR21" s="139" t="s">
        <v>974</v>
      </c>
      <c r="AS21" s="12">
        <v>45468</v>
      </c>
      <c r="AT21" s="148">
        <v>46202</v>
      </c>
      <c r="AU21" s="140">
        <v>270</v>
      </c>
      <c r="AV21" s="149" t="s">
        <v>1163</v>
      </c>
      <c r="AW21" s="12">
        <v>45827</v>
      </c>
      <c r="AX21" s="140">
        <v>-105</v>
      </c>
      <c r="AY21" s="149" t="s">
        <v>1164</v>
      </c>
      <c r="AZ21" s="11"/>
      <c r="BA21" s="11" t="s">
        <v>40</v>
      </c>
    </row>
    <row r="22" spans="3:53" x14ac:dyDescent="0.3">
      <c r="C22" s="7">
        <v>18</v>
      </c>
      <c r="D22" s="24" t="s">
        <v>134</v>
      </c>
      <c r="E22" s="8" t="s">
        <v>133</v>
      </c>
      <c r="F22" s="13" t="s">
        <v>966</v>
      </c>
      <c r="G22" s="128">
        <f>IFERROR(VLOOKUP(Pólizas48[[#This Row],[PLACA]],ITV_LA[#All],8,0),"")</f>
        <v>45033</v>
      </c>
      <c r="H22" s="128">
        <f>IFERROR(VLOOKUP(Pólizas48[[#This Row],[PLACA]],ITV_LA[#All],9,0),"")</f>
        <v>46129</v>
      </c>
      <c r="I22" s="8">
        <f ca="1">IFERROR(Pólizas48[[#This Row],[Fecha de vencimiento '[RTV']]]-$I$3,"")</f>
        <v>161</v>
      </c>
      <c r="J22" s="27" t="str">
        <f ca="1">IF(Pólizas48[[#This Row],[Fecha de vencimiento '[RTV']]]="","",IF(Pólizas48[[#This Row],[Fecha de vencimiento '[RTV']]]&lt;TODAY(),"Vencido","Vigente"))</f>
        <v>Vigente</v>
      </c>
      <c r="K22" s="27">
        <f>IFERROR(MONTH(Pólizas48[[#This Row],[Fecha de Emision '[RTV']]]),"")</f>
        <v>4</v>
      </c>
      <c r="L22" s="27">
        <f>IFERROR(YEAR(Pólizas48[[#This Row],[Fecha de Emision '[RTV']]]),"")</f>
        <v>2023</v>
      </c>
      <c r="M22" s="27" t="s">
        <v>37</v>
      </c>
      <c r="N22" s="27" t="s">
        <v>48</v>
      </c>
      <c r="O22" s="27" t="s">
        <v>989</v>
      </c>
      <c r="P2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22" s="27">
        <f>VLOOKUP(Pólizas48[[#This Row],[Categoría]],$BD$4:$BG$8,4,0)</f>
        <v>90</v>
      </c>
      <c r="R22" s="27">
        <f>IF(Pólizas48[[#This Row],[Inspección]]=2024,2025,Pólizas48[[#This Row],[Inspección]])</f>
        <v>2026</v>
      </c>
      <c r="T22" s="129" t="s">
        <v>46</v>
      </c>
      <c r="U22" s="130">
        <f>SUMIFS(Pólizas48[Precio S/.(CITV)],Pólizas48[Familia],$T22,Pólizas48[Prox Insp],2026,Pólizas48[Mes Inicia Pago],U$18)+U7</f>
        <v>0</v>
      </c>
      <c r="V22" s="130">
        <f>SUMIFS(Pólizas48[Precio S/.(CITV)],Pólizas48[Familia],$T22,Pólizas48[Prox Insp],2026,Pólizas48[Mes Inicia Pago],V$18)+V7</f>
        <v>0</v>
      </c>
      <c r="W22" s="130">
        <f>SUMIFS(Pólizas48[Precio S/.(CITV)],Pólizas48[Familia],$T22,Pólizas48[Prox Insp],2026,Pólizas48[Mes Inicia Pago],W$18)+W7</f>
        <v>0</v>
      </c>
      <c r="X22" s="130">
        <f>SUMIFS(Pólizas48[Precio S/.(CITV)],Pólizas48[Familia],$T22,Pólizas48[Prox Insp],2026,Pólizas48[Mes Inicia Pago],X$18)+X7</f>
        <v>100</v>
      </c>
      <c r="Y22" s="130">
        <f>SUMIFS(Pólizas48[Precio S/.(CITV)],Pólizas48[Familia],$T22,Pólizas48[Prox Insp],2026,Pólizas48[Mes Inicia Pago],Y$18)+Y7</f>
        <v>0</v>
      </c>
      <c r="Z22" s="130">
        <f>SUMIFS(Pólizas48[Precio S/.(CITV)],Pólizas48[Familia],$T22,Pólizas48[Prox Insp],2026,Pólizas48[Mes Inicia Pago],Z$18)+Z7</f>
        <v>0</v>
      </c>
      <c r="AA22" s="130">
        <f>SUMIFS(Pólizas48[Precio S/.(CITV)],Pólizas48[Familia],$T22,Pólizas48[Prox Insp],2026,Pólizas48[Mes Inicia Pago],AA$18)+AA7</f>
        <v>0</v>
      </c>
      <c r="AB22" s="130">
        <f>SUMIFS(Pólizas48[Precio S/.(CITV)],Pólizas48[Familia],$T22,Pólizas48[Prox Insp],2026,Pólizas48[Mes Inicia Pago],AB$18)+AB7</f>
        <v>0</v>
      </c>
      <c r="AC22" s="130">
        <f>SUMIFS(Pólizas48[Precio S/.(CITV)],Pólizas48[Familia],$T22,Pólizas48[Prox Insp],2026,Pólizas48[Mes Inicia Pago],AC$18)+AC7</f>
        <v>0</v>
      </c>
      <c r="AD22" s="130">
        <f>SUMIFS(Pólizas48[Precio S/.(CITV)],Pólizas48[Familia],$T22,Pólizas48[Prox Insp],2026,Pólizas48[Mes Inicia Pago],AD$18)+AD7</f>
        <v>0</v>
      </c>
      <c r="AE22" s="130">
        <f>SUMIFS(Pólizas48[Precio S/.(CITV)],Pólizas48[Familia],$T22,Pólizas48[Prox Insp],2026,Pólizas48[Mes Inicia Pago],AE$18)+AE7</f>
        <v>0</v>
      </c>
      <c r="AF22" s="130">
        <f>SUMIFS(Pólizas48[Precio S/.(CITV)],Pólizas48[Familia],$T22,Pólizas48[Prox Insp],2026,Pólizas48[Mes Inicia Pago],AF$18)+AF7</f>
        <v>0</v>
      </c>
      <c r="AG22" s="40">
        <f t="shared" si="2"/>
        <v>100</v>
      </c>
      <c r="AL22" s="147" t="s">
        <v>127</v>
      </c>
      <c r="AM22" s="139" t="s">
        <v>1010</v>
      </c>
      <c r="AN22" s="139" t="s">
        <v>966</v>
      </c>
      <c r="AO22" s="139" t="s">
        <v>971</v>
      </c>
      <c r="AP22" s="139" t="s">
        <v>972</v>
      </c>
      <c r="AQ22" s="139" t="s">
        <v>973</v>
      </c>
      <c r="AR22" s="139" t="s">
        <v>974</v>
      </c>
      <c r="AS22" s="12">
        <v>45469</v>
      </c>
      <c r="AT22" s="148">
        <v>46201</v>
      </c>
      <c r="AU22" s="140">
        <v>269</v>
      </c>
      <c r="AV22" s="149" t="s">
        <v>1163</v>
      </c>
      <c r="AW22" s="12">
        <v>45827</v>
      </c>
      <c r="AX22" s="140">
        <v>-105</v>
      </c>
      <c r="AY22" s="149" t="s">
        <v>1164</v>
      </c>
      <c r="AZ22" s="11"/>
      <c r="BA22" s="11" t="s">
        <v>40</v>
      </c>
    </row>
    <row r="23" spans="3:53" x14ac:dyDescent="0.3">
      <c r="C23" s="7">
        <v>19</v>
      </c>
      <c r="D23" s="24" t="s">
        <v>144</v>
      </c>
      <c r="E23" s="8" t="s">
        <v>133</v>
      </c>
      <c r="F23" s="13" t="s">
        <v>966</v>
      </c>
      <c r="G23" s="128">
        <f>IFERROR(VLOOKUP(Pólizas48[[#This Row],[PLACA]],ITV_LA[#All],8,0),"")</f>
        <v>45033</v>
      </c>
      <c r="H23" s="128">
        <f>IFERROR(VLOOKUP(Pólizas48[[#This Row],[PLACA]],ITV_LA[#All],9,0),"")</f>
        <v>46129</v>
      </c>
      <c r="I23" s="8">
        <f ca="1">IFERROR(Pólizas48[[#This Row],[Fecha de vencimiento '[RTV']]]-$I$3,"")</f>
        <v>161</v>
      </c>
      <c r="J23" s="27" t="str">
        <f ca="1">IF(Pólizas48[[#This Row],[Fecha de vencimiento '[RTV']]]="","",IF(Pólizas48[[#This Row],[Fecha de vencimiento '[RTV']]]&lt;TODAY(),"Vencido","Vigente"))</f>
        <v>Vigente</v>
      </c>
      <c r="K23" s="27">
        <f>IFERROR(MONTH(Pólizas48[[#This Row],[Fecha de Emision '[RTV']]]),"")</f>
        <v>4</v>
      </c>
      <c r="L23" s="27">
        <f>IFERROR(YEAR(Pólizas48[[#This Row],[Fecha de Emision '[RTV']]]),"")</f>
        <v>2023</v>
      </c>
      <c r="M23" s="27" t="s">
        <v>37</v>
      </c>
      <c r="N23" s="27" t="s">
        <v>48</v>
      </c>
      <c r="O23" s="27" t="s">
        <v>989</v>
      </c>
      <c r="P2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23" s="27">
        <f>VLOOKUP(Pólizas48[[#This Row],[Categoría]],$BD$4:$BG$8,4,0)</f>
        <v>90</v>
      </c>
      <c r="R23" s="27">
        <f>IF(Pólizas48[[#This Row],[Inspección]]=2024,2025,Pólizas48[[#This Row],[Inspección]])</f>
        <v>2026</v>
      </c>
      <c r="T23" s="129" t="s">
        <v>48</v>
      </c>
      <c r="U23" s="130">
        <f>SUMIFS(Pólizas48[Precio S/.(CITV)],Pólizas48[Familia],$T23,Pólizas48[Prox Insp],2026,Pólizas48[Mes Inicia Pago],U$18)+U8</f>
        <v>0</v>
      </c>
      <c r="V23" s="130">
        <f>SUMIFS(Pólizas48[Precio S/.(CITV)],Pólizas48[Familia],$T23,Pólizas48[Prox Insp],2026,Pólizas48[Mes Inicia Pago],V$18)+V8</f>
        <v>0</v>
      </c>
      <c r="W23" s="130">
        <f>SUMIFS(Pólizas48[Precio S/.(CITV)],Pólizas48[Familia],$T23,Pólizas48[Prox Insp],2026,Pólizas48[Mes Inicia Pago],W$18)+W8</f>
        <v>0</v>
      </c>
      <c r="X23" s="130">
        <f>SUMIFS(Pólizas48[Precio S/.(CITV)],Pólizas48[Familia],$T23,Pólizas48[Prox Insp],2026,Pólizas48[Mes Inicia Pago],X$18)+X8</f>
        <v>1800</v>
      </c>
      <c r="Y23" s="130">
        <f>SUMIFS(Pólizas48[Precio S/.(CITV)],Pólizas48[Familia],$T23,Pólizas48[Prox Insp],2026,Pólizas48[Mes Inicia Pago],Y$18)+Y8</f>
        <v>0</v>
      </c>
      <c r="Z23" s="130">
        <f>SUMIFS(Pólizas48[Precio S/.(CITV)],Pólizas48[Familia],$T23,Pólizas48[Prox Insp],2026,Pólizas48[Mes Inicia Pago],Z$18)+Z8</f>
        <v>0</v>
      </c>
      <c r="AA23" s="130">
        <f>SUMIFS(Pólizas48[Precio S/.(CITV)],Pólizas48[Familia],$T23,Pólizas48[Prox Insp],2026,Pólizas48[Mes Inicia Pago],AA$18)+AA8</f>
        <v>0</v>
      </c>
      <c r="AB23" s="130">
        <f>SUMIFS(Pólizas48[Precio S/.(CITV)],Pólizas48[Familia],$T23,Pólizas48[Prox Insp],2026,Pólizas48[Mes Inicia Pago],AB$18)+AB8</f>
        <v>0</v>
      </c>
      <c r="AC23" s="130">
        <f>SUMIFS(Pólizas48[Precio S/.(CITV)],Pólizas48[Familia],$T23,Pólizas48[Prox Insp],2026,Pólizas48[Mes Inicia Pago],AC$18)+AC8</f>
        <v>0</v>
      </c>
      <c r="AD23" s="130">
        <f>SUMIFS(Pólizas48[Precio S/.(CITV)],Pólizas48[Familia],$T23,Pólizas48[Prox Insp],2026,Pólizas48[Mes Inicia Pago],AD$18)+AD8</f>
        <v>0</v>
      </c>
      <c r="AE23" s="130">
        <f>SUMIFS(Pólizas48[Precio S/.(CITV)],Pólizas48[Familia],$T23,Pólizas48[Prox Insp],2026,Pólizas48[Mes Inicia Pago],AE$18)+AE8</f>
        <v>0</v>
      </c>
      <c r="AF23" s="130">
        <f>SUMIFS(Pólizas48[Precio S/.(CITV)],Pólizas48[Familia],$T23,Pólizas48[Prox Insp],2026,Pólizas48[Mes Inicia Pago],AF$18)+AF8</f>
        <v>0</v>
      </c>
      <c r="AG23" s="40">
        <f t="shared" si="2"/>
        <v>1800</v>
      </c>
      <c r="AL23" s="147" t="s">
        <v>125</v>
      </c>
      <c r="AM23" s="139" t="s">
        <v>1010</v>
      </c>
      <c r="AN23" s="139" t="s">
        <v>966</v>
      </c>
      <c r="AO23" s="139" t="s">
        <v>971</v>
      </c>
      <c r="AP23" s="139" t="s">
        <v>972</v>
      </c>
      <c r="AQ23" s="139" t="s">
        <v>973</v>
      </c>
      <c r="AR23" s="139" t="s">
        <v>974</v>
      </c>
      <c r="AS23" s="12">
        <v>45469</v>
      </c>
      <c r="AT23" s="148">
        <v>46201</v>
      </c>
      <c r="AU23" s="140">
        <v>269</v>
      </c>
      <c r="AV23" s="149" t="s">
        <v>1163</v>
      </c>
      <c r="AW23" s="12">
        <v>45827</v>
      </c>
      <c r="AX23" s="140">
        <v>-105</v>
      </c>
      <c r="AY23" s="149" t="s">
        <v>1164</v>
      </c>
      <c r="AZ23" s="11"/>
      <c r="BA23" s="11" t="s">
        <v>40</v>
      </c>
    </row>
    <row r="24" spans="3:53" x14ac:dyDescent="0.3">
      <c r="C24" s="7">
        <v>20</v>
      </c>
      <c r="D24" s="24" t="s">
        <v>146</v>
      </c>
      <c r="E24" s="8" t="s">
        <v>133</v>
      </c>
      <c r="F24" s="13" t="s">
        <v>966</v>
      </c>
      <c r="G24" s="128">
        <f>IFERROR(VLOOKUP(Pólizas48[[#This Row],[PLACA]],ITV_LA[#All],8,0),"")</f>
        <v>45033</v>
      </c>
      <c r="H24" s="128">
        <f>IFERROR(VLOOKUP(Pólizas48[[#This Row],[PLACA]],ITV_LA[#All],9,0),"")</f>
        <v>46129</v>
      </c>
      <c r="I24" s="8">
        <f ca="1">IFERROR(Pólizas48[[#This Row],[Fecha de vencimiento '[RTV']]]-$I$3,"")</f>
        <v>161</v>
      </c>
      <c r="J24" s="27" t="str">
        <f ca="1">IF(Pólizas48[[#This Row],[Fecha de vencimiento '[RTV']]]="","",IF(Pólizas48[[#This Row],[Fecha de vencimiento '[RTV']]]&lt;TODAY(),"Vencido","Vigente"))</f>
        <v>Vigente</v>
      </c>
      <c r="K24" s="27">
        <f>IFERROR(MONTH(Pólizas48[[#This Row],[Fecha de Emision '[RTV']]]),"")</f>
        <v>4</v>
      </c>
      <c r="L24" s="27">
        <f>IFERROR(YEAR(Pólizas48[[#This Row],[Fecha de Emision '[RTV']]]),"")</f>
        <v>2023</v>
      </c>
      <c r="M24" s="27" t="s">
        <v>37</v>
      </c>
      <c r="N24" s="27" t="s">
        <v>48</v>
      </c>
      <c r="O24" s="27" t="s">
        <v>989</v>
      </c>
      <c r="P2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24" s="27">
        <f>VLOOKUP(Pólizas48[[#This Row],[Categoría]],$BD$4:$BG$8,4,0)</f>
        <v>90</v>
      </c>
      <c r="R24" s="27">
        <f>IF(Pólizas48[[#This Row],[Inspección]]=2024,2025,Pólizas48[[#This Row],[Inspección]])</f>
        <v>2026</v>
      </c>
      <c r="T24" s="129" t="s">
        <v>45</v>
      </c>
      <c r="U24" s="130">
        <f>SUMIFS(Pólizas48[Precio S/.(CITV)],Pólizas48[Familia],$T24,Pólizas48[Prox Insp],2026,Pólizas48[Mes Inicia Pago],U$18)+U9</f>
        <v>0</v>
      </c>
      <c r="V24" s="130">
        <f>SUMIFS(Pólizas48[Precio S/.(CITV)],Pólizas48[Familia],$T24,Pólizas48[Prox Insp],2026,Pólizas48[Mes Inicia Pago],V$18)+V9</f>
        <v>0</v>
      </c>
      <c r="W24" s="130">
        <f>SUMIFS(Pólizas48[Precio S/.(CITV)],Pólizas48[Familia],$T24,Pólizas48[Prox Insp],2026,Pólizas48[Mes Inicia Pago],W$18)+W9</f>
        <v>0</v>
      </c>
      <c r="X24" s="130">
        <f>SUMIFS(Pólizas48[Precio S/.(CITV)],Pólizas48[Familia],$T24,Pólizas48[Prox Insp],2026,Pólizas48[Mes Inicia Pago],X$18)+X9</f>
        <v>0</v>
      </c>
      <c r="Y24" s="130">
        <f>SUMIFS(Pólizas48[Precio S/.(CITV)],Pólizas48[Familia],$T24,Pólizas48[Prox Insp],2026,Pólizas48[Mes Inicia Pago],Y$18)+Y9</f>
        <v>0</v>
      </c>
      <c r="Z24" s="130">
        <f>SUMIFS(Pólizas48[Precio S/.(CITV)],Pólizas48[Familia],$T24,Pólizas48[Prox Insp],2026,Pólizas48[Mes Inicia Pago],Z$18)+Z9</f>
        <v>0</v>
      </c>
      <c r="AA24" s="130">
        <f>SUMIFS(Pólizas48[Precio S/.(CITV)],Pólizas48[Familia],$T24,Pólizas48[Prox Insp],2026,Pólizas48[Mes Inicia Pago],AA$18)+AA9</f>
        <v>0</v>
      </c>
      <c r="AB24" s="130">
        <f>SUMIFS(Pólizas48[Precio S/.(CITV)],Pólizas48[Familia],$T24,Pólizas48[Prox Insp],2026,Pólizas48[Mes Inicia Pago],AB$18)+AB9</f>
        <v>0</v>
      </c>
      <c r="AC24" s="130">
        <f>SUMIFS(Pólizas48[Precio S/.(CITV)],Pólizas48[Familia],$T24,Pólizas48[Prox Insp],2026,Pólizas48[Mes Inicia Pago],AC$18)+AC9</f>
        <v>0</v>
      </c>
      <c r="AD24" s="130">
        <f>SUMIFS(Pólizas48[Precio S/.(CITV)],Pólizas48[Familia],$T24,Pólizas48[Prox Insp],2026,Pólizas48[Mes Inicia Pago],AD$18)+AD9</f>
        <v>0</v>
      </c>
      <c r="AE24" s="130">
        <f>SUMIFS(Pólizas48[Precio S/.(CITV)],Pólizas48[Familia],$T24,Pólizas48[Prox Insp],2026,Pólizas48[Mes Inicia Pago],AE$18)+AE9</f>
        <v>0</v>
      </c>
      <c r="AF24" s="130">
        <f>SUMIFS(Pólizas48[Precio S/.(CITV)],Pólizas48[Familia],$T24,Pólizas48[Prox Insp],2026,Pólizas48[Mes Inicia Pago],AF$18)+AF9</f>
        <v>0</v>
      </c>
      <c r="AG24" s="40">
        <f t="shared" si="2"/>
        <v>0</v>
      </c>
      <c r="AL24" s="147" t="s">
        <v>129</v>
      </c>
      <c r="AM24" s="139" t="s">
        <v>1010</v>
      </c>
      <c r="AN24" s="139" t="s">
        <v>966</v>
      </c>
      <c r="AO24" s="139" t="s">
        <v>971</v>
      </c>
      <c r="AP24" s="139" t="s">
        <v>972</v>
      </c>
      <c r="AQ24" s="139" t="s">
        <v>973</v>
      </c>
      <c r="AR24" s="139" t="s">
        <v>974</v>
      </c>
      <c r="AS24" s="12">
        <v>45468</v>
      </c>
      <c r="AT24" s="148">
        <v>46201</v>
      </c>
      <c r="AU24" s="140">
        <v>269</v>
      </c>
      <c r="AV24" s="149" t="s">
        <v>1163</v>
      </c>
      <c r="AW24" s="12">
        <v>45827</v>
      </c>
      <c r="AX24" s="140">
        <v>-105</v>
      </c>
      <c r="AY24" s="149" t="s">
        <v>1164</v>
      </c>
      <c r="AZ24" s="11"/>
      <c r="BA24" s="11" t="s">
        <v>40</v>
      </c>
    </row>
    <row r="25" spans="3:53" x14ac:dyDescent="0.3">
      <c r="C25" s="7">
        <v>21</v>
      </c>
      <c r="D25" s="24" t="s">
        <v>150</v>
      </c>
      <c r="E25" s="8" t="s">
        <v>133</v>
      </c>
      <c r="F25" s="13" t="s">
        <v>966</v>
      </c>
      <c r="G25" s="128">
        <f>IFERROR(VLOOKUP(Pólizas48[[#This Row],[PLACA]],ITV_LA[#All],8,0),"")</f>
        <v>45033</v>
      </c>
      <c r="H25" s="128">
        <f>IFERROR(VLOOKUP(Pólizas48[[#This Row],[PLACA]],ITV_LA[#All],9,0),"")</f>
        <v>46129</v>
      </c>
      <c r="I25" s="8">
        <f ca="1">IFERROR(Pólizas48[[#This Row],[Fecha de vencimiento '[RTV']]]-$I$3,"")</f>
        <v>161</v>
      </c>
      <c r="J25" s="27" t="str">
        <f ca="1">IF(Pólizas48[[#This Row],[Fecha de vencimiento '[RTV']]]="","",IF(Pólizas48[[#This Row],[Fecha de vencimiento '[RTV']]]&lt;TODAY(),"Vencido","Vigente"))</f>
        <v>Vigente</v>
      </c>
      <c r="K25" s="27">
        <f>IFERROR(MONTH(Pólizas48[[#This Row],[Fecha de Emision '[RTV']]]),"")</f>
        <v>4</v>
      </c>
      <c r="L25" s="27">
        <f>IFERROR(YEAR(Pólizas48[[#This Row],[Fecha de Emision '[RTV']]]),"")</f>
        <v>2023</v>
      </c>
      <c r="M25" s="27" t="s">
        <v>37</v>
      </c>
      <c r="N25" s="27" t="s">
        <v>48</v>
      </c>
      <c r="O25" s="27" t="s">
        <v>989</v>
      </c>
      <c r="P2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25" s="27">
        <f>VLOOKUP(Pólizas48[[#This Row],[Categoría]],$BD$4:$BG$8,4,0)</f>
        <v>90</v>
      </c>
      <c r="R25" s="27">
        <f>IF(Pólizas48[[#This Row],[Inspección]]=2024,2025,Pólizas48[[#This Row],[Inspección]])</f>
        <v>2026</v>
      </c>
      <c r="T25" s="129" t="s">
        <v>39</v>
      </c>
      <c r="U25" s="130">
        <f>SUMIFS(Pólizas48[Precio S/.(CITV)],Pólizas48[Familia],$T25,Pólizas48[Prox Insp],2026,Pólizas48[Mes Inicia Pago],U$18)+U10</f>
        <v>0</v>
      </c>
      <c r="V25" s="130">
        <f>SUMIFS(Pólizas48[Precio S/.(CITV)],Pólizas48[Familia],$T25,Pólizas48[Prox Insp],2026,Pólizas48[Mes Inicia Pago],V$18)+V10</f>
        <v>0</v>
      </c>
      <c r="W25" s="130">
        <f>SUMIFS(Pólizas48[Precio S/.(CITV)],Pólizas48[Familia],$T25,Pólizas48[Prox Insp],2026,Pólizas48[Mes Inicia Pago],W$18)+W10</f>
        <v>0</v>
      </c>
      <c r="X25" s="130">
        <f>SUMIFS(Pólizas48[Precio S/.(CITV)],Pólizas48[Familia],$T25,Pólizas48[Prox Insp],2026,Pólizas48[Mes Inicia Pago],X$18)+X10</f>
        <v>0</v>
      </c>
      <c r="Y25" s="130">
        <f>SUMIFS(Pólizas48[Precio S/.(CITV)],Pólizas48[Familia],$T25,Pólizas48[Prox Insp],2026,Pólizas48[Mes Inicia Pago],Y$18)+Y10</f>
        <v>0</v>
      </c>
      <c r="Z25" s="130">
        <f>SUMIFS(Pólizas48[Precio S/.(CITV)],Pólizas48[Familia],$T25,Pólizas48[Prox Insp],2026,Pólizas48[Mes Inicia Pago],Z$18)+Z10</f>
        <v>0</v>
      </c>
      <c r="AA25" s="130">
        <f>SUMIFS(Pólizas48[Precio S/.(CITV)],Pólizas48[Familia],$T25,Pólizas48[Prox Insp],2026,Pólizas48[Mes Inicia Pago],AA$18)+AA10</f>
        <v>0</v>
      </c>
      <c r="AB25" s="130">
        <f>SUMIFS(Pólizas48[Precio S/.(CITV)],Pólizas48[Familia],$T25,Pólizas48[Prox Insp],2026,Pólizas48[Mes Inicia Pago],AB$18)+AB10</f>
        <v>0</v>
      </c>
      <c r="AC25" s="130">
        <f>SUMIFS(Pólizas48[Precio S/.(CITV)],Pólizas48[Familia],$T25,Pólizas48[Prox Insp],2026,Pólizas48[Mes Inicia Pago],AC$18)+AC10</f>
        <v>0</v>
      </c>
      <c r="AD25" s="130">
        <f>SUMIFS(Pólizas48[Precio S/.(CITV)],Pólizas48[Familia],$T25,Pólizas48[Prox Insp],2026,Pólizas48[Mes Inicia Pago],AD$18)+AD10</f>
        <v>0</v>
      </c>
      <c r="AE25" s="130">
        <f>SUMIFS(Pólizas48[Precio S/.(CITV)],Pólizas48[Familia],$T25,Pólizas48[Prox Insp],2026,Pólizas48[Mes Inicia Pago],AE$18)+AE10</f>
        <v>0</v>
      </c>
      <c r="AF25" s="130">
        <f>SUMIFS(Pólizas48[Precio S/.(CITV)],Pólizas48[Familia],$T25,Pólizas48[Prox Insp],2026,Pólizas48[Mes Inicia Pago],AF$18)+AF10</f>
        <v>0</v>
      </c>
      <c r="AG25" s="40">
        <f t="shared" si="2"/>
        <v>0</v>
      </c>
      <c r="AL25" s="147" t="s">
        <v>130</v>
      </c>
      <c r="AM25" s="139" t="s">
        <v>1010</v>
      </c>
      <c r="AN25" s="139" t="s">
        <v>966</v>
      </c>
      <c r="AO25" s="139" t="s">
        <v>971</v>
      </c>
      <c r="AP25" s="139" t="s">
        <v>972</v>
      </c>
      <c r="AQ25" s="139" t="s">
        <v>1011</v>
      </c>
      <c r="AR25" s="139" t="s">
        <v>974</v>
      </c>
      <c r="AS25" s="12">
        <v>45468</v>
      </c>
      <c r="AT25" s="148">
        <v>46202</v>
      </c>
      <c r="AU25" s="140">
        <v>270</v>
      </c>
      <c r="AV25" s="149" t="s">
        <v>1163</v>
      </c>
      <c r="AW25" s="12">
        <v>45828</v>
      </c>
      <c r="AX25" s="140">
        <v>-104</v>
      </c>
      <c r="AY25" s="149" t="s">
        <v>1164</v>
      </c>
      <c r="AZ25" s="11"/>
      <c r="BA25" s="11" t="s">
        <v>40</v>
      </c>
    </row>
    <row r="26" spans="3:53" x14ac:dyDescent="0.3">
      <c r="C26" s="7">
        <v>22</v>
      </c>
      <c r="D26" s="24" t="s">
        <v>62</v>
      </c>
      <c r="E26" s="8" t="s">
        <v>61</v>
      </c>
      <c r="F26" s="13" t="s">
        <v>966</v>
      </c>
      <c r="G26" s="128">
        <f>IFERROR(VLOOKUP(Pólizas48[[#This Row],[PLACA]],ITV_LA[#All],8,0),"")</f>
        <v>45363</v>
      </c>
      <c r="H26" s="128">
        <f>IFERROR(VLOOKUP(Pólizas48[[#This Row],[PLACA]],ITV_LA[#All],9,0),"")</f>
        <v>46458</v>
      </c>
      <c r="I26" s="8">
        <f ca="1">IFERROR(Pólizas48[[#This Row],[Fecha de vencimiento '[RTV']]]-$I$3,"")</f>
        <v>490</v>
      </c>
      <c r="J26" s="27" t="str">
        <f ca="1">IF(Pólizas48[[#This Row],[Fecha de vencimiento '[RTV']]]="","",IF(Pólizas48[[#This Row],[Fecha de vencimiento '[RTV']]]&lt;TODAY(),"Vencido","Vigente"))</f>
        <v>Vigente</v>
      </c>
      <c r="K26" s="27">
        <f>IFERROR(MONTH(Pólizas48[[#This Row],[Fecha de Emision '[RTV']]]),"")</f>
        <v>3</v>
      </c>
      <c r="L26" s="27">
        <f>IFERROR(YEAR(Pólizas48[[#This Row],[Fecha de Emision '[RTV']]]),"")</f>
        <v>2024</v>
      </c>
      <c r="M26" s="27" t="s">
        <v>37</v>
      </c>
      <c r="N26" s="27" t="s">
        <v>58</v>
      </c>
      <c r="O26" s="27" t="s">
        <v>989</v>
      </c>
      <c r="P2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26" s="27">
        <f>VLOOKUP(Pólizas48[[#This Row],[Categoría]],$BD$4:$BG$8,4,0)</f>
        <v>90</v>
      </c>
      <c r="R26" s="27">
        <f>IF(Pólizas48[[#This Row],[Inspección]]=2024,2025,Pólizas48[[#This Row],[Inspección]])</f>
        <v>2027</v>
      </c>
      <c r="T26" s="129" t="s">
        <v>52</v>
      </c>
      <c r="U26" s="130">
        <f>SUMIFS(Pólizas48[Precio S/.(CITV)],Pólizas48[Familia],$T26,Pólizas48[Prox Insp],2026,Pólizas48[Mes Inicia Pago],U$18)+U11</f>
        <v>0</v>
      </c>
      <c r="V26" s="130">
        <f>SUMIFS(Pólizas48[Precio S/.(CITV)],Pólizas48[Familia],$T26,Pólizas48[Prox Insp],2026,Pólizas48[Mes Inicia Pago],V$18)+V11</f>
        <v>0</v>
      </c>
      <c r="W26" s="130">
        <f>SUMIFS(Pólizas48[Precio S/.(CITV)],Pólizas48[Familia],$T26,Pólizas48[Prox Insp],2026,Pólizas48[Mes Inicia Pago],W$18)+W11</f>
        <v>0</v>
      </c>
      <c r="X26" s="130">
        <f>SUMIFS(Pólizas48[Precio S/.(CITV)],Pólizas48[Familia],$T26,Pólizas48[Prox Insp],2026,Pólizas48[Mes Inicia Pago],X$18)+X11</f>
        <v>0</v>
      </c>
      <c r="Y26" s="130">
        <f>SUMIFS(Pólizas48[Precio S/.(CITV)],Pólizas48[Familia],$T26,Pólizas48[Prox Insp],2026,Pólizas48[Mes Inicia Pago],Y$18)+Y11</f>
        <v>0</v>
      </c>
      <c r="Z26" s="130">
        <f>SUMIFS(Pólizas48[Precio S/.(CITV)],Pólizas48[Familia],$T26,Pólizas48[Prox Insp],2026,Pólizas48[Mes Inicia Pago],Z$18)+Z11</f>
        <v>0</v>
      </c>
      <c r="AA26" s="130">
        <f>SUMIFS(Pólizas48[Precio S/.(CITV)],Pólizas48[Familia],$T26,Pólizas48[Prox Insp],2026,Pólizas48[Mes Inicia Pago],AA$18)+AA11</f>
        <v>0</v>
      </c>
      <c r="AB26" s="130">
        <f>SUMIFS(Pólizas48[Precio S/.(CITV)],Pólizas48[Familia],$T26,Pólizas48[Prox Insp],2026,Pólizas48[Mes Inicia Pago],AB$18)+AB11</f>
        <v>0</v>
      </c>
      <c r="AC26" s="130">
        <f>SUMIFS(Pólizas48[Precio S/.(CITV)],Pólizas48[Familia],$T26,Pólizas48[Prox Insp],2026,Pólizas48[Mes Inicia Pago],AC$18)+AC11</f>
        <v>0</v>
      </c>
      <c r="AD26" s="130">
        <f>SUMIFS(Pólizas48[Precio S/.(CITV)],Pólizas48[Familia],$T26,Pólizas48[Prox Insp],2026,Pólizas48[Mes Inicia Pago],AD$18)+AD11</f>
        <v>0</v>
      </c>
      <c r="AE26" s="130">
        <f>SUMIFS(Pólizas48[Precio S/.(CITV)],Pólizas48[Familia],$T26,Pólizas48[Prox Insp],2026,Pólizas48[Mes Inicia Pago],AE$18)+AE11</f>
        <v>0</v>
      </c>
      <c r="AF26" s="130">
        <f>SUMIFS(Pólizas48[Precio S/.(CITV)],Pólizas48[Familia],$T26,Pólizas48[Prox Insp],2026,Pólizas48[Mes Inicia Pago],AF$18)+AF11</f>
        <v>0</v>
      </c>
      <c r="AG26" s="40">
        <f t="shared" si="2"/>
        <v>0</v>
      </c>
      <c r="AL26" s="147" t="s">
        <v>1012</v>
      </c>
      <c r="AM26" s="139" t="s">
        <v>1006</v>
      </c>
      <c r="AN26" s="139" t="s">
        <v>979</v>
      </c>
      <c r="AO26" s="139" t="s">
        <v>985</v>
      </c>
      <c r="AP26" s="139" t="s">
        <v>992</v>
      </c>
      <c r="AQ26" s="139" t="s">
        <v>1013</v>
      </c>
      <c r="AR26" s="139" t="s">
        <v>1004</v>
      </c>
      <c r="AS26" s="12">
        <v>45458</v>
      </c>
      <c r="AT26" s="148">
        <v>45823</v>
      </c>
      <c r="AU26" s="140">
        <v>-109</v>
      </c>
      <c r="AV26" s="149" t="s">
        <v>1164</v>
      </c>
      <c r="AW26" s="12">
        <v>45935</v>
      </c>
      <c r="AX26" s="140">
        <v>3</v>
      </c>
      <c r="AY26" s="149" t="s">
        <v>1164</v>
      </c>
      <c r="AZ26" s="11"/>
      <c r="BA26" s="11" t="s">
        <v>575</v>
      </c>
    </row>
    <row r="27" spans="3:53" x14ac:dyDescent="0.3">
      <c r="C27" s="7">
        <v>23</v>
      </c>
      <c r="D27" s="24" t="s">
        <v>153</v>
      </c>
      <c r="E27" s="8" t="s">
        <v>133</v>
      </c>
      <c r="F27" s="13" t="s">
        <v>966</v>
      </c>
      <c r="G27" s="128">
        <f>IFERROR(VLOOKUP(Pólizas48[[#This Row],[PLACA]],ITV_LA[#All],8,0),"")</f>
        <v>45363</v>
      </c>
      <c r="H27" s="128">
        <f>IFERROR(VLOOKUP(Pólizas48[[#This Row],[PLACA]],ITV_LA[#All],9,0),"")</f>
        <v>46458</v>
      </c>
      <c r="I27" s="8">
        <f ca="1">IFERROR(Pólizas48[[#This Row],[Fecha de vencimiento '[RTV']]]-$I$3,"")</f>
        <v>490</v>
      </c>
      <c r="J27" s="27" t="str">
        <f ca="1">IF(Pólizas48[[#This Row],[Fecha de vencimiento '[RTV']]]="","",IF(Pólizas48[[#This Row],[Fecha de vencimiento '[RTV']]]&lt;TODAY(),"Vencido","Vigente"))</f>
        <v>Vigente</v>
      </c>
      <c r="K27" s="27">
        <f>IFERROR(MONTH(Pólizas48[[#This Row],[Fecha de Emision '[RTV']]]),"")</f>
        <v>3</v>
      </c>
      <c r="L27" s="27">
        <f>IFERROR(YEAR(Pólizas48[[#This Row],[Fecha de Emision '[RTV']]]),"")</f>
        <v>2024</v>
      </c>
      <c r="M27" s="27" t="s">
        <v>37</v>
      </c>
      <c r="N27" s="27" t="s">
        <v>48</v>
      </c>
      <c r="O27" s="27" t="s">
        <v>989</v>
      </c>
      <c r="P2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27" s="27">
        <f>VLOOKUP(Pólizas48[[#This Row],[Categoría]],$BD$4:$BG$8,4,0)</f>
        <v>90</v>
      </c>
      <c r="R27" s="27">
        <f>IF(Pólizas48[[#This Row],[Inspección]]=2024,2025,Pólizas48[[#This Row],[Inspección]])</f>
        <v>2027</v>
      </c>
      <c r="T27" s="129" t="s">
        <v>54</v>
      </c>
      <c r="U27" s="130">
        <f>SUMIFS(Pólizas48[Precio S/.(CITV)],Pólizas48[Familia],$T27,Pólizas48[Prox Insp],2026,Pólizas48[Mes Inicia Pago],U$18)+U12</f>
        <v>0</v>
      </c>
      <c r="V27" s="130">
        <f>SUMIFS(Pólizas48[Precio S/.(CITV)],Pólizas48[Familia],$T27,Pólizas48[Prox Insp],2026,Pólizas48[Mes Inicia Pago],V$18)+V12</f>
        <v>0</v>
      </c>
      <c r="W27" s="130">
        <f>SUMIFS(Pólizas48[Precio S/.(CITV)],Pólizas48[Familia],$T27,Pólizas48[Prox Insp],2026,Pólizas48[Mes Inicia Pago],W$18)+W12</f>
        <v>0</v>
      </c>
      <c r="X27" s="130">
        <f>SUMIFS(Pólizas48[Precio S/.(CITV)],Pólizas48[Familia],$T27,Pólizas48[Prox Insp],2026,Pólizas48[Mes Inicia Pago],X$18)+X12</f>
        <v>0</v>
      </c>
      <c r="Y27" s="130">
        <f>SUMIFS(Pólizas48[Precio S/.(CITV)],Pólizas48[Familia],$T27,Pólizas48[Prox Insp],2026,Pólizas48[Mes Inicia Pago],Y$18)+Y12</f>
        <v>0</v>
      </c>
      <c r="Z27" s="130">
        <f>SUMIFS(Pólizas48[Precio S/.(CITV)],Pólizas48[Familia],$T27,Pólizas48[Prox Insp],2026,Pólizas48[Mes Inicia Pago],Z$18)+Z12</f>
        <v>0</v>
      </c>
      <c r="AA27" s="130">
        <f>SUMIFS(Pólizas48[Precio S/.(CITV)],Pólizas48[Familia],$T27,Pólizas48[Prox Insp],2026,Pólizas48[Mes Inicia Pago],AA$18)+AA12</f>
        <v>0</v>
      </c>
      <c r="AB27" s="130">
        <f>SUMIFS(Pólizas48[Precio S/.(CITV)],Pólizas48[Familia],$T27,Pólizas48[Prox Insp],2026,Pólizas48[Mes Inicia Pago],AB$18)+AB12</f>
        <v>0</v>
      </c>
      <c r="AC27" s="130">
        <f>SUMIFS(Pólizas48[Precio S/.(CITV)],Pólizas48[Familia],$T27,Pólizas48[Prox Insp],2026,Pólizas48[Mes Inicia Pago],AC$18)+AC12</f>
        <v>0</v>
      </c>
      <c r="AD27" s="130">
        <f>SUMIFS(Pólizas48[Precio S/.(CITV)],Pólizas48[Familia],$T27,Pólizas48[Prox Insp],2026,Pólizas48[Mes Inicia Pago],AD$18)+AD12</f>
        <v>0</v>
      </c>
      <c r="AE27" s="130">
        <f>SUMIFS(Pólizas48[Precio S/.(CITV)],Pólizas48[Familia],$T27,Pólizas48[Prox Insp],2026,Pólizas48[Mes Inicia Pago],AE$18)+AE12</f>
        <v>0</v>
      </c>
      <c r="AF27" s="130">
        <f>SUMIFS(Pólizas48[Precio S/.(CITV)],Pólizas48[Familia],$T27,Pólizas48[Prox Insp],2026,Pólizas48[Mes Inicia Pago],AF$18)+AF12</f>
        <v>0</v>
      </c>
      <c r="AG27" s="40">
        <f t="shared" si="2"/>
        <v>0</v>
      </c>
      <c r="AL27" s="147" t="s">
        <v>517</v>
      </c>
      <c r="AM27" s="139" t="s">
        <v>1006</v>
      </c>
      <c r="AN27" s="139" t="s">
        <v>979</v>
      </c>
      <c r="AO27" s="139" t="s">
        <v>985</v>
      </c>
      <c r="AP27" s="139" t="s">
        <v>992</v>
      </c>
      <c r="AQ27" s="139" t="s">
        <v>993</v>
      </c>
      <c r="AR27" s="139" t="s">
        <v>988</v>
      </c>
      <c r="AS27" s="12">
        <v>45446</v>
      </c>
      <c r="AT27" s="148">
        <v>45811</v>
      </c>
      <c r="AU27" s="140">
        <v>-121</v>
      </c>
      <c r="AV27" s="149" t="s">
        <v>1164</v>
      </c>
      <c r="AW27" s="148">
        <v>45799</v>
      </c>
      <c r="AX27" s="140">
        <v>-133</v>
      </c>
      <c r="AY27" s="149" t="s">
        <v>1164</v>
      </c>
      <c r="AZ27" s="11"/>
      <c r="BA27" s="11" t="s">
        <v>575</v>
      </c>
    </row>
    <row r="28" spans="3:53" x14ac:dyDescent="0.3">
      <c r="C28" s="7">
        <v>24</v>
      </c>
      <c r="D28" s="24" t="s">
        <v>161</v>
      </c>
      <c r="E28" s="8" t="s">
        <v>133</v>
      </c>
      <c r="F28" s="13" t="s">
        <v>966</v>
      </c>
      <c r="G28" s="128">
        <f>IFERROR(VLOOKUP(Pólizas48[[#This Row],[PLACA]],ITV_LA[#All],8,0),"")</f>
        <v>45363</v>
      </c>
      <c r="H28" s="128">
        <f>IFERROR(VLOOKUP(Pólizas48[[#This Row],[PLACA]],ITV_LA[#All],9,0),"")</f>
        <v>46458</v>
      </c>
      <c r="I28" s="8">
        <f ca="1">IFERROR(Pólizas48[[#This Row],[Fecha de vencimiento '[RTV']]]-$I$3,"")</f>
        <v>490</v>
      </c>
      <c r="J28" s="27" t="str">
        <f ca="1">IF(Pólizas48[[#This Row],[Fecha de vencimiento '[RTV']]]="","",IF(Pólizas48[[#This Row],[Fecha de vencimiento '[RTV']]]&lt;TODAY(),"Vencido","Vigente"))</f>
        <v>Vigente</v>
      </c>
      <c r="K28" s="27">
        <f>IFERROR(MONTH(Pólizas48[[#This Row],[Fecha de Emision '[RTV']]]),"")</f>
        <v>3</v>
      </c>
      <c r="L28" s="27">
        <f>IFERROR(YEAR(Pólizas48[[#This Row],[Fecha de Emision '[RTV']]]),"")</f>
        <v>2024</v>
      </c>
      <c r="M28" s="27" t="s">
        <v>37</v>
      </c>
      <c r="N28" s="27" t="s">
        <v>48</v>
      </c>
      <c r="O28" s="27" t="s">
        <v>989</v>
      </c>
      <c r="P2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28" s="27">
        <f>VLOOKUP(Pólizas48[[#This Row],[Categoría]],$BD$4:$BG$8,4,0)</f>
        <v>90</v>
      </c>
      <c r="R28" s="27">
        <f>IF(Pólizas48[[#This Row],[Inspección]]=2024,2025,Pólizas48[[#This Row],[Inspección]])</f>
        <v>2027</v>
      </c>
      <c r="T28" s="129" t="s">
        <v>56</v>
      </c>
      <c r="U28" s="130">
        <f>SUMIFS(Pólizas48[Precio S/.(CITV)],Pólizas48[Familia],$T28,Pólizas48[Prox Insp],2026,Pólizas48[Mes Inicia Pago],U$18)+U13</f>
        <v>0</v>
      </c>
      <c r="V28" s="130">
        <f>SUMIFS(Pólizas48[Precio S/.(CITV)],Pólizas48[Familia],$T28,Pólizas48[Prox Insp],2026,Pólizas48[Mes Inicia Pago],V$18)+V13</f>
        <v>0</v>
      </c>
      <c r="W28" s="130">
        <f>SUMIFS(Pólizas48[Precio S/.(CITV)],Pólizas48[Familia],$T28,Pólizas48[Prox Insp],2026,Pólizas48[Mes Inicia Pago],W$18)+W13</f>
        <v>0</v>
      </c>
      <c r="X28" s="130">
        <f>SUMIFS(Pólizas48[Precio S/.(CITV)],Pólizas48[Familia],$T28,Pólizas48[Prox Insp],2026,Pólizas48[Mes Inicia Pago],X$18)+X13</f>
        <v>0</v>
      </c>
      <c r="Y28" s="130">
        <f>SUMIFS(Pólizas48[Precio S/.(CITV)],Pólizas48[Familia],$T28,Pólizas48[Prox Insp],2026,Pólizas48[Mes Inicia Pago],Y$18)+Y13</f>
        <v>0</v>
      </c>
      <c r="Z28" s="130">
        <f>SUMIFS(Pólizas48[Precio S/.(CITV)],Pólizas48[Familia],$T28,Pólizas48[Prox Insp],2026,Pólizas48[Mes Inicia Pago],Z$18)+Z13</f>
        <v>0</v>
      </c>
      <c r="AA28" s="130">
        <f>SUMIFS(Pólizas48[Precio S/.(CITV)],Pólizas48[Familia],$T28,Pólizas48[Prox Insp],2026,Pólizas48[Mes Inicia Pago],AA$18)+AA13</f>
        <v>0</v>
      </c>
      <c r="AB28" s="130">
        <f>SUMIFS(Pólizas48[Precio S/.(CITV)],Pólizas48[Familia],$T28,Pólizas48[Prox Insp],2026,Pólizas48[Mes Inicia Pago],AB$18)+AB13</f>
        <v>0</v>
      </c>
      <c r="AC28" s="130">
        <f>SUMIFS(Pólizas48[Precio S/.(CITV)],Pólizas48[Familia],$T28,Pólizas48[Prox Insp],2026,Pólizas48[Mes Inicia Pago],AC$18)+AC13</f>
        <v>0</v>
      </c>
      <c r="AD28" s="130">
        <f>SUMIFS(Pólizas48[Precio S/.(CITV)],Pólizas48[Familia],$T28,Pólizas48[Prox Insp],2026,Pólizas48[Mes Inicia Pago],AD$18)+AD13</f>
        <v>0</v>
      </c>
      <c r="AE28" s="130">
        <f>SUMIFS(Pólizas48[Precio S/.(CITV)],Pólizas48[Familia],$T28,Pólizas48[Prox Insp],2026,Pólizas48[Mes Inicia Pago],AE$18)+AE13</f>
        <v>0</v>
      </c>
      <c r="AF28" s="130">
        <f>SUMIFS(Pólizas48[Precio S/.(CITV)],Pólizas48[Familia],$T28,Pólizas48[Prox Insp],2026,Pólizas48[Mes Inicia Pago],AF$18)+AF13</f>
        <v>0</v>
      </c>
      <c r="AG28" s="40">
        <f t="shared" si="2"/>
        <v>0</v>
      </c>
      <c r="AL28" s="147" t="s">
        <v>1014</v>
      </c>
      <c r="AM28" s="139" t="s">
        <v>1015</v>
      </c>
      <c r="AN28" s="139" t="s">
        <v>985</v>
      </c>
      <c r="AO28" s="139" t="s">
        <v>985</v>
      </c>
      <c r="AP28" s="139" t="s">
        <v>992</v>
      </c>
      <c r="AQ28" s="139" t="s">
        <v>1016</v>
      </c>
      <c r="AR28" s="139" t="s">
        <v>994</v>
      </c>
      <c r="AS28" s="12">
        <v>45615</v>
      </c>
      <c r="AT28" s="148">
        <v>45796</v>
      </c>
      <c r="AU28" s="140">
        <v>-136</v>
      </c>
      <c r="AV28" s="149" t="s">
        <v>1164</v>
      </c>
      <c r="AW28" s="12">
        <v>45967</v>
      </c>
      <c r="AX28" s="140">
        <v>35</v>
      </c>
      <c r="AY28" s="149" t="s">
        <v>1163</v>
      </c>
      <c r="AZ28" s="11"/>
      <c r="BA28" s="11" t="s">
        <v>575</v>
      </c>
    </row>
    <row r="29" spans="3:53" x14ac:dyDescent="0.3">
      <c r="C29" s="7">
        <v>25</v>
      </c>
      <c r="D29" s="24" t="s">
        <v>154</v>
      </c>
      <c r="E29" s="8" t="s">
        <v>133</v>
      </c>
      <c r="F29" s="13" t="s">
        <v>966</v>
      </c>
      <c r="G29" s="128">
        <f>IFERROR(VLOOKUP(Pólizas48[[#This Row],[PLACA]],ITV_LA[#All],8,0),"")</f>
        <v>45363</v>
      </c>
      <c r="H29" s="128">
        <f>IFERROR(VLOOKUP(Pólizas48[[#This Row],[PLACA]],ITV_LA[#All],9,0),"")</f>
        <v>46458</v>
      </c>
      <c r="I29" s="8">
        <f ca="1">IFERROR(Pólizas48[[#This Row],[Fecha de vencimiento '[RTV']]]-$I$3,"")</f>
        <v>490</v>
      </c>
      <c r="J29" s="27" t="str">
        <f ca="1">IF(Pólizas48[[#This Row],[Fecha de vencimiento '[RTV']]]="","",IF(Pólizas48[[#This Row],[Fecha de vencimiento '[RTV']]]&lt;TODAY(),"Vencido","Vigente"))</f>
        <v>Vigente</v>
      </c>
      <c r="K29" s="27">
        <f>IFERROR(MONTH(Pólizas48[[#This Row],[Fecha de Emision '[RTV']]]),"")</f>
        <v>3</v>
      </c>
      <c r="L29" s="27">
        <f>IFERROR(YEAR(Pólizas48[[#This Row],[Fecha de Emision '[RTV']]]),"")</f>
        <v>2024</v>
      </c>
      <c r="M29" s="27" t="s">
        <v>37</v>
      </c>
      <c r="N29" s="27" t="s">
        <v>48</v>
      </c>
      <c r="O29" s="27" t="s">
        <v>989</v>
      </c>
      <c r="P2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29" s="27">
        <f>VLOOKUP(Pólizas48[[#This Row],[Categoría]],$BD$4:$BG$8,4,0)</f>
        <v>90</v>
      </c>
      <c r="R29" s="27">
        <f>IF(Pólizas48[[#This Row],[Inspección]]=2024,2025,Pólizas48[[#This Row],[Inspección]])</f>
        <v>2027</v>
      </c>
      <c r="T29" s="129" t="s">
        <v>58</v>
      </c>
      <c r="U29" s="130">
        <f>SUMIFS(Pólizas48[Precio S/.(CITV)],Pólizas48[Familia],$T29,Pólizas48[Prox Insp],2026,Pólizas48[Mes Inicia Pago],U$18)+U14</f>
        <v>0</v>
      </c>
      <c r="V29" s="130">
        <f>SUMIFS(Pólizas48[Precio S/.(CITV)],Pólizas48[Familia],$T29,Pólizas48[Prox Insp],2026,Pólizas48[Mes Inicia Pago],V$18)+V14</f>
        <v>360</v>
      </c>
      <c r="W29" s="130">
        <f>SUMIFS(Pólizas48[Precio S/.(CITV)],Pólizas48[Familia],$T29,Pólizas48[Prox Insp],2026,Pólizas48[Mes Inicia Pago],W$18)+W14</f>
        <v>0</v>
      </c>
      <c r="X29" s="130">
        <f>SUMIFS(Pólizas48[Precio S/.(CITV)],Pólizas48[Familia],$T29,Pólizas48[Prox Insp],2026,Pólizas48[Mes Inicia Pago],X$18)+X14</f>
        <v>0</v>
      </c>
      <c r="Y29" s="130">
        <f>SUMIFS(Pólizas48[Precio S/.(CITV)],Pólizas48[Familia],$T29,Pólizas48[Prox Insp],2026,Pólizas48[Mes Inicia Pago],Y$18)+Y14</f>
        <v>0</v>
      </c>
      <c r="Z29" s="130">
        <f>SUMIFS(Pólizas48[Precio S/.(CITV)],Pólizas48[Familia],$T29,Pólizas48[Prox Insp],2026,Pólizas48[Mes Inicia Pago],Z$18)+Z14</f>
        <v>0</v>
      </c>
      <c r="AA29" s="130">
        <f>SUMIFS(Pólizas48[Precio S/.(CITV)],Pólizas48[Familia],$T29,Pólizas48[Prox Insp],2026,Pólizas48[Mes Inicia Pago],AA$18)+AA14</f>
        <v>0</v>
      </c>
      <c r="AB29" s="130">
        <f>SUMIFS(Pólizas48[Precio S/.(CITV)],Pólizas48[Familia],$T29,Pólizas48[Prox Insp],2026,Pólizas48[Mes Inicia Pago],AB$18)+AB14</f>
        <v>0</v>
      </c>
      <c r="AC29" s="130">
        <f>SUMIFS(Pólizas48[Precio S/.(CITV)],Pólizas48[Familia],$T29,Pólizas48[Prox Insp],2026,Pólizas48[Mes Inicia Pago],AC$18)+AC14</f>
        <v>0</v>
      </c>
      <c r="AD29" s="130">
        <f>SUMIFS(Pólizas48[Precio S/.(CITV)],Pólizas48[Familia],$T29,Pólizas48[Prox Insp],2026,Pólizas48[Mes Inicia Pago],AD$18)+AD14</f>
        <v>0</v>
      </c>
      <c r="AE29" s="130">
        <f>SUMIFS(Pólizas48[Precio S/.(CITV)],Pólizas48[Familia],$T29,Pólizas48[Prox Insp],2026,Pólizas48[Mes Inicia Pago],AE$18)+AE14</f>
        <v>0</v>
      </c>
      <c r="AF29" s="130">
        <f>SUMIFS(Pólizas48[Precio S/.(CITV)],Pólizas48[Familia],$T29,Pólizas48[Prox Insp],2026,Pólizas48[Mes Inicia Pago],AF$18)+AF14</f>
        <v>0</v>
      </c>
      <c r="AG29" s="40">
        <f t="shared" si="2"/>
        <v>360</v>
      </c>
      <c r="AL29" s="147" t="s">
        <v>1017</v>
      </c>
      <c r="AM29" s="139" t="s">
        <v>978</v>
      </c>
      <c r="AN29" s="139" t="s">
        <v>979</v>
      </c>
      <c r="AO29" s="139" t="s">
        <v>971</v>
      </c>
      <c r="AP29" s="139" t="s">
        <v>972</v>
      </c>
      <c r="AQ29" s="139" t="s">
        <v>1018</v>
      </c>
      <c r="AR29" s="139" t="s">
        <v>1004</v>
      </c>
      <c r="AS29" s="12">
        <v>45474</v>
      </c>
      <c r="AT29" s="148">
        <v>45839</v>
      </c>
      <c r="AU29" s="140">
        <v>-93</v>
      </c>
      <c r="AV29" s="149" t="s">
        <v>1164</v>
      </c>
      <c r="AW29" s="12">
        <v>45840</v>
      </c>
      <c r="AX29" s="140">
        <v>-92</v>
      </c>
      <c r="AY29" s="149" t="s">
        <v>1164</v>
      </c>
      <c r="AZ29" s="11"/>
      <c r="BA29" s="11" t="s">
        <v>575</v>
      </c>
    </row>
    <row r="30" spans="3:53" x14ac:dyDescent="0.3">
      <c r="C30" s="7">
        <v>26</v>
      </c>
      <c r="D30" s="24" t="s">
        <v>155</v>
      </c>
      <c r="E30" s="8" t="s">
        <v>133</v>
      </c>
      <c r="F30" s="13" t="s">
        <v>966</v>
      </c>
      <c r="G30" s="128">
        <f>IFERROR(VLOOKUP(Pólizas48[[#This Row],[PLACA]],ITV_LA[#All],8,0),"")</f>
        <v>45363</v>
      </c>
      <c r="H30" s="128">
        <f>IFERROR(VLOOKUP(Pólizas48[[#This Row],[PLACA]],ITV_LA[#All],9,0),"")</f>
        <v>46458</v>
      </c>
      <c r="I30" s="8">
        <f ca="1">IFERROR(Pólizas48[[#This Row],[Fecha de vencimiento '[RTV']]]-$I$3,"")</f>
        <v>490</v>
      </c>
      <c r="J30" s="27" t="str">
        <f ca="1">IF(Pólizas48[[#This Row],[Fecha de vencimiento '[RTV']]]="","",IF(Pólizas48[[#This Row],[Fecha de vencimiento '[RTV']]]&lt;TODAY(),"Vencido","Vigente"))</f>
        <v>Vigente</v>
      </c>
      <c r="K30" s="27">
        <f>IFERROR(MONTH(Pólizas48[[#This Row],[Fecha de Emision '[RTV']]]),"")</f>
        <v>3</v>
      </c>
      <c r="L30" s="27">
        <f>IFERROR(YEAR(Pólizas48[[#This Row],[Fecha de Emision '[RTV']]]),"")</f>
        <v>2024</v>
      </c>
      <c r="M30" s="27" t="s">
        <v>37</v>
      </c>
      <c r="N30" s="27" t="s">
        <v>48</v>
      </c>
      <c r="O30" s="27" t="s">
        <v>989</v>
      </c>
      <c r="P3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30" s="27">
        <f>VLOOKUP(Pólizas48[[#This Row],[Categoría]],$BD$4:$BG$8,4,0)</f>
        <v>90</v>
      </c>
      <c r="R30" s="27">
        <f>IF(Pólizas48[[#This Row],[Inspección]]=2024,2025,Pólizas48[[#This Row],[Inspección]])</f>
        <v>2027</v>
      </c>
      <c r="T30" s="131" t="s">
        <v>23</v>
      </c>
      <c r="U30" s="40">
        <f>SUM(U20:U29)</f>
        <v>0</v>
      </c>
      <c r="V30" s="40">
        <f t="shared" ref="V30:AF30" si="3">SUM(V20:V29)</f>
        <v>360</v>
      </c>
      <c r="W30" s="40">
        <f t="shared" si="3"/>
        <v>0</v>
      </c>
      <c r="X30" s="40">
        <f t="shared" si="3"/>
        <v>1943</v>
      </c>
      <c r="Y30" s="40">
        <f t="shared" si="3"/>
        <v>0</v>
      </c>
      <c r="Z30" s="40">
        <f t="shared" si="3"/>
        <v>1200</v>
      </c>
      <c r="AA30" s="40">
        <f t="shared" si="3"/>
        <v>0</v>
      </c>
      <c r="AB30" s="40">
        <f t="shared" si="3"/>
        <v>0</v>
      </c>
      <c r="AC30" s="40">
        <f t="shared" si="3"/>
        <v>0</v>
      </c>
      <c r="AD30" s="40">
        <f t="shared" si="3"/>
        <v>0</v>
      </c>
      <c r="AE30" s="40">
        <f t="shared" si="3"/>
        <v>0</v>
      </c>
      <c r="AF30" s="40">
        <f t="shared" si="3"/>
        <v>0</v>
      </c>
      <c r="AG30" s="132">
        <f t="shared" si="2"/>
        <v>3503</v>
      </c>
      <c r="AL30" s="147" t="s">
        <v>1019</v>
      </c>
      <c r="AM30" s="139" t="s">
        <v>1006</v>
      </c>
      <c r="AN30" s="139" t="s">
        <v>979</v>
      </c>
      <c r="AO30" s="139" t="s">
        <v>996</v>
      </c>
      <c r="AP30" s="139" t="s">
        <v>997</v>
      </c>
      <c r="AQ30" s="139" t="s">
        <v>998</v>
      </c>
      <c r="AR30" s="139" t="s">
        <v>1004</v>
      </c>
      <c r="AS30" s="12">
        <v>45482</v>
      </c>
      <c r="AT30" s="148">
        <v>45847</v>
      </c>
      <c r="AU30" s="140">
        <v>-85</v>
      </c>
      <c r="AV30" s="149" t="s">
        <v>1164</v>
      </c>
      <c r="AW30" s="12">
        <v>45981</v>
      </c>
      <c r="AX30" s="140">
        <v>49</v>
      </c>
      <c r="AY30" s="149" t="s">
        <v>1163</v>
      </c>
      <c r="AZ30" s="11"/>
      <c r="BA30" s="11" t="s">
        <v>575</v>
      </c>
    </row>
    <row r="31" spans="3:53" x14ac:dyDescent="0.3">
      <c r="C31" s="7">
        <v>27</v>
      </c>
      <c r="D31" s="24" t="s">
        <v>156</v>
      </c>
      <c r="E31" s="8" t="s">
        <v>133</v>
      </c>
      <c r="F31" s="13" t="s">
        <v>966</v>
      </c>
      <c r="G31" s="128">
        <f>IFERROR(VLOOKUP(Pólizas48[[#This Row],[PLACA]],ITV_LA[#All],8,0),"")</f>
        <v>45363</v>
      </c>
      <c r="H31" s="128">
        <f>IFERROR(VLOOKUP(Pólizas48[[#This Row],[PLACA]],ITV_LA[#All],9,0),"")</f>
        <v>46458</v>
      </c>
      <c r="I31" s="8">
        <f ca="1">IFERROR(Pólizas48[[#This Row],[Fecha de vencimiento '[RTV']]]-$I$3,"")</f>
        <v>490</v>
      </c>
      <c r="J31" s="27" t="str">
        <f ca="1">IF(Pólizas48[[#This Row],[Fecha de vencimiento '[RTV']]]="","",IF(Pólizas48[[#This Row],[Fecha de vencimiento '[RTV']]]&lt;TODAY(),"Vencido","Vigente"))</f>
        <v>Vigente</v>
      </c>
      <c r="K31" s="27">
        <f>IFERROR(MONTH(Pólizas48[[#This Row],[Fecha de Emision '[RTV']]]),"")</f>
        <v>3</v>
      </c>
      <c r="L31" s="27">
        <f>IFERROR(YEAR(Pólizas48[[#This Row],[Fecha de Emision '[RTV']]]),"")</f>
        <v>2024</v>
      </c>
      <c r="M31" s="27" t="s">
        <v>37</v>
      </c>
      <c r="N31" s="27" t="s">
        <v>48</v>
      </c>
      <c r="O31" s="27" t="s">
        <v>989</v>
      </c>
      <c r="P3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31" s="27">
        <f>VLOOKUP(Pólizas48[[#This Row],[Categoría]],$BD$4:$BG$8,4,0)</f>
        <v>90</v>
      </c>
      <c r="R31" s="27">
        <f>IF(Pólizas48[[#This Row],[Inspección]]=2024,2025,Pólizas48[[#This Row],[Inspección]])</f>
        <v>2027</v>
      </c>
      <c r="AL31" s="147" t="s">
        <v>1020</v>
      </c>
      <c r="AM31" s="139" t="s">
        <v>1021</v>
      </c>
      <c r="AN31" s="139" t="s">
        <v>985</v>
      </c>
      <c r="AO31" s="139" t="s">
        <v>985</v>
      </c>
      <c r="AP31" s="139" t="s">
        <v>992</v>
      </c>
      <c r="AQ31" s="139" t="s">
        <v>1016</v>
      </c>
      <c r="AR31" s="139" t="s">
        <v>994</v>
      </c>
      <c r="AS31" s="12">
        <v>45615</v>
      </c>
      <c r="AT31" s="148">
        <v>45796</v>
      </c>
      <c r="AU31" s="140">
        <v>-136</v>
      </c>
      <c r="AV31" s="149" t="s">
        <v>1164</v>
      </c>
      <c r="AW31" s="12">
        <v>45967</v>
      </c>
      <c r="AX31" s="140">
        <v>35</v>
      </c>
      <c r="AY31" s="149" t="s">
        <v>1163</v>
      </c>
      <c r="AZ31" s="11"/>
      <c r="BA31" s="11" t="s">
        <v>575</v>
      </c>
    </row>
    <row r="32" spans="3:53" x14ac:dyDescent="0.3">
      <c r="C32" s="7">
        <v>28</v>
      </c>
      <c r="D32" s="24" t="s">
        <v>157</v>
      </c>
      <c r="E32" s="8" t="s">
        <v>133</v>
      </c>
      <c r="F32" s="13" t="s">
        <v>966</v>
      </c>
      <c r="G32" s="128">
        <f>IFERROR(VLOOKUP(Pólizas48[[#This Row],[PLACA]],ITV_LA[#All],8,0),"")</f>
        <v>45363</v>
      </c>
      <c r="H32" s="128">
        <f>IFERROR(VLOOKUP(Pólizas48[[#This Row],[PLACA]],ITV_LA[#All],9,0),"")</f>
        <v>46458</v>
      </c>
      <c r="I32" s="8">
        <f ca="1">IFERROR(Pólizas48[[#This Row],[Fecha de vencimiento '[RTV']]]-$I$3,"")</f>
        <v>490</v>
      </c>
      <c r="J32" s="27" t="str">
        <f ca="1">IF(Pólizas48[[#This Row],[Fecha de vencimiento '[RTV']]]="","",IF(Pólizas48[[#This Row],[Fecha de vencimiento '[RTV']]]&lt;TODAY(),"Vencido","Vigente"))</f>
        <v>Vigente</v>
      </c>
      <c r="K32" s="27">
        <f>IFERROR(MONTH(Pólizas48[[#This Row],[Fecha de Emision '[RTV']]]),"")</f>
        <v>3</v>
      </c>
      <c r="L32" s="27">
        <f>IFERROR(YEAR(Pólizas48[[#This Row],[Fecha de Emision '[RTV']]]),"")</f>
        <v>2024</v>
      </c>
      <c r="M32" s="27" t="s">
        <v>37</v>
      </c>
      <c r="N32" s="27" t="s">
        <v>48</v>
      </c>
      <c r="O32" s="27" t="s">
        <v>989</v>
      </c>
      <c r="P3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32" s="27">
        <f>VLOOKUP(Pólizas48[[#This Row],[Categoría]],$BD$4:$BG$8,4,0)</f>
        <v>90</v>
      </c>
      <c r="R32" s="27">
        <f>IF(Pólizas48[[#This Row],[Inspección]]=2024,2025,Pólizas48[[#This Row],[Inspección]])</f>
        <v>2027</v>
      </c>
      <c r="T32">
        <v>2027</v>
      </c>
      <c r="U32">
        <v>1</v>
      </c>
      <c r="V32">
        <v>2</v>
      </c>
      <c r="W32">
        <v>3</v>
      </c>
      <c r="X32">
        <v>4</v>
      </c>
      <c r="Y32">
        <v>5</v>
      </c>
      <c r="Z32">
        <v>6</v>
      </c>
      <c r="AA32">
        <v>7</v>
      </c>
      <c r="AB32">
        <v>8</v>
      </c>
      <c r="AC32">
        <v>9</v>
      </c>
      <c r="AD32">
        <v>10</v>
      </c>
      <c r="AE32">
        <v>11</v>
      </c>
      <c r="AF32">
        <v>12</v>
      </c>
      <c r="AL32" s="147" t="s">
        <v>511</v>
      </c>
      <c r="AM32" s="139" t="s">
        <v>1006</v>
      </c>
      <c r="AN32" s="139" t="s">
        <v>979</v>
      </c>
      <c r="AO32" s="139" t="s">
        <v>985</v>
      </c>
      <c r="AP32" s="139" t="s">
        <v>986</v>
      </c>
      <c r="AQ32" s="139" t="s">
        <v>987</v>
      </c>
      <c r="AR32" s="139" t="s">
        <v>981</v>
      </c>
      <c r="AS32" s="148">
        <v>45454</v>
      </c>
      <c r="AT32" s="148">
        <v>45819</v>
      </c>
      <c r="AU32" s="140">
        <v>-113</v>
      </c>
      <c r="AV32" s="149" t="s">
        <v>1164</v>
      </c>
      <c r="AW32" s="148">
        <v>45799</v>
      </c>
      <c r="AX32" s="140">
        <v>-133</v>
      </c>
      <c r="AY32" s="149" t="s">
        <v>1164</v>
      </c>
      <c r="AZ32" s="11"/>
      <c r="BA32" s="11" t="s">
        <v>575</v>
      </c>
    </row>
    <row r="33" spans="3:53" x14ac:dyDescent="0.3">
      <c r="C33" s="7">
        <v>29</v>
      </c>
      <c r="D33" s="24" t="s">
        <v>158</v>
      </c>
      <c r="E33" s="8" t="s">
        <v>133</v>
      </c>
      <c r="F33" s="13" t="s">
        <v>966</v>
      </c>
      <c r="G33" s="128">
        <f>IFERROR(VLOOKUP(Pólizas48[[#This Row],[PLACA]],ITV_LA[#All],8,0),"")</f>
        <v>45363</v>
      </c>
      <c r="H33" s="128">
        <f>IFERROR(VLOOKUP(Pólizas48[[#This Row],[PLACA]],ITV_LA[#All],9,0),"")</f>
        <v>46458</v>
      </c>
      <c r="I33" s="8">
        <f ca="1">IFERROR(Pólizas48[[#This Row],[Fecha de vencimiento '[RTV']]]-$I$3,"")</f>
        <v>490</v>
      </c>
      <c r="J33" s="27" t="str">
        <f ca="1">IF(Pólizas48[[#This Row],[Fecha de vencimiento '[RTV']]]="","",IF(Pólizas48[[#This Row],[Fecha de vencimiento '[RTV']]]&lt;TODAY(),"Vencido","Vigente"))</f>
        <v>Vigente</v>
      </c>
      <c r="K33" s="27">
        <f>IFERROR(MONTH(Pólizas48[[#This Row],[Fecha de Emision '[RTV']]]),"")</f>
        <v>3</v>
      </c>
      <c r="L33" s="27">
        <f>IFERROR(YEAR(Pólizas48[[#This Row],[Fecha de Emision '[RTV']]]),"")</f>
        <v>2024</v>
      </c>
      <c r="M33" s="27" t="s">
        <v>37</v>
      </c>
      <c r="N33" s="27" t="s">
        <v>48</v>
      </c>
      <c r="O33" s="27" t="s">
        <v>989</v>
      </c>
      <c r="P3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33" s="27">
        <f>VLOOKUP(Pólizas48[[#This Row],[Categoría]],$BD$4:$BG$8,4,0)</f>
        <v>90</v>
      </c>
      <c r="R33" s="27">
        <f>IF(Pólizas48[[#This Row],[Inspección]]=2024,2025,Pólizas48[[#This Row],[Inspección]])</f>
        <v>2027</v>
      </c>
      <c r="T33" s="125" t="s">
        <v>31</v>
      </c>
      <c r="U33" s="126" t="s">
        <v>11</v>
      </c>
      <c r="V33" s="126" t="s">
        <v>12</v>
      </c>
      <c r="W33" s="126" t="s">
        <v>13</v>
      </c>
      <c r="X33" s="126" t="s">
        <v>14</v>
      </c>
      <c r="Y33" s="126" t="s">
        <v>15</v>
      </c>
      <c r="Z33" s="126" t="s">
        <v>16</v>
      </c>
      <c r="AA33" s="126" t="s">
        <v>17</v>
      </c>
      <c r="AB33" s="126" t="s">
        <v>18</v>
      </c>
      <c r="AC33" s="126" t="s">
        <v>574</v>
      </c>
      <c r="AD33" s="126" t="s">
        <v>20</v>
      </c>
      <c r="AE33" s="126" t="s">
        <v>21</v>
      </c>
      <c r="AF33" s="126" t="s">
        <v>22</v>
      </c>
      <c r="AG33" s="127" t="s">
        <v>23</v>
      </c>
      <c r="AL33" s="147" t="s">
        <v>1022</v>
      </c>
      <c r="AM33" s="139" t="s">
        <v>978</v>
      </c>
      <c r="AN33" s="139" t="s">
        <v>979</v>
      </c>
      <c r="AO33" s="139" t="s">
        <v>971</v>
      </c>
      <c r="AP33" s="139" t="s">
        <v>972</v>
      </c>
      <c r="AQ33" s="139" t="s">
        <v>973</v>
      </c>
      <c r="AR33" s="139" t="s">
        <v>974</v>
      </c>
      <c r="AS33" s="12">
        <v>45477</v>
      </c>
      <c r="AT33" s="148">
        <v>45842</v>
      </c>
      <c r="AU33" s="140">
        <v>-90</v>
      </c>
      <c r="AV33" s="149" t="s">
        <v>1164</v>
      </c>
      <c r="AW33" s="12">
        <v>45840</v>
      </c>
      <c r="AX33" s="140">
        <v>-92</v>
      </c>
      <c r="AY33" s="149" t="s">
        <v>1164</v>
      </c>
      <c r="AZ33" s="11"/>
      <c r="BA33" s="11" t="s">
        <v>575</v>
      </c>
    </row>
    <row r="34" spans="3:53" x14ac:dyDescent="0.3">
      <c r="C34" s="7">
        <v>30</v>
      </c>
      <c r="D34" s="24" t="s">
        <v>166</v>
      </c>
      <c r="E34" s="8" t="s">
        <v>133</v>
      </c>
      <c r="F34" s="13" t="s">
        <v>966</v>
      </c>
      <c r="G34" s="128">
        <f>IFERROR(VLOOKUP(Pólizas48[[#This Row],[PLACA]],ITV_LA[#All],8,0),"")</f>
        <v>45363</v>
      </c>
      <c r="H34" s="128">
        <f>IFERROR(VLOOKUP(Pólizas48[[#This Row],[PLACA]],ITV_LA[#All],9,0),"")</f>
        <v>46458</v>
      </c>
      <c r="I34" s="8">
        <f ca="1">IFERROR(Pólizas48[[#This Row],[Fecha de vencimiento '[RTV']]]-$I$3,"")</f>
        <v>490</v>
      </c>
      <c r="J34" s="27" t="str">
        <f ca="1">IF(Pólizas48[[#This Row],[Fecha de vencimiento '[RTV']]]="","",IF(Pólizas48[[#This Row],[Fecha de vencimiento '[RTV']]]&lt;TODAY(),"Vencido","Vigente"))</f>
        <v>Vigente</v>
      </c>
      <c r="K34" s="27">
        <f>IFERROR(MONTH(Pólizas48[[#This Row],[Fecha de Emision '[RTV']]]),"")</f>
        <v>3</v>
      </c>
      <c r="L34" s="27">
        <f>IFERROR(YEAR(Pólizas48[[#This Row],[Fecha de Emision '[RTV']]]),"")</f>
        <v>2024</v>
      </c>
      <c r="M34" s="27" t="s">
        <v>37</v>
      </c>
      <c r="N34" s="27" t="s">
        <v>48</v>
      </c>
      <c r="O34" s="27" t="s">
        <v>989</v>
      </c>
      <c r="P3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34" s="27">
        <f>VLOOKUP(Pólizas48[[#This Row],[Categoría]],$BD$4:$BG$8,4,0)</f>
        <v>90</v>
      </c>
      <c r="R34" s="27">
        <f>IF(Pólizas48[[#This Row],[Inspección]]=2024,2025,Pólizas48[[#This Row],[Inspección]])</f>
        <v>2027</v>
      </c>
      <c r="T34" s="129" t="s">
        <v>32</v>
      </c>
      <c r="U34" s="130">
        <f>SUMIFS(Pólizas48[Precio S/.(CITV)],Pólizas48[Familia],$T20,Pólizas48[Prox Insp],2027,Pólizas48[Mes Inicia Pago],U$18)+U20</f>
        <v>0</v>
      </c>
      <c r="V34" s="130">
        <f>SUMIFS(Pólizas48[Precio S/.(CITV)],Pólizas48[Familia],$T20,Pólizas48[Prox Insp],2027,Pólizas48[Mes Inicia Pago],V$18)+V20</f>
        <v>0</v>
      </c>
      <c r="W34" s="130">
        <f>SUMIFS(Pólizas48[Precio S/.(CITV)],Pólizas48[Familia],$T20,Pólizas48[Prox Insp],2027,Pólizas48[Mes Inicia Pago],W$18)+W20</f>
        <v>0</v>
      </c>
      <c r="X34" s="130">
        <f>SUMIFS(Pólizas48[Precio S/.(CITV)],Pólizas48[Familia],$T20,Pólizas48[Prox Insp],2027,Pólizas48[Mes Inicia Pago],X$18)+X20</f>
        <v>43</v>
      </c>
      <c r="Y34" s="130">
        <f>SUMIFS(Pólizas48[Precio S/.(CITV)],Pólizas48[Familia],$T20,Pólizas48[Prox Insp],2027,Pólizas48[Mes Inicia Pago],Y$18)+Y20</f>
        <v>0</v>
      </c>
      <c r="Z34" s="130">
        <f>SUMIFS(Pólizas48[Precio S/.(CITV)],Pólizas48[Familia],$T20,Pólizas48[Prox Insp],2027,Pólizas48[Mes Inicia Pago],Z$18)+Z20</f>
        <v>0</v>
      </c>
      <c r="AA34" s="130">
        <f>SUMIFS(Pólizas48[Precio S/.(CITV)],Pólizas48[Familia],$T20,Pólizas48[Prox Insp],2027,Pólizas48[Mes Inicia Pago],AA$18)+AA20</f>
        <v>0</v>
      </c>
      <c r="AB34" s="130">
        <f>SUMIFS(Pólizas48[Precio S/.(CITV)],Pólizas48[Familia],$T20,Pólizas48[Prox Insp],2027,Pólizas48[Mes Inicia Pago],AB$18)+AB20</f>
        <v>0</v>
      </c>
      <c r="AC34" s="130">
        <f>SUMIFS(Pólizas48[Precio S/.(CITV)],Pólizas48[Familia],$T20,Pólizas48[Prox Insp],2027,Pólizas48[Mes Inicia Pago],AC$18)+AC20</f>
        <v>0</v>
      </c>
      <c r="AD34" s="130">
        <f>SUMIFS(Pólizas48[Precio S/.(CITV)],Pólizas48[Familia],$T20,Pólizas48[Prox Insp],2027,Pólizas48[Mes Inicia Pago],AD$18)+AD20</f>
        <v>0</v>
      </c>
      <c r="AE34" s="130">
        <f>SUMIFS(Pólizas48[Precio S/.(CITV)],Pólizas48[Familia],$T20,Pólizas48[Prox Insp],2027,Pólizas48[Mes Inicia Pago],AE$18)+AE20</f>
        <v>0</v>
      </c>
      <c r="AF34" s="130">
        <f>SUMIFS(Pólizas48[Precio S/.(CITV)],Pólizas48[Familia],$T20,Pólizas48[Prox Insp],2027,Pólizas48[Mes Inicia Pago],AF$18)+AF20</f>
        <v>0</v>
      </c>
      <c r="AG34" s="40">
        <f t="shared" ref="AG34:AG44" si="4">SUM(U34:AF34)</f>
        <v>43</v>
      </c>
      <c r="AL34" s="147" t="s">
        <v>1023</v>
      </c>
      <c r="AM34" s="139" t="s">
        <v>1006</v>
      </c>
      <c r="AN34" s="139" t="s">
        <v>979</v>
      </c>
      <c r="AO34" s="139" t="s">
        <v>985</v>
      </c>
      <c r="AP34" s="139" t="s">
        <v>992</v>
      </c>
      <c r="AQ34" s="139" t="s">
        <v>1016</v>
      </c>
      <c r="AR34" s="139" t="s">
        <v>994</v>
      </c>
      <c r="AS34" s="12">
        <v>45432</v>
      </c>
      <c r="AT34" s="148">
        <v>45797</v>
      </c>
      <c r="AU34" s="140">
        <v>-135</v>
      </c>
      <c r="AV34" s="149" t="s">
        <v>1164</v>
      </c>
      <c r="AW34" s="12">
        <v>45981</v>
      </c>
      <c r="AX34" s="140">
        <v>49</v>
      </c>
      <c r="AY34" s="149" t="s">
        <v>1163</v>
      </c>
      <c r="AZ34" s="11"/>
      <c r="BA34" s="11" t="s">
        <v>575</v>
      </c>
    </row>
    <row r="35" spans="3:53" x14ac:dyDescent="0.3">
      <c r="C35" s="7">
        <v>31</v>
      </c>
      <c r="D35" s="24" t="s">
        <v>93</v>
      </c>
      <c r="E35" s="8" t="s">
        <v>71</v>
      </c>
      <c r="F35" s="13" t="s">
        <v>966</v>
      </c>
      <c r="G35" s="128">
        <f>IFERROR(VLOOKUP(Pólizas48[[#This Row],[PLACA]],ITV_LA[#All],8,0),"")</f>
        <v>45370</v>
      </c>
      <c r="H35" s="128">
        <f>IFERROR(VLOOKUP(Pólizas48[[#This Row],[PLACA]],ITV_LA[#All],9,0),"")</f>
        <v>46461</v>
      </c>
      <c r="I35" s="8">
        <f ca="1">IFERROR(Pólizas48[[#This Row],[Fecha de vencimiento '[RTV']]]-$I$3,"")</f>
        <v>493</v>
      </c>
      <c r="J35" s="27" t="str">
        <f ca="1">IF(Pólizas48[[#This Row],[Fecha de vencimiento '[RTV']]]="","",IF(Pólizas48[[#This Row],[Fecha de vencimiento '[RTV']]]&lt;TODAY(),"Vencido","Vigente"))</f>
        <v>Vigente</v>
      </c>
      <c r="K35" s="27">
        <f>IFERROR(MONTH(Pólizas48[[#This Row],[Fecha de Emision '[RTV']]]),"")</f>
        <v>3</v>
      </c>
      <c r="L35" s="27">
        <f>IFERROR(YEAR(Pólizas48[[#This Row],[Fecha de Emision '[RTV']]]),"")</f>
        <v>2024</v>
      </c>
      <c r="M35" s="27" t="s">
        <v>37</v>
      </c>
      <c r="N35" s="27" t="s">
        <v>54</v>
      </c>
      <c r="O35" s="27" t="s">
        <v>976</v>
      </c>
      <c r="P3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35" s="27">
        <f>VLOOKUP(Pólizas48[[#This Row],[Categoría]],$BD$4:$BG$8,4,0)</f>
        <v>40</v>
      </c>
      <c r="R35" s="27">
        <f>IF(Pólizas48[[#This Row],[Inspección]]=2024,2025,Pólizas48[[#This Row],[Inspección]])</f>
        <v>2028</v>
      </c>
      <c r="T35" s="129" t="s">
        <v>40</v>
      </c>
      <c r="U35" s="130">
        <f>SUMIFS(Pólizas48[Precio S/.(CITV)],Pólizas48[Familia],$T21,Pólizas48[Prox Insp],2027,Pólizas48[Mes Inicia Pago],U$18)+U21</f>
        <v>0</v>
      </c>
      <c r="V35" s="130">
        <f>SUMIFS(Pólizas48[Precio S/.(CITV)],Pólizas48[Familia],$T21,Pólizas48[Prox Insp],2027,Pólizas48[Mes Inicia Pago],V$18)+V21</f>
        <v>0</v>
      </c>
      <c r="W35" s="130">
        <f>SUMIFS(Pólizas48[Precio S/.(CITV)],Pólizas48[Familia],$T21,Pólizas48[Prox Insp],2027,Pólizas48[Mes Inicia Pago],W$18)+W21</f>
        <v>0</v>
      </c>
      <c r="X35" s="130">
        <f>SUMIFS(Pólizas48[Precio S/.(CITV)],Pólizas48[Familia],$T21,Pólizas48[Prox Insp],2027,Pólizas48[Mes Inicia Pago],X$18)+X21</f>
        <v>0</v>
      </c>
      <c r="Y35" s="130">
        <f>SUMIFS(Pólizas48[Precio S/.(CITV)],Pólizas48[Familia],$T21,Pólizas48[Prox Insp],2027,Pólizas48[Mes Inicia Pago],Y$18)+Y21</f>
        <v>0</v>
      </c>
      <c r="Z35" s="130">
        <f>SUMIFS(Pólizas48[Precio S/.(CITV)],Pólizas48[Familia],$T21,Pólizas48[Prox Insp],2027,Pólizas48[Mes Inicia Pago],Z$18)+Z21</f>
        <v>1200</v>
      </c>
      <c r="AA35" s="130">
        <f>SUMIFS(Pólizas48[Precio S/.(CITV)],Pólizas48[Familia],$T21,Pólizas48[Prox Insp],2027,Pólizas48[Mes Inicia Pago],AA$18)+AA21</f>
        <v>0</v>
      </c>
      <c r="AB35" s="130">
        <f>SUMIFS(Pólizas48[Precio S/.(CITV)],Pólizas48[Familia],$T21,Pólizas48[Prox Insp],2027,Pólizas48[Mes Inicia Pago],AB$18)+AB21</f>
        <v>0</v>
      </c>
      <c r="AC35" s="130">
        <f>SUMIFS(Pólizas48[Precio S/.(CITV)],Pólizas48[Familia],$T21,Pólizas48[Prox Insp],2027,Pólizas48[Mes Inicia Pago],AC$18)+AC21</f>
        <v>0</v>
      </c>
      <c r="AD35" s="130">
        <f>SUMIFS(Pólizas48[Precio S/.(CITV)],Pólizas48[Familia],$T21,Pólizas48[Prox Insp],2027,Pólizas48[Mes Inicia Pago],AD$18)+AD21</f>
        <v>0</v>
      </c>
      <c r="AE35" s="130">
        <f>SUMIFS(Pólizas48[Precio S/.(CITV)],Pólizas48[Familia],$T21,Pólizas48[Prox Insp],2027,Pólizas48[Mes Inicia Pago],AE$18)+AE21</f>
        <v>0</v>
      </c>
      <c r="AF35" s="130">
        <f>SUMIFS(Pólizas48[Precio S/.(CITV)],Pólizas48[Familia],$T21,Pólizas48[Prox Insp],2027,Pólizas48[Mes Inicia Pago],AF$18)+AF21</f>
        <v>0</v>
      </c>
      <c r="AG35" s="40">
        <f t="shared" si="4"/>
        <v>1200</v>
      </c>
      <c r="AL35" s="147" t="s">
        <v>1024</v>
      </c>
      <c r="AM35" s="139" t="s">
        <v>1025</v>
      </c>
      <c r="AN35" s="139" t="s">
        <v>970</v>
      </c>
      <c r="AO35" s="139" t="s">
        <v>966</v>
      </c>
      <c r="AP35" s="139" t="s">
        <v>972</v>
      </c>
      <c r="AQ35" s="139" t="s">
        <v>1026</v>
      </c>
      <c r="AR35" s="139" t="s">
        <v>994</v>
      </c>
      <c r="AS35" s="12">
        <v>45619</v>
      </c>
      <c r="AT35" s="148">
        <v>45800</v>
      </c>
      <c r="AU35" s="140">
        <v>-132</v>
      </c>
      <c r="AV35" s="149" t="s">
        <v>1164</v>
      </c>
      <c r="AW35" s="12">
        <v>46002</v>
      </c>
      <c r="AX35" s="140">
        <v>70</v>
      </c>
      <c r="AY35" s="149" t="s">
        <v>1163</v>
      </c>
      <c r="AZ35" s="11"/>
      <c r="BA35" s="11" t="s">
        <v>575</v>
      </c>
    </row>
    <row r="36" spans="3:53" x14ac:dyDescent="0.3">
      <c r="C36" s="7">
        <v>32</v>
      </c>
      <c r="D36" s="24" t="s">
        <v>77</v>
      </c>
      <c r="E36" s="8" t="s">
        <v>71</v>
      </c>
      <c r="F36" s="13" t="s">
        <v>966</v>
      </c>
      <c r="G36" s="128">
        <f>IFERROR(VLOOKUP(Pólizas48[[#This Row],[PLACA]],ITV_LA[#All],8,0),"")</f>
        <v>45370</v>
      </c>
      <c r="H36" s="128">
        <f>IFERROR(VLOOKUP(Pólizas48[[#This Row],[PLACA]],ITV_LA[#All],9,0),"")</f>
        <v>46461</v>
      </c>
      <c r="I36" s="8">
        <f ca="1">IFERROR(Pólizas48[[#This Row],[Fecha de vencimiento '[RTV']]]-$I$3,"")</f>
        <v>493</v>
      </c>
      <c r="J36" s="27" t="str">
        <f ca="1">IF(Pólizas48[[#This Row],[Fecha de vencimiento '[RTV']]]="","",IF(Pólizas48[[#This Row],[Fecha de vencimiento '[RTV']]]&lt;TODAY(),"Vencido","Vigente"))</f>
        <v>Vigente</v>
      </c>
      <c r="K36" s="27">
        <f>IFERROR(MONTH(Pólizas48[[#This Row],[Fecha de Emision '[RTV']]]),"")</f>
        <v>3</v>
      </c>
      <c r="L36" s="27">
        <f>IFERROR(YEAR(Pólizas48[[#This Row],[Fecha de Emision '[RTV']]]),"")</f>
        <v>2024</v>
      </c>
      <c r="M36" s="27" t="s">
        <v>37</v>
      </c>
      <c r="N36" s="27" t="s">
        <v>54</v>
      </c>
      <c r="O36" s="27" t="s">
        <v>976</v>
      </c>
      <c r="P3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36" s="27">
        <f>VLOOKUP(Pólizas48[[#This Row],[Categoría]],$BD$4:$BG$8,4,0)</f>
        <v>40</v>
      </c>
      <c r="R36" s="27">
        <f>IF(Pólizas48[[#This Row],[Inspección]]=2024,2025,Pólizas48[[#This Row],[Inspección]])</f>
        <v>2028</v>
      </c>
      <c r="T36" s="129" t="s">
        <v>46</v>
      </c>
      <c r="U36" s="130">
        <f>SUMIFS(Pólizas48[Precio S/.(CITV)],Pólizas48[Familia],$T22,Pólizas48[Prox Insp],2027,Pólizas48[Mes Inicia Pago],U$18)+U22</f>
        <v>0</v>
      </c>
      <c r="V36" s="130">
        <f>SUMIFS(Pólizas48[Precio S/.(CITV)],Pólizas48[Familia],$T22,Pólizas48[Prox Insp],2027,Pólizas48[Mes Inicia Pago],V$18)+V22</f>
        <v>0</v>
      </c>
      <c r="W36" s="130">
        <f>SUMIFS(Pólizas48[Precio S/.(CITV)],Pólizas48[Familia],$T22,Pólizas48[Prox Insp],2027,Pólizas48[Mes Inicia Pago],W$18)+W22</f>
        <v>0</v>
      </c>
      <c r="X36" s="130">
        <f>SUMIFS(Pólizas48[Precio S/.(CITV)],Pólizas48[Familia],$T22,Pólizas48[Prox Insp],2027,Pólizas48[Mes Inicia Pago],X$18)+X22</f>
        <v>100</v>
      </c>
      <c r="Y36" s="130">
        <f>SUMIFS(Pólizas48[Precio S/.(CITV)],Pólizas48[Familia],$T22,Pólizas48[Prox Insp],2027,Pólizas48[Mes Inicia Pago],Y$18)+Y22</f>
        <v>0</v>
      </c>
      <c r="Z36" s="130">
        <f>SUMIFS(Pólizas48[Precio S/.(CITV)],Pólizas48[Familia],$T22,Pólizas48[Prox Insp],2027,Pólizas48[Mes Inicia Pago],Z$18)+Z22</f>
        <v>0</v>
      </c>
      <c r="AA36" s="130">
        <f>SUMIFS(Pólizas48[Precio S/.(CITV)],Pólizas48[Familia],$T22,Pólizas48[Prox Insp],2027,Pólizas48[Mes Inicia Pago],AA$18)+AA22</f>
        <v>0</v>
      </c>
      <c r="AB36" s="130">
        <f>SUMIFS(Pólizas48[Precio S/.(CITV)],Pólizas48[Familia],$T22,Pólizas48[Prox Insp],2027,Pólizas48[Mes Inicia Pago],AB$18)+AB22</f>
        <v>0</v>
      </c>
      <c r="AC36" s="130">
        <f>SUMIFS(Pólizas48[Precio S/.(CITV)],Pólizas48[Familia],$T22,Pólizas48[Prox Insp],2027,Pólizas48[Mes Inicia Pago],AC$18)+AC22</f>
        <v>0</v>
      </c>
      <c r="AD36" s="130">
        <f>SUMIFS(Pólizas48[Precio S/.(CITV)],Pólizas48[Familia],$T22,Pólizas48[Prox Insp],2027,Pólizas48[Mes Inicia Pago],AD$18)+AD22</f>
        <v>0</v>
      </c>
      <c r="AE36" s="130">
        <f>SUMIFS(Pólizas48[Precio S/.(CITV)],Pólizas48[Familia],$T22,Pólizas48[Prox Insp],2027,Pólizas48[Mes Inicia Pago],AE$18)+AE22</f>
        <v>0</v>
      </c>
      <c r="AF36" s="130">
        <f>SUMIFS(Pólizas48[Precio S/.(CITV)],Pólizas48[Familia],$T22,Pólizas48[Prox Insp],2027,Pólizas48[Mes Inicia Pago],AF$18)+AF22</f>
        <v>0</v>
      </c>
      <c r="AG36" s="40">
        <f t="shared" si="4"/>
        <v>100</v>
      </c>
      <c r="AL36" s="147" t="s">
        <v>513</v>
      </c>
      <c r="AM36" s="139" t="s">
        <v>1006</v>
      </c>
      <c r="AN36" s="139" t="s">
        <v>979</v>
      </c>
      <c r="AO36" s="139" t="s">
        <v>985</v>
      </c>
      <c r="AP36" s="139" t="s">
        <v>992</v>
      </c>
      <c r="AQ36" s="139" t="s">
        <v>1027</v>
      </c>
      <c r="AR36" s="139" t="s">
        <v>994</v>
      </c>
      <c r="AS36" s="148">
        <v>45438</v>
      </c>
      <c r="AT36" s="148">
        <v>45803</v>
      </c>
      <c r="AU36" s="140">
        <v>-129</v>
      </c>
      <c r="AV36" s="149" t="s">
        <v>1164</v>
      </c>
      <c r="AW36" s="148">
        <v>46115</v>
      </c>
      <c r="AX36" s="140">
        <v>183</v>
      </c>
      <c r="AY36" s="149" t="s">
        <v>1163</v>
      </c>
      <c r="AZ36" s="11"/>
      <c r="BA36" s="11" t="s">
        <v>575</v>
      </c>
    </row>
    <row r="37" spans="3:53" x14ac:dyDescent="0.3">
      <c r="C37" s="7">
        <v>33</v>
      </c>
      <c r="D37" s="24" t="s">
        <v>72</v>
      </c>
      <c r="E37" s="8" t="s">
        <v>71</v>
      </c>
      <c r="F37" s="13" t="s">
        <v>966</v>
      </c>
      <c r="G37" s="128">
        <f>IFERROR(VLOOKUP(Pólizas48[[#This Row],[PLACA]],ITV_LA[#All],8,0),"")</f>
        <v>45370</v>
      </c>
      <c r="H37" s="128">
        <f>IFERROR(VLOOKUP(Pólizas48[[#This Row],[PLACA]],ITV_LA[#All],9,0),"")</f>
        <v>46461</v>
      </c>
      <c r="I37" s="8">
        <f ca="1">IFERROR(Pólizas48[[#This Row],[Fecha de vencimiento '[RTV']]]-$I$3,"")</f>
        <v>493</v>
      </c>
      <c r="J37" s="27" t="str">
        <f ca="1">IF(Pólizas48[[#This Row],[Fecha de vencimiento '[RTV']]]="","",IF(Pólizas48[[#This Row],[Fecha de vencimiento '[RTV']]]&lt;TODAY(),"Vencido","Vigente"))</f>
        <v>Vigente</v>
      </c>
      <c r="K37" s="27">
        <f>IFERROR(MONTH(Pólizas48[[#This Row],[Fecha de Emision '[RTV']]]),"")</f>
        <v>3</v>
      </c>
      <c r="L37" s="27">
        <f>IFERROR(YEAR(Pólizas48[[#This Row],[Fecha de Emision '[RTV']]]),"")</f>
        <v>2024</v>
      </c>
      <c r="M37" s="27" t="s">
        <v>37</v>
      </c>
      <c r="N37" s="27" t="s">
        <v>54</v>
      </c>
      <c r="O37" s="27" t="s">
        <v>976</v>
      </c>
      <c r="P3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37" s="27">
        <f>VLOOKUP(Pólizas48[[#This Row],[Categoría]],$BD$4:$BG$8,4,0)</f>
        <v>40</v>
      </c>
      <c r="R37" s="27">
        <f>IF(Pólizas48[[#This Row],[Inspección]]=2024,2025,Pólizas48[[#This Row],[Inspección]])</f>
        <v>2028</v>
      </c>
      <c r="T37" s="129" t="s">
        <v>48</v>
      </c>
      <c r="U37" s="130">
        <f>SUMIFS(Pólizas48[Precio S/.(CITV)],Pólizas48[Familia],$T23,Pólizas48[Prox Insp],2027,Pólizas48[Mes Inicia Pago],U$18)+U23</f>
        <v>0</v>
      </c>
      <c r="V37" s="130">
        <f>SUMIFS(Pólizas48[Precio S/.(CITV)],Pólizas48[Familia],$T23,Pólizas48[Prox Insp],2027,Pólizas48[Mes Inicia Pago],V$18)+V23</f>
        <v>0</v>
      </c>
      <c r="W37" s="130">
        <f>SUMIFS(Pólizas48[Precio S/.(CITV)],Pólizas48[Familia],$T23,Pólizas48[Prox Insp],2027,Pólizas48[Mes Inicia Pago],W$18)+W23</f>
        <v>1620</v>
      </c>
      <c r="X37" s="130">
        <f>SUMIFS(Pólizas48[Precio S/.(CITV)],Pólizas48[Familia],$T23,Pólizas48[Prox Insp],2027,Pólizas48[Mes Inicia Pago],X$18)+X23</f>
        <v>1800</v>
      </c>
      <c r="Y37" s="130">
        <f>SUMIFS(Pólizas48[Precio S/.(CITV)],Pólizas48[Familia],$T23,Pólizas48[Prox Insp],2027,Pólizas48[Mes Inicia Pago],Y$18)+Y23</f>
        <v>0</v>
      </c>
      <c r="Z37" s="130">
        <f>SUMIFS(Pólizas48[Precio S/.(CITV)],Pólizas48[Familia],$T23,Pólizas48[Prox Insp],2027,Pólizas48[Mes Inicia Pago],Z$18)+Z23</f>
        <v>0</v>
      </c>
      <c r="AA37" s="130">
        <f>SUMIFS(Pólizas48[Precio S/.(CITV)],Pólizas48[Familia],$T23,Pólizas48[Prox Insp],2027,Pólizas48[Mes Inicia Pago],AA$18)+AA23</f>
        <v>0</v>
      </c>
      <c r="AB37" s="130">
        <f>SUMIFS(Pólizas48[Precio S/.(CITV)],Pólizas48[Familia],$T23,Pólizas48[Prox Insp],2027,Pólizas48[Mes Inicia Pago],AB$18)+AB23</f>
        <v>0</v>
      </c>
      <c r="AC37" s="130">
        <f>SUMIFS(Pólizas48[Precio S/.(CITV)],Pólizas48[Familia],$T23,Pólizas48[Prox Insp],2027,Pólizas48[Mes Inicia Pago],AC$18)+AC23</f>
        <v>0</v>
      </c>
      <c r="AD37" s="130">
        <f>SUMIFS(Pólizas48[Precio S/.(CITV)],Pólizas48[Familia],$T23,Pólizas48[Prox Insp],2027,Pólizas48[Mes Inicia Pago],AD$18)+AD23</f>
        <v>0</v>
      </c>
      <c r="AE37" s="130">
        <f>SUMIFS(Pólizas48[Precio S/.(CITV)],Pólizas48[Familia],$T23,Pólizas48[Prox Insp],2027,Pólizas48[Mes Inicia Pago],AE$18)+AE23</f>
        <v>0</v>
      </c>
      <c r="AF37" s="130">
        <f>SUMIFS(Pólizas48[Precio S/.(CITV)],Pólizas48[Familia],$T23,Pólizas48[Prox Insp],2027,Pólizas48[Mes Inicia Pago],AF$18)+AF23</f>
        <v>0</v>
      </c>
      <c r="AG37" s="40">
        <f t="shared" si="4"/>
        <v>3420</v>
      </c>
      <c r="AL37" s="147" t="s">
        <v>414</v>
      </c>
      <c r="AM37" s="139" t="s">
        <v>1006</v>
      </c>
      <c r="AN37" s="139" t="s">
        <v>979</v>
      </c>
      <c r="AO37" s="139" t="s">
        <v>985</v>
      </c>
      <c r="AP37" s="139" t="s">
        <v>992</v>
      </c>
      <c r="AQ37" s="139" t="s">
        <v>1027</v>
      </c>
      <c r="AR37" s="139" t="s">
        <v>994</v>
      </c>
      <c r="AS37" s="12">
        <v>45441</v>
      </c>
      <c r="AT37" s="148">
        <v>45806</v>
      </c>
      <c r="AU37" s="140">
        <v>-126</v>
      </c>
      <c r="AV37" s="149" t="s">
        <v>1164</v>
      </c>
      <c r="AW37" s="12">
        <v>46140</v>
      </c>
      <c r="AX37" s="140">
        <v>208</v>
      </c>
      <c r="AY37" s="149" t="s">
        <v>1163</v>
      </c>
      <c r="AZ37" s="11"/>
      <c r="BA37" s="11" t="s">
        <v>575</v>
      </c>
    </row>
    <row r="38" spans="3:53" x14ac:dyDescent="0.3">
      <c r="C38" s="7">
        <v>34</v>
      </c>
      <c r="D38" s="24" t="s">
        <v>96</v>
      </c>
      <c r="E38" s="8" t="s">
        <v>71</v>
      </c>
      <c r="F38" s="13" t="s">
        <v>966</v>
      </c>
      <c r="G38" s="128">
        <f>IFERROR(VLOOKUP(Pólizas48[[#This Row],[PLACA]],ITV_LA[#All],8,0),"")</f>
        <v>45551</v>
      </c>
      <c r="H38" s="128">
        <f>IFERROR(VLOOKUP(Pólizas48[[#This Row],[PLACA]],ITV_LA[#All],9,0),"")</f>
        <v>46465</v>
      </c>
      <c r="I38" s="8">
        <f ca="1">IFERROR(Pólizas48[[#This Row],[Fecha de vencimiento '[RTV']]]-$I$3,"")</f>
        <v>497</v>
      </c>
      <c r="J38" s="27" t="str">
        <f ca="1">IF(Pólizas48[[#This Row],[Fecha de vencimiento '[RTV']]]="","",IF(Pólizas48[[#This Row],[Fecha de vencimiento '[RTV']]]&lt;TODAY(),"Vencido","Vigente"))</f>
        <v>Vigente</v>
      </c>
      <c r="K38" s="27">
        <f>IFERROR(MONTH(Pólizas48[[#This Row],[Fecha de Emision '[RTV']]]),"")</f>
        <v>9</v>
      </c>
      <c r="L38" s="27">
        <f>IFERROR(YEAR(Pólizas48[[#This Row],[Fecha de Emision '[RTV']]]),"")</f>
        <v>2024</v>
      </c>
      <c r="M38" s="27" t="s">
        <v>37</v>
      </c>
      <c r="N38" s="27" t="s">
        <v>54</v>
      </c>
      <c r="O38" s="27" t="s">
        <v>976</v>
      </c>
      <c r="P3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38" s="27">
        <f>VLOOKUP(Pólizas48[[#This Row],[Categoría]],$BD$4:$BG$8,4,0)</f>
        <v>40</v>
      </c>
      <c r="R38" s="27">
        <f>IF(Pólizas48[[#This Row],[Inspección]]=2024,2025,Pólizas48[[#This Row],[Inspección]])</f>
        <v>2028</v>
      </c>
      <c r="T38" s="129" t="s">
        <v>45</v>
      </c>
      <c r="U38" s="130">
        <f>SUMIFS(Pólizas48[Precio S/.(CITV)],Pólizas48[Familia],$T24,Pólizas48[Prox Insp],2027,Pólizas48[Mes Inicia Pago],U$18)+U24</f>
        <v>0</v>
      </c>
      <c r="V38" s="130">
        <f>SUMIFS(Pólizas48[Precio S/.(CITV)],Pólizas48[Familia],$T24,Pólizas48[Prox Insp],2027,Pólizas48[Mes Inicia Pago],V$18)+V24</f>
        <v>0</v>
      </c>
      <c r="W38" s="130">
        <f>SUMIFS(Pólizas48[Precio S/.(CITV)],Pólizas48[Familia],$T24,Pólizas48[Prox Insp],2027,Pólizas48[Mes Inicia Pago],W$18)+W24</f>
        <v>0</v>
      </c>
      <c r="X38" s="130">
        <f>SUMIFS(Pólizas48[Precio S/.(CITV)],Pólizas48[Familia],$T24,Pólizas48[Prox Insp],2027,Pólizas48[Mes Inicia Pago],X$18)+X24</f>
        <v>0</v>
      </c>
      <c r="Y38" s="130">
        <f>SUMIFS(Pólizas48[Precio S/.(CITV)],Pólizas48[Familia],$T24,Pólizas48[Prox Insp],2027,Pólizas48[Mes Inicia Pago],Y$18)+Y24</f>
        <v>0</v>
      </c>
      <c r="Z38" s="130">
        <f>SUMIFS(Pólizas48[Precio S/.(CITV)],Pólizas48[Familia],$T24,Pólizas48[Prox Insp],2027,Pólizas48[Mes Inicia Pago],Z$18)+Z24</f>
        <v>0</v>
      </c>
      <c r="AA38" s="130">
        <f>SUMIFS(Pólizas48[Precio S/.(CITV)],Pólizas48[Familia],$T24,Pólizas48[Prox Insp],2027,Pólizas48[Mes Inicia Pago],AA$18)+AA24</f>
        <v>0</v>
      </c>
      <c r="AB38" s="130">
        <f>SUMIFS(Pólizas48[Precio S/.(CITV)],Pólizas48[Familia],$T24,Pólizas48[Prox Insp],2027,Pólizas48[Mes Inicia Pago],AB$18)+AB24</f>
        <v>0</v>
      </c>
      <c r="AC38" s="130">
        <f>SUMIFS(Pólizas48[Precio S/.(CITV)],Pólizas48[Familia],$T24,Pólizas48[Prox Insp],2027,Pólizas48[Mes Inicia Pago],AC$18)+AC24</f>
        <v>0</v>
      </c>
      <c r="AD38" s="130">
        <f>SUMIFS(Pólizas48[Precio S/.(CITV)],Pólizas48[Familia],$T24,Pólizas48[Prox Insp],2027,Pólizas48[Mes Inicia Pago],AD$18)+AD24</f>
        <v>0</v>
      </c>
      <c r="AE38" s="130">
        <f>SUMIFS(Pólizas48[Precio S/.(CITV)],Pólizas48[Familia],$T24,Pólizas48[Prox Insp],2027,Pólizas48[Mes Inicia Pago],AE$18)+AE24</f>
        <v>0</v>
      </c>
      <c r="AF38" s="130">
        <f>SUMIFS(Pólizas48[Precio S/.(CITV)],Pólizas48[Familia],$T24,Pólizas48[Prox Insp],2027,Pólizas48[Mes Inicia Pago],AF$18)+AF24</f>
        <v>0</v>
      </c>
      <c r="AG38" s="40">
        <f t="shared" si="4"/>
        <v>0</v>
      </c>
      <c r="AL38" s="147" t="s">
        <v>1028</v>
      </c>
      <c r="AM38" s="139" t="s">
        <v>1006</v>
      </c>
      <c r="AN38" s="139" t="s">
        <v>979</v>
      </c>
      <c r="AO38" s="139" t="s">
        <v>985</v>
      </c>
      <c r="AP38" s="139" t="s">
        <v>1029</v>
      </c>
      <c r="AQ38" s="139" t="s">
        <v>1030</v>
      </c>
      <c r="AR38" s="139" t="s">
        <v>1004</v>
      </c>
      <c r="AS38" s="12">
        <v>45507</v>
      </c>
      <c r="AT38" s="148">
        <v>45872</v>
      </c>
      <c r="AU38" s="140">
        <v>-60</v>
      </c>
      <c r="AV38" s="149" t="s">
        <v>1164</v>
      </c>
      <c r="AW38" s="12">
        <v>45935</v>
      </c>
      <c r="AX38" s="140">
        <v>3</v>
      </c>
      <c r="AY38" s="149" t="s">
        <v>1164</v>
      </c>
      <c r="AZ38" s="11"/>
      <c r="BA38" s="11" t="s">
        <v>575</v>
      </c>
    </row>
    <row r="39" spans="3:53" x14ac:dyDescent="0.3">
      <c r="C39" s="7">
        <v>35</v>
      </c>
      <c r="D39" s="24" t="s">
        <v>131</v>
      </c>
      <c r="E39" s="8" t="s">
        <v>133</v>
      </c>
      <c r="F39" s="13" t="s">
        <v>966</v>
      </c>
      <c r="G39" s="128">
        <f>IFERROR(VLOOKUP(Pólizas48[[#This Row],[PLACA]],ITV_LA[#All],8,0),"")</f>
        <v>45033</v>
      </c>
      <c r="H39" s="128">
        <f>IFERROR(VLOOKUP(Pólizas48[[#This Row],[PLACA]],ITV_LA[#All],9,0),"")</f>
        <v>46129</v>
      </c>
      <c r="I39" s="8">
        <f ca="1">IFERROR(Pólizas48[[#This Row],[Fecha de vencimiento '[RTV']]]-$I$3,"")</f>
        <v>161</v>
      </c>
      <c r="J39" s="27" t="str">
        <f ca="1">IF(Pólizas48[[#This Row],[Fecha de vencimiento '[RTV']]]="","",IF(Pólizas48[[#This Row],[Fecha de vencimiento '[RTV']]]&lt;TODAY(),"Vencido","Vigente"))</f>
        <v>Vigente</v>
      </c>
      <c r="K39" s="27">
        <f>IFERROR(MONTH(Pólizas48[[#This Row],[Fecha de Emision '[RTV']]]),"")</f>
        <v>4</v>
      </c>
      <c r="L39" s="27">
        <f>IFERROR(YEAR(Pólizas48[[#This Row],[Fecha de Emision '[RTV']]]),"")</f>
        <v>2023</v>
      </c>
      <c r="M39" s="27" t="s">
        <v>37</v>
      </c>
      <c r="N39" s="27" t="s">
        <v>48</v>
      </c>
      <c r="O39" s="27" t="s">
        <v>989</v>
      </c>
      <c r="P3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39" s="27">
        <f>VLOOKUP(Pólizas48[[#This Row],[Categoría]],$BD$4:$BG$8,4,0)</f>
        <v>90</v>
      </c>
      <c r="R39" s="27">
        <f>IF(Pólizas48[[#This Row],[Inspección]]=2024,2025,Pólizas48[[#This Row],[Inspección]])</f>
        <v>2026</v>
      </c>
      <c r="T39" s="129" t="s">
        <v>39</v>
      </c>
      <c r="U39" s="130">
        <f>SUMIFS(Pólizas48[Precio S/.(CITV)],Pólizas48[Familia],$T25,Pólizas48[Prox Insp],2027,Pólizas48[Mes Inicia Pago],U$18)+U25</f>
        <v>0</v>
      </c>
      <c r="V39" s="130">
        <f>SUMIFS(Pólizas48[Precio S/.(CITV)],Pólizas48[Familia],$T25,Pólizas48[Prox Insp],2027,Pólizas48[Mes Inicia Pago],V$18)+V25</f>
        <v>0</v>
      </c>
      <c r="W39" s="130">
        <f>SUMIFS(Pólizas48[Precio S/.(CITV)],Pólizas48[Familia],$T25,Pólizas48[Prox Insp],2027,Pólizas48[Mes Inicia Pago],W$18)+W25</f>
        <v>0</v>
      </c>
      <c r="X39" s="130">
        <f>SUMIFS(Pólizas48[Precio S/.(CITV)],Pólizas48[Familia],$T25,Pólizas48[Prox Insp],2027,Pólizas48[Mes Inicia Pago],X$18)+X25</f>
        <v>0</v>
      </c>
      <c r="Y39" s="130">
        <f>SUMIFS(Pólizas48[Precio S/.(CITV)],Pólizas48[Familia],$T25,Pólizas48[Prox Insp],2027,Pólizas48[Mes Inicia Pago],Y$18)+Y25</f>
        <v>0</v>
      </c>
      <c r="Z39" s="130">
        <f>SUMIFS(Pólizas48[Precio S/.(CITV)],Pólizas48[Familia],$T25,Pólizas48[Prox Insp],2027,Pólizas48[Mes Inicia Pago],Z$18)+Z25</f>
        <v>0</v>
      </c>
      <c r="AA39" s="130">
        <f>SUMIFS(Pólizas48[Precio S/.(CITV)],Pólizas48[Familia],$T25,Pólizas48[Prox Insp],2027,Pólizas48[Mes Inicia Pago],AA$18)+AA25</f>
        <v>0</v>
      </c>
      <c r="AB39" s="130">
        <f>SUMIFS(Pólizas48[Precio S/.(CITV)],Pólizas48[Familia],$T25,Pólizas48[Prox Insp],2027,Pólizas48[Mes Inicia Pago],AB$18)+AB25</f>
        <v>0</v>
      </c>
      <c r="AC39" s="130">
        <f>SUMIFS(Pólizas48[Precio S/.(CITV)],Pólizas48[Familia],$T25,Pólizas48[Prox Insp],2027,Pólizas48[Mes Inicia Pago],AC$18)+AC25</f>
        <v>0</v>
      </c>
      <c r="AD39" s="130">
        <f>SUMIFS(Pólizas48[Precio S/.(CITV)],Pólizas48[Familia],$T25,Pólizas48[Prox Insp],2027,Pólizas48[Mes Inicia Pago],AD$18)+AD25</f>
        <v>0</v>
      </c>
      <c r="AE39" s="130">
        <f>SUMIFS(Pólizas48[Precio S/.(CITV)],Pólizas48[Familia],$T25,Pólizas48[Prox Insp],2027,Pólizas48[Mes Inicia Pago],AE$18)+AE25</f>
        <v>0</v>
      </c>
      <c r="AF39" s="130">
        <f>SUMIFS(Pólizas48[Precio S/.(CITV)],Pólizas48[Familia],$T25,Pólizas48[Prox Insp],2027,Pólizas48[Mes Inicia Pago],AF$18)+AF25</f>
        <v>0</v>
      </c>
      <c r="AG39" s="40">
        <f t="shared" si="4"/>
        <v>0</v>
      </c>
      <c r="AL39" s="147" t="s">
        <v>1031</v>
      </c>
      <c r="AM39" s="139" t="s">
        <v>1006</v>
      </c>
      <c r="AN39" s="139" t="s">
        <v>979</v>
      </c>
      <c r="AO39" s="139" t="s">
        <v>971</v>
      </c>
      <c r="AP39" s="139" t="s">
        <v>997</v>
      </c>
      <c r="AQ39" s="139" t="s">
        <v>997</v>
      </c>
      <c r="AR39" s="139" t="s">
        <v>974</v>
      </c>
      <c r="AS39" s="12">
        <v>45481</v>
      </c>
      <c r="AT39" s="148">
        <v>45846</v>
      </c>
      <c r="AU39" s="140">
        <v>-86</v>
      </c>
      <c r="AV39" s="149" t="s">
        <v>1164</v>
      </c>
      <c r="AW39" s="12">
        <v>45842</v>
      </c>
      <c r="AX39" s="140">
        <v>-90</v>
      </c>
      <c r="AY39" s="149" t="s">
        <v>1164</v>
      </c>
      <c r="AZ39" s="11"/>
      <c r="BA39" s="11" t="s">
        <v>575</v>
      </c>
    </row>
    <row r="40" spans="3:53" x14ac:dyDescent="0.3">
      <c r="C40" s="7">
        <v>36</v>
      </c>
      <c r="D40" s="24" t="s">
        <v>139</v>
      </c>
      <c r="E40" s="8" t="s">
        <v>133</v>
      </c>
      <c r="F40" s="13" t="s">
        <v>966</v>
      </c>
      <c r="G40" s="128">
        <f>IFERROR(VLOOKUP(Pólizas48[[#This Row],[PLACA]],ITV_LA[#All],8,0),"")</f>
        <v>45033</v>
      </c>
      <c r="H40" s="128">
        <f>IFERROR(VLOOKUP(Pólizas48[[#This Row],[PLACA]],ITV_LA[#All],9,0),"")</f>
        <v>46129</v>
      </c>
      <c r="I40" s="8">
        <f ca="1">IFERROR(Pólizas48[[#This Row],[Fecha de vencimiento '[RTV']]]-$I$3,"")</f>
        <v>161</v>
      </c>
      <c r="J40" s="27" t="str">
        <f ca="1">IF(Pólizas48[[#This Row],[Fecha de vencimiento '[RTV']]]="","",IF(Pólizas48[[#This Row],[Fecha de vencimiento '[RTV']]]&lt;TODAY(),"Vencido","Vigente"))</f>
        <v>Vigente</v>
      </c>
      <c r="K40" s="27">
        <f>IFERROR(MONTH(Pólizas48[[#This Row],[Fecha de Emision '[RTV']]]),"")</f>
        <v>4</v>
      </c>
      <c r="L40" s="27">
        <f>IFERROR(YEAR(Pólizas48[[#This Row],[Fecha de Emision '[RTV']]]),"")</f>
        <v>2023</v>
      </c>
      <c r="M40" s="27" t="s">
        <v>37</v>
      </c>
      <c r="N40" s="27" t="s">
        <v>48</v>
      </c>
      <c r="O40" s="27" t="s">
        <v>989</v>
      </c>
      <c r="P4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0" s="27">
        <f>VLOOKUP(Pólizas48[[#This Row],[Categoría]],$BD$4:$BG$8,4,0)</f>
        <v>90</v>
      </c>
      <c r="R40" s="27">
        <f>IF(Pólizas48[[#This Row],[Inspección]]=2024,2025,Pólizas48[[#This Row],[Inspección]])</f>
        <v>2026</v>
      </c>
      <c r="T40" s="129" t="s">
        <v>52</v>
      </c>
      <c r="U40" s="130">
        <f>SUMIFS(Pólizas48[Precio S/.(CITV)],Pólizas48[Familia],$T26,Pólizas48[Prox Insp],2027,Pólizas48[Mes Inicia Pago],U$18)+U26</f>
        <v>0</v>
      </c>
      <c r="V40" s="130">
        <f>SUMIFS(Pólizas48[Precio S/.(CITV)],Pólizas48[Familia],$T26,Pólizas48[Prox Insp],2027,Pólizas48[Mes Inicia Pago],V$18)+V26</f>
        <v>0</v>
      </c>
      <c r="W40" s="130">
        <f>SUMIFS(Pólizas48[Precio S/.(CITV)],Pólizas48[Familia],$T26,Pólizas48[Prox Insp],2027,Pólizas48[Mes Inicia Pago],W$18)+W26</f>
        <v>0</v>
      </c>
      <c r="X40" s="130">
        <f>SUMIFS(Pólizas48[Precio S/.(CITV)],Pólizas48[Familia],$T26,Pólizas48[Prox Insp],2027,Pólizas48[Mes Inicia Pago],X$18)+X26</f>
        <v>0</v>
      </c>
      <c r="Y40" s="130">
        <f>SUMIFS(Pólizas48[Precio S/.(CITV)],Pólizas48[Familia],$T26,Pólizas48[Prox Insp],2027,Pólizas48[Mes Inicia Pago],Y$18)+Y26</f>
        <v>0</v>
      </c>
      <c r="Z40" s="130">
        <f>SUMIFS(Pólizas48[Precio S/.(CITV)],Pólizas48[Familia],$T26,Pólizas48[Prox Insp],2027,Pólizas48[Mes Inicia Pago],Z$18)+Z26</f>
        <v>0</v>
      </c>
      <c r="AA40" s="130">
        <f>SUMIFS(Pólizas48[Precio S/.(CITV)],Pólizas48[Familia],$T26,Pólizas48[Prox Insp],2027,Pólizas48[Mes Inicia Pago],AA$18)+AA26</f>
        <v>0</v>
      </c>
      <c r="AB40" s="130">
        <f>SUMIFS(Pólizas48[Precio S/.(CITV)],Pólizas48[Familia],$T26,Pólizas48[Prox Insp],2027,Pólizas48[Mes Inicia Pago],AB$18)+AB26</f>
        <v>0</v>
      </c>
      <c r="AC40" s="130">
        <f>SUMIFS(Pólizas48[Precio S/.(CITV)],Pólizas48[Familia],$T26,Pólizas48[Prox Insp],2027,Pólizas48[Mes Inicia Pago],AC$18)+AC26</f>
        <v>0</v>
      </c>
      <c r="AD40" s="130">
        <f>SUMIFS(Pólizas48[Precio S/.(CITV)],Pólizas48[Familia],$T26,Pólizas48[Prox Insp],2027,Pólizas48[Mes Inicia Pago],AD$18)+AD26</f>
        <v>0</v>
      </c>
      <c r="AE40" s="130">
        <f>SUMIFS(Pólizas48[Precio S/.(CITV)],Pólizas48[Familia],$T26,Pólizas48[Prox Insp],2027,Pólizas48[Mes Inicia Pago],AE$18)+AE26</f>
        <v>0</v>
      </c>
      <c r="AF40" s="130">
        <f>SUMIFS(Pólizas48[Precio S/.(CITV)],Pólizas48[Familia],$T26,Pólizas48[Prox Insp],2027,Pólizas48[Mes Inicia Pago],AF$18)+AF26</f>
        <v>0</v>
      </c>
      <c r="AG40" s="40">
        <f t="shared" si="4"/>
        <v>0</v>
      </c>
      <c r="AL40" s="147" t="s">
        <v>1032</v>
      </c>
      <c r="AM40" s="139" t="s">
        <v>978</v>
      </c>
      <c r="AN40" s="139" t="s">
        <v>979</v>
      </c>
      <c r="AO40" s="139" t="s">
        <v>971</v>
      </c>
      <c r="AP40" s="139" t="s">
        <v>972</v>
      </c>
      <c r="AQ40" s="139" t="s">
        <v>1011</v>
      </c>
      <c r="AR40" s="139" t="s">
        <v>974</v>
      </c>
      <c r="AS40" s="12">
        <v>45511</v>
      </c>
      <c r="AT40" s="148">
        <v>45876</v>
      </c>
      <c r="AU40" s="140">
        <v>-56</v>
      </c>
      <c r="AV40" s="149" t="s">
        <v>1164</v>
      </c>
      <c r="AW40" s="12">
        <v>45852</v>
      </c>
      <c r="AX40" s="140">
        <v>-80</v>
      </c>
      <c r="AY40" s="149" t="s">
        <v>1164</v>
      </c>
      <c r="AZ40" s="11"/>
      <c r="BA40" s="11" t="s">
        <v>575</v>
      </c>
    </row>
    <row r="41" spans="3:53" x14ac:dyDescent="0.3">
      <c r="C41" s="7">
        <v>37</v>
      </c>
      <c r="D41" s="24" t="s">
        <v>135</v>
      </c>
      <c r="E41" s="8" t="s">
        <v>133</v>
      </c>
      <c r="F41" s="13" t="s">
        <v>966</v>
      </c>
      <c r="G41" s="128">
        <f>IFERROR(VLOOKUP(Pólizas48[[#This Row],[PLACA]],ITV_LA[#All],8,0),"")</f>
        <v>45033</v>
      </c>
      <c r="H41" s="128">
        <f>IFERROR(VLOOKUP(Pólizas48[[#This Row],[PLACA]],ITV_LA[#All],9,0),"")</f>
        <v>46129</v>
      </c>
      <c r="I41" s="8">
        <f ca="1">IFERROR(Pólizas48[[#This Row],[Fecha de vencimiento '[RTV']]]-$I$3,"")</f>
        <v>161</v>
      </c>
      <c r="J41" s="27" t="str">
        <f ca="1">IF(Pólizas48[[#This Row],[Fecha de vencimiento '[RTV']]]="","",IF(Pólizas48[[#This Row],[Fecha de vencimiento '[RTV']]]&lt;TODAY(),"Vencido","Vigente"))</f>
        <v>Vigente</v>
      </c>
      <c r="K41" s="27">
        <f>IFERROR(MONTH(Pólizas48[[#This Row],[Fecha de Emision '[RTV']]]),"")</f>
        <v>4</v>
      </c>
      <c r="L41" s="27">
        <f>IFERROR(YEAR(Pólizas48[[#This Row],[Fecha de Emision '[RTV']]]),"")</f>
        <v>2023</v>
      </c>
      <c r="M41" s="27" t="s">
        <v>37</v>
      </c>
      <c r="N41" s="27" t="s">
        <v>48</v>
      </c>
      <c r="O41" s="27" t="s">
        <v>989</v>
      </c>
      <c r="P4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1" s="27">
        <f>VLOOKUP(Pólizas48[[#This Row],[Categoría]],$BD$4:$BG$8,4,0)</f>
        <v>90</v>
      </c>
      <c r="R41" s="27">
        <f>IF(Pólizas48[[#This Row],[Inspección]]=2024,2025,Pólizas48[[#This Row],[Inspección]])</f>
        <v>2026</v>
      </c>
      <c r="T41" s="129" t="s">
        <v>54</v>
      </c>
      <c r="U41" s="130">
        <f>SUMIFS(Pólizas48[Precio S/.(CITV)],Pólizas48[Familia],$T27,Pólizas48[Prox Insp],2027,Pólizas48[Mes Inicia Pago],U$18)+U27</f>
        <v>0</v>
      </c>
      <c r="V41" s="130">
        <f>SUMIFS(Pólizas48[Precio S/.(CITV)],Pólizas48[Familia],$T27,Pólizas48[Prox Insp],2027,Pólizas48[Mes Inicia Pago],V$18)+V27</f>
        <v>0</v>
      </c>
      <c r="W41" s="130">
        <f>SUMIFS(Pólizas48[Precio S/.(CITV)],Pólizas48[Familia],$T27,Pólizas48[Prox Insp],2027,Pólizas48[Mes Inicia Pago],W$18)+W27</f>
        <v>0</v>
      </c>
      <c r="X41" s="130">
        <f>SUMIFS(Pólizas48[Precio S/.(CITV)],Pólizas48[Familia],$T27,Pólizas48[Prox Insp],2027,Pólizas48[Mes Inicia Pago],X$18)+X27</f>
        <v>0</v>
      </c>
      <c r="Y41" s="130">
        <f>SUMIFS(Pólizas48[Precio S/.(CITV)],Pólizas48[Familia],$T27,Pólizas48[Prox Insp],2027,Pólizas48[Mes Inicia Pago],Y$18)+Y27</f>
        <v>0</v>
      </c>
      <c r="Z41" s="130">
        <f>SUMIFS(Pólizas48[Precio S/.(CITV)],Pólizas48[Familia],$T27,Pólizas48[Prox Insp],2027,Pólizas48[Mes Inicia Pago],Z$18)+Z27</f>
        <v>0</v>
      </c>
      <c r="AA41" s="130">
        <f>SUMIFS(Pólizas48[Precio S/.(CITV)],Pólizas48[Familia],$T27,Pólizas48[Prox Insp],2027,Pólizas48[Mes Inicia Pago],AA$18)+AA27</f>
        <v>0</v>
      </c>
      <c r="AB41" s="130">
        <f>SUMIFS(Pólizas48[Precio S/.(CITV)],Pólizas48[Familia],$T27,Pólizas48[Prox Insp],2027,Pólizas48[Mes Inicia Pago],AB$18)+AB27</f>
        <v>0</v>
      </c>
      <c r="AC41" s="130">
        <f>SUMIFS(Pólizas48[Precio S/.(CITV)],Pólizas48[Familia],$T27,Pólizas48[Prox Insp],2027,Pólizas48[Mes Inicia Pago],AC$18)+AC27</f>
        <v>0</v>
      </c>
      <c r="AD41" s="130">
        <f>SUMIFS(Pólizas48[Precio S/.(CITV)],Pólizas48[Familia],$T27,Pólizas48[Prox Insp],2027,Pólizas48[Mes Inicia Pago],AD$18)+AD27</f>
        <v>0</v>
      </c>
      <c r="AE41" s="130">
        <f>SUMIFS(Pólizas48[Precio S/.(CITV)],Pólizas48[Familia],$T27,Pólizas48[Prox Insp],2027,Pólizas48[Mes Inicia Pago],AE$18)+AE27</f>
        <v>0</v>
      </c>
      <c r="AF41" s="130">
        <f>SUMIFS(Pólizas48[Precio S/.(CITV)],Pólizas48[Familia],$T27,Pólizas48[Prox Insp],2027,Pólizas48[Mes Inicia Pago],AF$18)+AF27</f>
        <v>0</v>
      </c>
      <c r="AG41" s="40">
        <f t="shared" si="4"/>
        <v>0</v>
      </c>
      <c r="AL41" s="147" t="s">
        <v>1033</v>
      </c>
      <c r="AM41" s="139" t="s">
        <v>978</v>
      </c>
      <c r="AN41" s="139" t="s">
        <v>979</v>
      </c>
      <c r="AO41" s="139" t="s">
        <v>966</v>
      </c>
      <c r="AP41" s="139" t="s">
        <v>972</v>
      </c>
      <c r="AQ41" s="139" t="s">
        <v>1034</v>
      </c>
      <c r="AR41" s="139" t="s">
        <v>994</v>
      </c>
      <c r="AS41" s="12">
        <v>45444</v>
      </c>
      <c r="AT41" s="148">
        <v>45809</v>
      </c>
      <c r="AU41" s="140">
        <v>-123</v>
      </c>
      <c r="AV41" s="149" t="s">
        <v>1164</v>
      </c>
      <c r="AW41" s="12">
        <v>46001</v>
      </c>
      <c r="AX41" s="140">
        <v>69</v>
      </c>
      <c r="AY41" s="149" t="s">
        <v>1163</v>
      </c>
      <c r="AZ41" s="11"/>
      <c r="BA41" s="11" t="s">
        <v>575</v>
      </c>
    </row>
    <row r="42" spans="3:53" x14ac:dyDescent="0.3">
      <c r="C42" s="7">
        <v>38</v>
      </c>
      <c r="D42" s="24" t="s">
        <v>140</v>
      </c>
      <c r="E42" s="8" t="s">
        <v>133</v>
      </c>
      <c r="F42" s="13" t="s">
        <v>966</v>
      </c>
      <c r="G42" s="128">
        <f>IFERROR(VLOOKUP(Pólizas48[[#This Row],[PLACA]],ITV_LA[#All],8,0),"")</f>
        <v>45033</v>
      </c>
      <c r="H42" s="128">
        <f>IFERROR(VLOOKUP(Pólizas48[[#This Row],[PLACA]],ITV_LA[#All],9,0),"")</f>
        <v>46129</v>
      </c>
      <c r="I42" s="8">
        <f ca="1">IFERROR(Pólizas48[[#This Row],[Fecha de vencimiento '[RTV']]]-$I$3,"")</f>
        <v>161</v>
      </c>
      <c r="J42" s="27" t="str">
        <f ca="1">IF(Pólizas48[[#This Row],[Fecha de vencimiento '[RTV']]]="","",IF(Pólizas48[[#This Row],[Fecha de vencimiento '[RTV']]]&lt;TODAY(),"Vencido","Vigente"))</f>
        <v>Vigente</v>
      </c>
      <c r="K42" s="27">
        <f>IFERROR(MONTH(Pólizas48[[#This Row],[Fecha de Emision '[RTV']]]),"")</f>
        <v>4</v>
      </c>
      <c r="L42" s="27">
        <f>IFERROR(YEAR(Pólizas48[[#This Row],[Fecha de Emision '[RTV']]]),"")</f>
        <v>2023</v>
      </c>
      <c r="M42" s="27" t="s">
        <v>37</v>
      </c>
      <c r="N42" s="27" t="s">
        <v>48</v>
      </c>
      <c r="O42" s="27" t="s">
        <v>989</v>
      </c>
      <c r="P4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2" s="27">
        <f>VLOOKUP(Pólizas48[[#This Row],[Categoría]],$BD$4:$BG$8,4,0)</f>
        <v>90</v>
      </c>
      <c r="R42" s="27">
        <f>IF(Pólizas48[[#This Row],[Inspección]]=2024,2025,Pólizas48[[#This Row],[Inspección]])</f>
        <v>2026</v>
      </c>
      <c r="T42" s="129" t="s">
        <v>56</v>
      </c>
      <c r="U42" s="130">
        <f>SUMIFS(Pólizas48[Precio S/.(CITV)],Pólizas48[Familia],$T28,Pólizas48[Prox Insp],2027,Pólizas48[Mes Inicia Pago],U$18)+U28</f>
        <v>0</v>
      </c>
      <c r="V42" s="130">
        <f>SUMIFS(Pólizas48[Precio S/.(CITV)],Pólizas48[Familia],$T28,Pólizas48[Prox Insp],2027,Pólizas48[Mes Inicia Pago],V$18)+V28</f>
        <v>0</v>
      </c>
      <c r="W42" s="130">
        <f>SUMIFS(Pólizas48[Precio S/.(CITV)],Pólizas48[Familia],$T28,Pólizas48[Prox Insp],2027,Pólizas48[Mes Inicia Pago],W$18)+W28</f>
        <v>80</v>
      </c>
      <c r="X42" s="130">
        <f>SUMIFS(Pólizas48[Precio S/.(CITV)],Pólizas48[Familia],$T28,Pólizas48[Prox Insp],2027,Pólizas48[Mes Inicia Pago],X$18)+X28</f>
        <v>0</v>
      </c>
      <c r="Y42" s="130">
        <f>SUMIFS(Pólizas48[Precio S/.(CITV)],Pólizas48[Familia],$T28,Pólizas48[Prox Insp],2027,Pólizas48[Mes Inicia Pago],Y$18)+Y28</f>
        <v>0</v>
      </c>
      <c r="Z42" s="130">
        <f>SUMIFS(Pólizas48[Precio S/.(CITV)],Pólizas48[Familia],$T28,Pólizas48[Prox Insp],2027,Pólizas48[Mes Inicia Pago],Z$18)+Z28</f>
        <v>0</v>
      </c>
      <c r="AA42" s="130">
        <f>SUMIFS(Pólizas48[Precio S/.(CITV)],Pólizas48[Familia],$T28,Pólizas48[Prox Insp],2027,Pólizas48[Mes Inicia Pago],AA$18)+AA28</f>
        <v>0</v>
      </c>
      <c r="AB42" s="130">
        <f>SUMIFS(Pólizas48[Precio S/.(CITV)],Pólizas48[Familia],$T28,Pólizas48[Prox Insp],2027,Pólizas48[Mes Inicia Pago],AB$18)+AB28</f>
        <v>0</v>
      </c>
      <c r="AC42" s="130">
        <f>SUMIFS(Pólizas48[Precio S/.(CITV)],Pólizas48[Familia],$T28,Pólizas48[Prox Insp],2027,Pólizas48[Mes Inicia Pago],AC$18)+AC28</f>
        <v>0</v>
      </c>
      <c r="AD42" s="130">
        <f>SUMIFS(Pólizas48[Precio S/.(CITV)],Pólizas48[Familia],$T28,Pólizas48[Prox Insp],2027,Pólizas48[Mes Inicia Pago],AD$18)+AD28</f>
        <v>0</v>
      </c>
      <c r="AE42" s="130">
        <f>SUMIFS(Pólizas48[Precio S/.(CITV)],Pólizas48[Familia],$T28,Pólizas48[Prox Insp],2027,Pólizas48[Mes Inicia Pago],AE$18)+AE28</f>
        <v>0</v>
      </c>
      <c r="AF42" s="130">
        <f>SUMIFS(Pólizas48[Precio S/.(CITV)],Pólizas48[Familia],$T28,Pólizas48[Prox Insp],2027,Pólizas48[Mes Inicia Pago],AF$18)+AF28</f>
        <v>0</v>
      </c>
      <c r="AG42" s="40">
        <f t="shared" si="4"/>
        <v>80</v>
      </c>
      <c r="AL42" s="147" t="s">
        <v>1035</v>
      </c>
      <c r="AM42" s="139" t="s">
        <v>1006</v>
      </c>
      <c r="AN42" s="139" t="s">
        <v>979</v>
      </c>
      <c r="AO42" s="139" t="s">
        <v>971</v>
      </c>
      <c r="AP42" s="139" t="s">
        <v>972</v>
      </c>
      <c r="AQ42" s="139" t="s">
        <v>1018</v>
      </c>
      <c r="AR42" s="139" t="s">
        <v>974</v>
      </c>
      <c r="AS42" s="12">
        <v>45512</v>
      </c>
      <c r="AT42" s="148">
        <v>45877</v>
      </c>
      <c r="AU42" s="140">
        <v>-55</v>
      </c>
      <c r="AV42" s="149" t="s">
        <v>1164</v>
      </c>
      <c r="AW42" s="12">
        <v>45852</v>
      </c>
      <c r="AX42" s="140">
        <v>-80</v>
      </c>
      <c r="AY42" s="149" t="s">
        <v>1164</v>
      </c>
      <c r="AZ42" s="11"/>
      <c r="BA42" s="11" t="s">
        <v>575</v>
      </c>
    </row>
    <row r="43" spans="3:53" x14ac:dyDescent="0.3">
      <c r="C43" s="7">
        <v>39</v>
      </c>
      <c r="D43" s="24" t="s">
        <v>136</v>
      </c>
      <c r="E43" s="8" t="s">
        <v>133</v>
      </c>
      <c r="F43" s="13" t="s">
        <v>966</v>
      </c>
      <c r="G43" s="128">
        <f>IFERROR(VLOOKUP(Pólizas48[[#This Row],[PLACA]],ITV_LA[#All],8,0),"")</f>
        <v>45033</v>
      </c>
      <c r="H43" s="128">
        <f>IFERROR(VLOOKUP(Pólizas48[[#This Row],[PLACA]],ITV_LA[#All],9,0),"")</f>
        <v>46129</v>
      </c>
      <c r="I43" s="8">
        <f ca="1">IFERROR(Pólizas48[[#This Row],[Fecha de vencimiento '[RTV']]]-$I$3,"")</f>
        <v>161</v>
      </c>
      <c r="J43" s="27" t="str">
        <f ca="1">IF(Pólizas48[[#This Row],[Fecha de vencimiento '[RTV']]]="","",IF(Pólizas48[[#This Row],[Fecha de vencimiento '[RTV']]]&lt;TODAY(),"Vencido","Vigente"))</f>
        <v>Vigente</v>
      </c>
      <c r="K43" s="27">
        <f>IFERROR(MONTH(Pólizas48[[#This Row],[Fecha de Emision '[RTV']]]),"")</f>
        <v>4</v>
      </c>
      <c r="L43" s="27">
        <f>IFERROR(YEAR(Pólizas48[[#This Row],[Fecha de Emision '[RTV']]]),"")</f>
        <v>2023</v>
      </c>
      <c r="M43" s="27" t="s">
        <v>37</v>
      </c>
      <c r="N43" s="27" t="s">
        <v>48</v>
      </c>
      <c r="O43" s="27" t="s">
        <v>989</v>
      </c>
      <c r="P4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3" s="27">
        <f>VLOOKUP(Pólizas48[[#This Row],[Categoría]],$BD$4:$BG$8,4,0)</f>
        <v>90</v>
      </c>
      <c r="R43" s="27">
        <f>IF(Pólizas48[[#This Row],[Inspección]]=2024,2025,Pólizas48[[#This Row],[Inspección]])</f>
        <v>2026</v>
      </c>
      <c r="T43" s="129" t="s">
        <v>58</v>
      </c>
      <c r="U43" s="130">
        <f>SUMIFS(Pólizas48[Precio S/.(CITV)],Pólizas48[Familia],$T29,Pólizas48[Prox Insp],2027,Pólizas48[Mes Inicia Pago],U$18)+U29</f>
        <v>0</v>
      </c>
      <c r="V43" s="130">
        <f>SUMIFS(Pólizas48[Precio S/.(CITV)],Pólizas48[Familia],$T29,Pólizas48[Prox Insp],2027,Pólizas48[Mes Inicia Pago],V$18)+V29</f>
        <v>360</v>
      </c>
      <c r="W43" s="130">
        <f>SUMIFS(Pólizas48[Precio S/.(CITV)],Pólizas48[Familia],$T29,Pólizas48[Prox Insp],2027,Pólizas48[Mes Inicia Pago],W$18)+W29</f>
        <v>270</v>
      </c>
      <c r="X43" s="130">
        <f>SUMIFS(Pólizas48[Precio S/.(CITV)],Pólizas48[Familia],$T29,Pólizas48[Prox Insp],2027,Pólizas48[Mes Inicia Pago],X$18)+X29</f>
        <v>90</v>
      </c>
      <c r="Y43" s="130">
        <f>SUMIFS(Pólizas48[Precio S/.(CITV)],Pólizas48[Familia],$T29,Pólizas48[Prox Insp],2027,Pólizas48[Mes Inicia Pago],Y$18)+Y29</f>
        <v>0</v>
      </c>
      <c r="Z43" s="130">
        <f>SUMIFS(Pólizas48[Precio S/.(CITV)],Pólizas48[Familia],$T29,Pólizas48[Prox Insp],2027,Pólizas48[Mes Inicia Pago],Z$18)+Z29</f>
        <v>0</v>
      </c>
      <c r="AA43" s="130">
        <f>SUMIFS(Pólizas48[Precio S/.(CITV)],Pólizas48[Familia],$T29,Pólizas48[Prox Insp],2027,Pólizas48[Mes Inicia Pago],AA$18)+AA29</f>
        <v>0</v>
      </c>
      <c r="AB43" s="130">
        <f>SUMIFS(Pólizas48[Precio S/.(CITV)],Pólizas48[Familia],$T29,Pólizas48[Prox Insp],2027,Pólizas48[Mes Inicia Pago],AB$18)+AB29</f>
        <v>0</v>
      </c>
      <c r="AC43" s="130">
        <f>SUMIFS(Pólizas48[Precio S/.(CITV)],Pólizas48[Familia],$T29,Pólizas48[Prox Insp],2027,Pólizas48[Mes Inicia Pago],AC$18)+AC29</f>
        <v>0</v>
      </c>
      <c r="AD43" s="130">
        <f>SUMIFS(Pólizas48[Precio S/.(CITV)],Pólizas48[Familia],$T29,Pólizas48[Prox Insp],2027,Pólizas48[Mes Inicia Pago],AD$18)+AD29</f>
        <v>0</v>
      </c>
      <c r="AE43" s="130">
        <f>SUMIFS(Pólizas48[Precio S/.(CITV)],Pólizas48[Familia],$T29,Pólizas48[Prox Insp],2027,Pólizas48[Mes Inicia Pago],AE$18)+AE29</f>
        <v>0</v>
      </c>
      <c r="AF43" s="130">
        <f>SUMIFS(Pólizas48[Precio S/.(CITV)],Pólizas48[Familia],$T29,Pólizas48[Prox Insp],2027,Pólizas48[Mes Inicia Pago],AF$18)+AF29</f>
        <v>0</v>
      </c>
      <c r="AG43" s="40">
        <f t="shared" si="4"/>
        <v>720</v>
      </c>
      <c r="AL43" s="147" t="s">
        <v>1036</v>
      </c>
      <c r="AM43" s="139" t="s">
        <v>978</v>
      </c>
      <c r="AN43" s="139" t="s">
        <v>979</v>
      </c>
      <c r="AO43" s="139" t="s">
        <v>996</v>
      </c>
      <c r="AP43" s="139" t="s">
        <v>997</v>
      </c>
      <c r="AQ43" s="139" t="s">
        <v>998</v>
      </c>
      <c r="AR43" s="139" t="s">
        <v>994</v>
      </c>
      <c r="AS43" s="12">
        <v>45446</v>
      </c>
      <c r="AT43" s="148">
        <v>45811</v>
      </c>
      <c r="AU43" s="140">
        <v>-121</v>
      </c>
      <c r="AV43" s="149" t="s">
        <v>1164</v>
      </c>
      <c r="AW43" s="12">
        <v>45840</v>
      </c>
      <c r="AX43" s="140">
        <v>-92</v>
      </c>
      <c r="AY43" s="149" t="s">
        <v>1164</v>
      </c>
      <c r="AZ43" s="11"/>
      <c r="BA43" s="11" t="s">
        <v>575</v>
      </c>
    </row>
    <row r="44" spans="3:53" x14ac:dyDescent="0.3">
      <c r="C44" s="7">
        <v>40</v>
      </c>
      <c r="D44" s="24" t="s">
        <v>152</v>
      </c>
      <c r="E44" s="8" t="s">
        <v>133</v>
      </c>
      <c r="F44" s="13" t="s">
        <v>966</v>
      </c>
      <c r="G44" s="128">
        <f>IFERROR(VLOOKUP(Pólizas48[[#This Row],[PLACA]],ITV_LA[#All],8,0),"")</f>
        <v>45033</v>
      </c>
      <c r="H44" s="128">
        <f>IFERROR(VLOOKUP(Pólizas48[[#This Row],[PLACA]],ITV_LA[#All],9,0),"")</f>
        <v>46129</v>
      </c>
      <c r="I44" s="8">
        <f ca="1">IFERROR(Pólizas48[[#This Row],[Fecha de vencimiento '[RTV']]]-$I$3,"")</f>
        <v>161</v>
      </c>
      <c r="J44" s="27" t="str">
        <f ca="1">IF(Pólizas48[[#This Row],[Fecha de vencimiento '[RTV']]]="","",IF(Pólizas48[[#This Row],[Fecha de vencimiento '[RTV']]]&lt;TODAY(),"Vencido","Vigente"))</f>
        <v>Vigente</v>
      </c>
      <c r="K44" s="27">
        <f>IFERROR(MONTH(Pólizas48[[#This Row],[Fecha de Emision '[RTV']]]),"")</f>
        <v>4</v>
      </c>
      <c r="L44" s="27">
        <f>IFERROR(YEAR(Pólizas48[[#This Row],[Fecha de Emision '[RTV']]]),"")</f>
        <v>2023</v>
      </c>
      <c r="M44" s="27" t="s">
        <v>37</v>
      </c>
      <c r="N44" s="27" t="s">
        <v>48</v>
      </c>
      <c r="O44" s="27" t="s">
        <v>989</v>
      </c>
      <c r="P4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4" s="27">
        <f>VLOOKUP(Pólizas48[[#This Row],[Categoría]],$BD$4:$BG$8,4,0)</f>
        <v>90</v>
      </c>
      <c r="R44" s="27">
        <f>IF(Pólizas48[[#This Row],[Inspección]]=2024,2025,Pólizas48[[#This Row],[Inspección]])</f>
        <v>2026</v>
      </c>
      <c r="T44" s="131" t="s">
        <v>23</v>
      </c>
      <c r="U44" s="40">
        <f>SUM(U34:U43)</f>
        <v>0</v>
      </c>
      <c r="V44" s="40">
        <f t="shared" ref="V44:AF44" si="5">SUM(V34:V43)</f>
        <v>360</v>
      </c>
      <c r="W44" s="40">
        <f t="shared" si="5"/>
        <v>1970</v>
      </c>
      <c r="X44" s="40">
        <f t="shared" si="5"/>
        <v>2033</v>
      </c>
      <c r="Y44" s="40">
        <f t="shared" si="5"/>
        <v>0</v>
      </c>
      <c r="Z44" s="40">
        <f t="shared" si="5"/>
        <v>1200</v>
      </c>
      <c r="AA44" s="40">
        <f t="shared" si="5"/>
        <v>0</v>
      </c>
      <c r="AB44" s="40">
        <f t="shared" si="5"/>
        <v>0</v>
      </c>
      <c r="AC44" s="40">
        <f t="shared" si="5"/>
        <v>0</v>
      </c>
      <c r="AD44" s="40">
        <f t="shared" si="5"/>
        <v>0</v>
      </c>
      <c r="AE44" s="40">
        <f t="shared" si="5"/>
        <v>0</v>
      </c>
      <c r="AF44" s="40">
        <f t="shared" si="5"/>
        <v>0</v>
      </c>
      <c r="AG44" s="132">
        <f t="shared" si="4"/>
        <v>5563</v>
      </c>
      <c r="AL44" s="147" t="s">
        <v>1037</v>
      </c>
      <c r="AM44" s="139" t="s">
        <v>1038</v>
      </c>
      <c r="AN44" s="139" t="s">
        <v>979</v>
      </c>
      <c r="AO44" s="139" t="s">
        <v>971</v>
      </c>
      <c r="AP44" s="139" t="s">
        <v>972</v>
      </c>
      <c r="AQ44" s="139" t="s">
        <v>973</v>
      </c>
      <c r="AR44" s="139" t="s">
        <v>974</v>
      </c>
      <c r="AS44" s="12">
        <v>45481</v>
      </c>
      <c r="AT44" s="148">
        <v>45846</v>
      </c>
      <c r="AU44" s="140">
        <v>-86</v>
      </c>
      <c r="AV44" s="149" t="s">
        <v>1164</v>
      </c>
      <c r="AW44" s="12">
        <v>45856</v>
      </c>
      <c r="AX44" s="140">
        <v>-76</v>
      </c>
      <c r="AY44" s="149" t="s">
        <v>1164</v>
      </c>
      <c r="AZ44" s="11"/>
      <c r="BA44" s="11" t="s">
        <v>575</v>
      </c>
    </row>
    <row r="45" spans="3:53" x14ac:dyDescent="0.3">
      <c r="C45" s="7">
        <v>41</v>
      </c>
      <c r="D45" s="24" t="s">
        <v>148</v>
      </c>
      <c r="E45" s="8" t="s">
        <v>133</v>
      </c>
      <c r="F45" s="13" t="s">
        <v>966</v>
      </c>
      <c r="G45" s="128">
        <f>IFERROR(VLOOKUP(Pólizas48[[#This Row],[PLACA]],ITV_LA[#All],8,0),"")</f>
        <v>45033</v>
      </c>
      <c r="H45" s="128">
        <f>IFERROR(VLOOKUP(Pólizas48[[#This Row],[PLACA]],ITV_LA[#All],9,0),"")</f>
        <v>46129</v>
      </c>
      <c r="I45" s="8">
        <f ca="1">IFERROR(Pólizas48[[#This Row],[Fecha de vencimiento '[RTV']]]-$I$3,"")</f>
        <v>161</v>
      </c>
      <c r="J45" s="27" t="str">
        <f ca="1">IF(Pólizas48[[#This Row],[Fecha de vencimiento '[RTV']]]="","",IF(Pólizas48[[#This Row],[Fecha de vencimiento '[RTV']]]&lt;TODAY(),"Vencido","Vigente"))</f>
        <v>Vigente</v>
      </c>
      <c r="K45" s="27">
        <f>IFERROR(MONTH(Pólizas48[[#This Row],[Fecha de Emision '[RTV']]]),"")</f>
        <v>4</v>
      </c>
      <c r="L45" s="27">
        <f>IFERROR(YEAR(Pólizas48[[#This Row],[Fecha de Emision '[RTV']]]),"")</f>
        <v>2023</v>
      </c>
      <c r="M45" s="27" t="s">
        <v>37</v>
      </c>
      <c r="N45" s="27" t="s">
        <v>48</v>
      </c>
      <c r="O45" s="27" t="s">
        <v>989</v>
      </c>
      <c r="P4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5" s="27">
        <f>VLOOKUP(Pólizas48[[#This Row],[Categoría]],$BD$4:$BG$8,4,0)</f>
        <v>90</v>
      </c>
      <c r="R45" s="27">
        <f>IF(Pólizas48[[#This Row],[Inspección]]=2024,2025,Pólizas48[[#This Row],[Inspección]])</f>
        <v>2026</v>
      </c>
      <c r="AL45" s="147" t="s">
        <v>1039</v>
      </c>
      <c r="AM45" s="139" t="s">
        <v>1038</v>
      </c>
      <c r="AN45" s="139" t="s">
        <v>979</v>
      </c>
      <c r="AO45" s="139" t="s">
        <v>971</v>
      </c>
      <c r="AP45" s="139" t="s">
        <v>972</v>
      </c>
      <c r="AQ45" s="139" t="s">
        <v>973</v>
      </c>
      <c r="AR45" s="139" t="s">
        <v>974</v>
      </c>
      <c r="AS45" s="12">
        <v>45641</v>
      </c>
      <c r="AT45" s="148">
        <v>46006</v>
      </c>
      <c r="AU45" s="140">
        <v>74</v>
      </c>
      <c r="AV45" s="149" t="s">
        <v>1163</v>
      </c>
      <c r="AW45" s="12">
        <v>45856</v>
      </c>
      <c r="AX45" s="140">
        <v>-76</v>
      </c>
      <c r="AY45" s="149" t="s">
        <v>1164</v>
      </c>
      <c r="AZ45" s="11"/>
      <c r="BA45" s="11" t="s">
        <v>575</v>
      </c>
    </row>
    <row r="46" spans="3:53" x14ac:dyDescent="0.3">
      <c r="C46" s="7">
        <v>42</v>
      </c>
      <c r="D46" s="24" t="s">
        <v>141</v>
      </c>
      <c r="E46" s="8" t="s">
        <v>133</v>
      </c>
      <c r="F46" s="13" t="s">
        <v>966</v>
      </c>
      <c r="G46" s="128">
        <f>IFERROR(VLOOKUP(Pólizas48[[#This Row],[PLACA]],ITV_LA[#All],8,0),"")</f>
        <v>45033</v>
      </c>
      <c r="H46" s="128">
        <f>IFERROR(VLOOKUP(Pólizas48[[#This Row],[PLACA]],ITV_LA[#All],9,0),"")</f>
        <v>46129</v>
      </c>
      <c r="I46" s="8">
        <f ca="1">IFERROR(Pólizas48[[#This Row],[Fecha de vencimiento '[RTV']]]-$I$3,"")</f>
        <v>161</v>
      </c>
      <c r="J46" s="27" t="str">
        <f ca="1">IF(Pólizas48[[#This Row],[Fecha de vencimiento '[RTV']]]="","",IF(Pólizas48[[#This Row],[Fecha de vencimiento '[RTV']]]&lt;TODAY(),"Vencido","Vigente"))</f>
        <v>Vigente</v>
      </c>
      <c r="K46" s="27">
        <f>IFERROR(MONTH(Pólizas48[[#This Row],[Fecha de Emision '[RTV']]]),"")</f>
        <v>4</v>
      </c>
      <c r="L46" s="27">
        <f>IFERROR(YEAR(Pólizas48[[#This Row],[Fecha de Emision '[RTV']]]),"")</f>
        <v>2023</v>
      </c>
      <c r="M46" s="27" t="s">
        <v>37</v>
      </c>
      <c r="N46" s="27" t="s">
        <v>48</v>
      </c>
      <c r="O46" s="27" t="s">
        <v>989</v>
      </c>
      <c r="P4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6" s="27">
        <f>VLOOKUP(Pólizas48[[#This Row],[Categoría]],$BD$4:$BG$8,4,0)</f>
        <v>90</v>
      </c>
      <c r="R46" s="27">
        <f>IF(Pólizas48[[#This Row],[Inspección]]=2024,2025,Pólizas48[[#This Row],[Inspección]])</f>
        <v>2026</v>
      </c>
      <c r="AL46" s="147" t="s">
        <v>1040</v>
      </c>
      <c r="AM46" s="139" t="s">
        <v>1006</v>
      </c>
      <c r="AN46" s="139" t="s">
        <v>979</v>
      </c>
      <c r="AO46" s="139" t="s">
        <v>966</v>
      </c>
      <c r="AP46" s="139" t="s">
        <v>972</v>
      </c>
      <c r="AQ46" s="139" t="s">
        <v>1034</v>
      </c>
      <c r="AR46" s="139" t="s">
        <v>994</v>
      </c>
      <c r="AS46" s="12">
        <v>45448</v>
      </c>
      <c r="AT46" s="148">
        <v>45813</v>
      </c>
      <c r="AU46" s="140">
        <v>-119</v>
      </c>
      <c r="AV46" s="149" t="s">
        <v>1164</v>
      </c>
      <c r="AW46" s="12">
        <v>45936</v>
      </c>
      <c r="AX46" s="140">
        <v>4</v>
      </c>
      <c r="AY46" s="149" t="s">
        <v>1164</v>
      </c>
      <c r="AZ46" s="11"/>
      <c r="BA46" s="11" t="s">
        <v>575</v>
      </c>
    </row>
    <row r="47" spans="3:53" x14ac:dyDescent="0.3">
      <c r="C47" s="7">
        <v>43</v>
      </c>
      <c r="D47" s="24" t="s">
        <v>137</v>
      </c>
      <c r="E47" s="8" t="s">
        <v>133</v>
      </c>
      <c r="F47" s="13" t="s">
        <v>966</v>
      </c>
      <c r="G47" s="128">
        <f>IFERROR(VLOOKUP(Pólizas48[[#This Row],[PLACA]],ITV_LA[#All],8,0),"")</f>
        <v>45033</v>
      </c>
      <c r="H47" s="128">
        <f>IFERROR(VLOOKUP(Pólizas48[[#This Row],[PLACA]],ITV_LA[#All],9,0),"")</f>
        <v>46129</v>
      </c>
      <c r="I47" s="8">
        <f ca="1">IFERROR(Pólizas48[[#This Row],[Fecha de vencimiento '[RTV']]]-$I$3,"")</f>
        <v>161</v>
      </c>
      <c r="J47" s="27" t="str">
        <f ca="1">IF(Pólizas48[[#This Row],[Fecha de vencimiento '[RTV']]]="","",IF(Pólizas48[[#This Row],[Fecha de vencimiento '[RTV']]]&lt;TODAY(),"Vencido","Vigente"))</f>
        <v>Vigente</v>
      </c>
      <c r="K47" s="27">
        <f>IFERROR(MONTH(Pólizas48[[#This Row],[Fecha de Emision '[RTV']]]),"")</f>
        <v>4</v>
      </c>
      <c r="L47" s="27">
        <f>IFERROR(YEAR(Pólizas48[[#This Row],[Fecha de Emision '[RTV']]]),"")</f>
        <v>2023</v>
      </c>
      <c r="M47" s="27" t="s">
        <v>37</v>
      </c>
      <c r="N47" s="27" t="s">
        <v>48</v>
      </c>
      <c r="O47" s="27" t="s">
        <v>989</v>
      </c>
      <c r="P4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7" s="27">
        <f>VLOOKUP(Pólizas48[[#This Row],[Categoría]],$BD$4:$BG$8,4,0)</f>
        <v>90</v>
      </c>
      <c r="R47" s="27">
        <f>IF(Pólizas48[[#This Row],[Inspección]]=2024,2025,Pólizas48[[#This Row],[Inspección]])</f>
        <v>2026</v>
      </c>
      <c r="AL47" s="147" t="s">
        <v>1041</v>
      </c>
      <c r="AM47" s="139" t="s">
        <v>1038</v>
      </c>
      <c r="AN47" s="139" t="s">
        <v>979</v>
      </c>
      <c r="AO47" s="139" t="s">
        <v>971</v>
      </c>
      <c r="AP47" s="139" t="s">
        <v>972</v>
      </c>
      <c r="AQ47" s="139" t="s">
        <v>973</v>
      </c>
      <c r="AR47" s="139" t="s">
        <v>974</v>
      </c>
      <c r="AS47" s="12">
        <v>45513</v>
      </c>
      <c r="AT47" s="148">
        <v>45878</v>
      </c>
      <c r="AU47" s="140">
        <v>-54</v>
      </c>
      <c r="AV47" s="149" t="s">
        <v>1164</v>
      </c>
      <c r="AW47" s="12">
        <v>45856</v>
      </c>
      <c r="AX47" s="140">
        <v>-76</v>
      </c>
      <c r="AY47" s="149" t="s">
        <v>1164</v>
      </c>
      <c r="AZ47" s="11"/>
      <c r="BA47" s="11" t="s">
        <v>575</v>
      </c>
    </row>
    <row r="48" spans="3:53" x14ac:dyDescent="0.3">
      <c r="C48" s="7">
        <v>44</v>
      </c>
      <c r="D48" s="24" t="s">
        <v>142</v>
      </c>
      <c r="E48" s="8" t="s">
        <v>133</v>
      </c>
      <c r="F48" s="13" t="s">
        <v>966</v>
      </c>
      <c r="G48" s="128">
        <f>IFERROR(VLOOKUP(Pólizas48[[#This Row],[PLACA]],ITV_LA[#All],8,0),"")</f>
        <v>45033</v>
      </c>
      <c r="H48" s="128">
        <f>IFERROR(VLOOKUP(Pólizas48[[#This Row],[PLACA]],ITV_LA[#All],9,0),"")</f>
        <v>46129</v>
      </c>
      <c r="I48" s="8">
        <f ca="1">IFERROR(Pólizas48[[#This Row],[Fecha de vencimiento '[RTV']]]-$I$3,"")</f>
        <v>161</v>
      </c>
      <c r="J48" s="27" t="str">
        <f ca="1">IF(Pólizas48[[#This Row],[Fecha de vencimiento '[RTV']]]="","",IF(Pólizas48[[#This Row],[Fecha de vencimiento '[RTV']]]&lt;TODAY(),"Vencido","Vigente"))</f>
        <v>Vigente</v>
      </c>
      <c r="K48" s="27">
        <f>IFERROR(MONTH(Pólizas48[[#This Row],[Fecha de Emision '[RTV']]]),"")</f>
        <v>4</v>
      </c>
      <c r="L48" s="27">
        <f>IFERROR(YEAR(Pólizas48[[#This Row],[Fecha de Emision '[RTV']]]),"")</f>
        <v>2023</v>
      </c>
      <c r="M48" s="27" t="s">
        <v>37</v>
      </c>
      <c r="N48" s="27" t="s">
        <v>48</v>
      </c>
      <c r="O48" s="27" t="s">
        <v>989</v>
      </c>
      <c r="P4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8" s="27">
        <f>VLOOKUP(Pólizas48[[#This Row],[Categoría]],$BD$4:$BG$8,4,0)</f>
        <v>90</v>
      </c>
      <c r="R48" s="27">
        <f>IF(Pólizas48[[#This Row],[Inspección]]=2024,2025,Pólizas48[[#This Row],[Inspección]])</f>
        <v>2026</v>
      </c>
      <c r="AL48" s="147" t="s">
        <v>1042</v>
      </c>
      <c r="AM48" s="139" t="s">
        <v>1038</v>
      </c>
      <c r="AN48" s="139" t="s">
        <v>979</v>
      </c>
      <c r="AO48" s="139" t="s">
        <v>971</v>
      </c>
      <c r="AP48" s="139" t="s">
        <v>1043</v>
      </c>
      <c r="AQ48" s="139" t="s">
        <v>1044</v>
      </c>
      <c r="AR48" s="139" t="s">
        <v>974</v>
      </c>
      <c r="AS48" s="12">
        <v>45515</v>
      </c>
      <c r="AT48" s="148">
        <v>45880</v>
      </c>
      <c r="AU48" s="140">
        <v>-52</v>
      </c>
      <c r="AV48" s="149" t="s">
        <v>1164</v>
      </c>
      <c r="AW48" s="12">
        <v>45856</v>
      </c>
      <c r="AX48" s="140">
        <v>-76</v>
      </c>
      <c r="AY48" s="149" t="s">
        <v>1164</v>
      </c>
      <c r="AZ48" s="11"/>
      <c r="BA48" s="11" t="s">
        <v>575</v>
      </c>
    </row>
    <row r="49" spans="3:53" x14ac:dyDescent="0.3">
      <c r="C49" s="7">
        <v>45</v>
      </c>
      <c r="D49" s="24" t="s">
        <v>143</v>
      </c>
      <c r="E49" s="8" t="s">
        <v>133</v>
      </c>
      <c r="F49" s="13" t="s">
        <v>966</v>
      </c>
      <c r="G49" s="128">
        <f>IFERROR(VLOOKUP(Pólizas48[[#This Row],[PLACA]],ITV_LA[#All],8,0),"")</f>
        <v>45033</v>
      </c>
      <c r="H49" s="128">
        <f>IFERROR(VLOOKUP(Pólizas48[[#This Row],[PLACA]],ITV_LA[#All],9,0),"")</f>
        <v>46129</v>
      </c>
      <c r="I49" s="8">
        <f ca="1">IFERROR(Pólizas48[[#This Row],[Fecha de vencimiento '[RTV']]]-$I$3,"")</f>
        <v>161</v>
      </c>
      <c r="J49" s="27" t="str">
        <f ca="1">IF(Pólizas48[[#This Row],[Fecha de vencimiento '[RTV']]]="","",IF(Pólizas48[[#This Row],[Fecha de vencimiento '[RTV']]]&lt;TODAY(),"Vencido","Vigente"))</f>
        <v>Vigente</v>
      </c>
      <c r="K49" s="27">
        <f>IFERROR(MONTH(Pólizas48[[#This Row],[Fecha de Emision '[RTV']]]),"")</f>
        <v>4</v>
      </c>
      <c r="L49" s="27">
        <f>IFERROR(YEAR(Pólizas48[[#This Row],[Fecha de Emision '[RTV']]]),"")</f>
        <v>2023</v>
      </c>
      <c r="M49" s="27" t="s">
        <v>37</v>
      </c>
      <c r="N49" s="27" t="s">
        <v>48</v>
      </c>
      <c r="O49" s="27" t="s">
        <v>989</v>
      </c>
      <c r="P4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49" s="27">
        <f>VLOOKUP(Pólizas48[[#This Row],[Categoría]],$BD$4:$BG$8,4,0)</f>
        <v>90</v>
      </c>
      <c r="R49" s="27">
        <f>IF(Pólizas48[[#This Row],[Inspección]]=2024,2025,Pólizas48[[#This Row],[Inspección]])</f>
        <v>2026</v>
      </c>
      <c r="T49" s="62" t="s">
        <v>1045</v>
      </c>
      <c r="U49" s="159">
        <v>2025</v>
      </c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60"/>
      <c r="AL49" s="147" t="s">
        <v>1046</v>
      </c>
      <c r="AM49" s="139" t="s">
        <v>1038</v>
      </c>
      <c r="AN49" s="139" t="s">
        <v>979</v>
      </c>
      <c r="AO49" s="139" t="s">
        <v>971</v>
      </c>
      <c r="AP49" s="139" t="s">
        <v>972</v>
      </c>
      <c r="AQ49" s="139" t="s">
        <v>1011</v>
      </c>
      <c r="AR49" s="139" t="s">
        <v>974</v>
      </c>
      <c r="AS49" s="12">
        <v>45483</v>
      </c>
      <c r="AT49" s="148">
        <v>45848</v>
      </c>
      <c r="AU49" s="140">
        <v>-84</v>
      </c>
      <c r="AV49" s="149" t="s">
        <v>1164</v>
      </c>
      <c r="AW49" s="12">
        <v>45856</v>
      </c>
      <c r="AX49" s="140">
        <v>-76</v>
      </c>
      <c r="AY49" s="149" t="s">
        <v>1164</v>
      </c>
      <c r="AZ49" s="11"/>
      <c r="BA49" s="11" t="s">
        <v>575</v>
      </c>
    </row>
    <row r="50" spans="3:53" x14ac:dyDescent="0.3">
      <c r="C50" s="7">
        <v>46</v>
      </c>
      <c r="D50" s="24" t="s">
        <v>98</v>
      </c>
      <c r="E50" s="8" t="s">
        <v>71</v>
      </c>
      <c r="F50" s="13" t="s">
        <v>966</v>
      </c>
      <c r="G50" s="128">
        <f>IFERROR(VLOOKUP(Pólizas48[[#This Row],[PLACA]],ITV_LA[#All],8,0),"")</f>
        <v>45370</v>
      </c>
      <c r="H50" s="128">
        <f>IFERROR(VLOOKUP(Pólizas48[[#This Row],[PLACA]],ITV_LA[#All],9,0),"")</f>
        <v>46465</v>
      </c>
      <c r="I50" s="8">
        <f ca="1">IFERROR(Pólizas48[[#This Row],[Fecha de vencimiento '[RTV']]]-$I$3,"")</f>
        <v>497</v>
      </c>
      <c r="J50" s="27" t="str">
        <f ca="1">IF(Pólizas48[[#This Row],[Fecha de vencimiento '[RTV']]]="","",IF(Pólizas48[[#This Row],[Fecha de vencimiento '[RTV']]]&lt;TODAY(),"Vencido","Vigente"))</f>
        <v>Vigente</v>
      </c>
      <c r="K50" s="27">
        <f>IFERROR(MONTH(Pólizas48[[#This Row],[Fecha de Emision '[RTV']]]),"")</f>
        <v>3</v>
      </c>
      <c r="L50" s="27">
        <f>IFERROR(YEAR(Pólizas48[[#This Row],[Fecha de Emision '[RTV']]]),"")</f>
        <v>2024</v>
      </c>
      <c r="M50" s="27" t="s">
        <v>37</v>
      </c>
      <c r="N50" s="27" t="s">
        <v>54</v>
      </c>
      <c r="O50" s="27" t="s">
        <v>976</v>
      </c>
      <c r="P5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50" s="27">
        <f>VLOOKUP(Pólizas48[[#This Row],[Categoría]],$BD$4:$BG$8,4,0)</f>
        <v>40</v>
      </c>
      <c r="R50" s="27">
        <f>IF(Pólizas48[[#This Row],[Inspección]]=2024,2025,Pólizas48[[#This Row],[Inspección]])</f>
        <v>2028</v>
      </c>
      <c r="T50" s="63"/>
      <c r="U50" s="64" t="s">
        <v>11</v>
      </c>
      <c r="V50" s="64" t="s">
        <v>12</v>
      </c>
      <c r="W50" s="64" t="s">
        <v>13</v>
      </c>
      <c r="X50" s="64" t="s">
        <v>14</v>
      </c>
      <c r="Y50" s="64" t="s">
        <v>15</v>
      </c>
      <c r="Z50" s="64" t="s">
        <v>16</v>
      </c>
      <c r="AA50" s="64" t="s">
        <v>17</v>
      </c>
      <c r="AB50" s="64" t="s">
        <v>18</v>
      </c>
      <c r="AC50" s="64" t="s">
        <v>19</v>
      </c>
      <c r="AD50" s="64" t="s">
        <v>20</v>
      </c>
      <c r="AE50" s="64" t="s">
        <v>21</v>
      </c>
      <c r="AF50" s="64" t="s">
        <v>22</v>
      </c>
      <c r="AL50" s="147" t="s">
        <v>422</v>
      </c>
      <c r="AM50" s="139" t="s">
        <v>1006</v>
      </c>
      <c r="AN50" s="139" t="s">
        <v>979</v>
      </c>
      <c r="AO50" s="139" t="s">
        <v>985</v>
      </c>
      <c r="AP50" s="139" t="s">
        <v>992</v>
      </c>
      <c r="AQ50" s="139" t="s">
        <v>1047</v>
      </c>
      <c r="AR50" s="139" t="s">
        <v>981</v>
      </c>
      <c r="AS50" s="12">
        <v>45455</v>
      </c>
      <c r="AT50" s="148">
        <v>45820</v>
      </c>
      <c r="AU50" s="140">
        <v>-112</v>
      </c>
      <c r="AV50" s="149" t="s">
        <v>1164</v>
      </c>
      <c r="AW50" s="12">
        <v>46137</v>
      </c>
      <c r="AX50" s="140">
        <v>205</v>
      </c>
      <c r="AY50" s="149" t="s">
        <v>1163</v>
      </c>
      <c r="AZ50" s="11"/>
      <c r="BA50" s="11" t="s">
        <v>575</v>
      </c>
    </row>
    <row r="51" spans="3:53" x14ac:dyDescent="0.3">
      <c r="C51" s="7">
        <v>47</v>
      </c>
      <c r="D51" s="24" t="s">
        <v>81</v>
      </c>
      <c r="E51" s="8" t="s">
        <v>71</v>
      </c>
      <c r="F51" s="13" t="s">
        <v>966</v>
      </c>
      <c r="G51" s="128">
        <f>IFERROR(VLOOKUP(Pólizas48[[#This Row],[PLACA]],ITV_LA[#All],8,0),"")</f>
        <v>45370</v>
      </c>
      <c r="H51" s="128">
        <f>IFERROR(VLOOKUP(Pólizas48[[#This Row],[PLACA]],ITV_LA[#All],9,0),"")</f>
        <v>46465</v>
      </c>
      <c r="I51" s="8">
        <f ca="1">IFERROR(Pólizas48[[#This Row],[Fecha de vencimiento '[RTV']]]-$I$3,"")</f>
        <v>497</v>
      </c>
      <c r="J51" s="27" t="str">
        <f ca="1">IF(Pólizas48[[#This Row],[Fecha de vencimiento '[RTV']]]="","",IF(Pólizas48[[#This Row],[Fecha de vencimiento '[RTV']]]&lt;TODAY(),"Vencido","Vigente"))</f>
        <v>Vigente</v>
      </c>
      <c r="K51" s="27">
        <f>IFERROR(MONTH(Pólizas48[[#This Row],[Fecha de Emision '[RTV']]]),"")</f>
        <v>3</v>
      </c>
      <c r="L51" s="27">
        <f>IFERROR(YEAR(Pólizas48[[#This Row],[Fecha de Emision '[RTV']]]),"")</f>
        <v>2024</v>
      </c>
      <c r="M51" s="27" t="s">
        <v>37</v>
      </c>
      <c r="N51" s="27" t="s">
        <v>54</v>
      </c>
      <c r="O51" s="27" t="s">
        <v>976</v>
      </c>
      <c r="P5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51" s="27">
        <f>VLOOKUP(Pólizas48[[#This Row],[Categoría]],$BD$4:$BG$8,4,0)</f>
        <v>40</v>
      </c>
      <c r="R51" s="27">
        <f>IF(Pólizas48[[#This Row],[Inspección]]=2024,2025,Pólizas48[[#This Row],[Inspección]])</f>
        <v>2028</v>
      </c>
      <c r="T51" s="63" t="s">
        <v>32</v>
      </c>
      <c r="U51" s="134"/>
      <c r="V51" s="134">
        <v>180</v>
      </c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L51" s="147" t="s">
        <v>1048</v>
      </c>
      <c r="AM51" s="139" t="s">
        <v>1038</v>
      </c>
      <c r="AN51" s="139" t="s">
        <v>979</v>
      </c>
      <c r="AO51" s="139" t="s">
        <v>971</v>
      </c>
      <c r="AP51" s="139" t="s">
        <v>972</v>
      </c>
      <c r="AQ51" s="139" t="s">
        <v>973</v>
      </c>
      <c r="AR51" s="139" t="s">
        <v>974</v>
      </c>
      <c r="AS51" s="12">
        <v>45629</v>
      </c>
      <c r="AT51" s="148">
        <v>45994</v>
      </c>
      <c r="AU51" s="140">
        <v>62</v>
      </c>
      <c r="AV51" s="149" t="s">
        <v>1163</v>
      </c>
      <c r="AW51" s="12">
        <v>45856</v>
      </c>
      <c r="AX51" s="140">
        <v>-76</v>
      </c>
      <c r="AY51" s="149" t="s">
        <v>1164</v>
      </c>
      <c r="AZ51" s="11"/>
      <c r="BA51" s="11" t="s">
        <v>575</v>
      </c>
    </row>
    <row r="52" spans="3:53" x14ac:dyDescent="0.3">
      <c r="C52" s="7">
        <v>48</v>
      </c>
      <c r="D52" s="24" t="s">
        <v>160</v>
      </c>
      <c r="E52" s="8" t="s">
        <v>133</v>
      </c>
      <c r="F52" s="13" t="s">
        <v>966</v>
      </c>
      <c r="G52" s="128">
        <f>IFERROR(VLOOKUP(Pólizas48[[#This Row],[PLACA]],ITV_LA[#All],8,0),"")</f>
        <v>45363</v>
      </c>
      <c r="H52" s="128">
        <f>IFERROR(VLOOKUP(Pólizas48[[#This Row],[PLACA]],ITV_LA[#All],9,0),"")</f>
        <v>46458</v>
      </c>
      <c r="I52" s="8">
        <f ca="1">IFERROR(Pólizas48[[#This Row],[Fecha de vencimiento '[RTV']]]-$I$3,"")</f>
        <v>490</v>
      </c>
      <c r="J52" s="27" t="str">
        <f ca="1">IF(Pólizas48[[#This Row],[Fecha de vencimiento '[RTV']]]="","",IF(Pólizas48[[#This Row],[Fecha de vencimiento '[RTV']]]&lt;TODAY(),"Vencido","Vigente"))</f>
        <v>Vigente</v>
      </c>
      <c r="K52" s="27">
        <f>IFERROR(MONTH(Pólizas48[[#This Row],[Fecha de Emision '[RTV']]]),"")</f>
        <v>3</v>
      </c>
      <c r="L52" s="27">
        <f>IFERROR(YEAR(Pólizas48[[#This Row],[Fecha de Emision '[RTV']]]),"")</f>
        <v>2024</v>
      </c>
      <c r="M52" s="27" t="s">
        <v>37</v>
      </c>
      <c r="N52" s="27" t="s">
        <v>48</v>
      </c>
      <c r="O52" s="27" t="s">
        <v>989</v>
      </c>
      <c r="P5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52" s="27">
        <f>VLOOKUP(Pólizas48[[#This Row],[Categoría]],$BD$4:$BG$8,4,0)</f>
        <v>90</v>
      </c>
      <c r="R52" s="27">
        <f>IF(Pólizas48[[#This Row],[Inspección]]=2024,2025,Pólizas48[[#This Row],[Inspección]])</f>
        <v>2027</v>
      </c>
      <c r="T52" s="63" t="s">
        <v>40</v>
      </c>
      <c r="U52" s="134"/>
      <c r="V52" s="134"/>
      <c r="W52" s="134">
        <f>12*150</f>
        <v>1800</v>
      </c>
      <c r="X52" s="134"/>
      <c r="Y52" s="134"/>
      <c r="Z52" s="134"/>
      <c r="AA52" s="134"/>
      <c r="AB52" s="134"/>
      <c r="AC52" s="134"/>
      <c r="AD52" s="134"/>
      <c r="AE52" s="134"/>
      <c r="AF52" s="134"/>
      <c r="AL52" s="147" t="s">
        <v>1049</v>
      </c>
      <c r="AM52" s="139" t="s">
        <v>1006</v>
      </c>
      <c r="AN52" s="139" t="s">
        <v>979</v>
      </c>
      <c r="AO52" s="139" t="s">
        <v>966</v>
      </c>
      <c r="AP52" s="139" t="s">
        <v>972</v>
      </c>
      <c r="AQ52" s="139" t="s">
        <v>1050</v>
      </c>
      <c r="AR52" s="139" t="s">
        <v>981</v>
      </c>
      <c r="AS52" s="12">
        <v>45456</v>
      </c>
      <c r="AT52" s="148">
        <v>45821</v>
      </c>
      <c r="AU52" s="140">
        <v>-111</v>
      </c>
      <c r="AV52" s="149" t="s">
        <v>1164</v>
      </c>
      <c r="AW52" s="148">
        <v>45840</v>
      </c>
      <c r="AX52" s="140">
        <v>-92</v>
      </c>
      <c r="AY52" s="149" t="s">
        <v>1164</v>
      </c>
      <c r="AZ52" s="11"/>
      <c r="BA52" s="11" t="s">
        <v>575</v>
      </c>
    </row>
    <row r="53" spans="3:53" x14ac:dyDescent="0.3">
      <c r="C53" s="7">
        <v>49</v>
      </c>
      <c r="D53" s="24" t="s">
        <v>83</v>
      </c>
      <c r="E53" s="8" t="s">
        <v>71</v>
      </c>
      <c r="F53" s="13" t="s">
        <v>966</v>
      </c>
      <c r="G53" s="128">
        <f>IFERROR(VLOOKUP(Pólizas48[[#This Row],[PLACA]],ITV_LA[#All],8,0),"")</f>
        <v>45399</v>
      </c>
      <c r="H53" s="128">
        <f>IFERROR(VLOOKUP(Pólizas48[[#This Row],[PLACA]],ITV_LA[#All],9,0),"")</f>
        <v>46494</v>
      </c>
      <c r="I53" s="8">
        <f ca="1">IFERROR(Pólizas48[[#This Row],[Fecha de vencimiento '[RTV']]]-$I$3,"")</f>
        <v>526</v>
      </c>
      <c r="J53" s="27" t="str">
        <f ca="1">IF(Pólizas48[[#This Row],[Fecha de vencimiento '[RTV']]]="","",IF(Pólizas48[[#This Row],[Fecha de vencimiento '[RTV']]]&lt;TODAY(),"Vencido","Vigente"))</f>
        <v>Vigente</v>
      </c>
      <c r="K53" s="27">
        <f>IFERROR(MONTH(Pólizas48[[#This Row],[Fecha de Emision '[RTV']]]),"")</f>
        <v>4</v>
      </c>
      <c r="L53" s="27">
        <f>IFERROR(YEAR(Pólizas48[[#This Row],[Fecha de Emision '[RTV']]]),"")</f>
        <v>2024</v>
      </c>
      <c r="M53" s="27" t="s">
        <v>37</v>
      </c>
      <c r="N53" s="27" t="s">
        <v>54</v>
      </c>
      <c r="O53" s="27" t="s">
        <v>976</v>
      </c>
      <c r="P5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53" s="27">
        <f>VLOOKUP(Pólizas48[[#This Row],[Categoría]],$BD$4:$BG$8,4,0)</f>
        <v>40</v>
      </c>
      <c r="R53" s="27">
        <f>IF(Pólizas48[[#This Row],[Inspección]]=2024,2025,Pólizas48[[#This Row],[Inspección]])</f>
        <v>2028</v>
      </c>
      <c r="T53" s="63" t="s">
        <v>46</v>
      </c>
      <c r="U53" s="134"/>
      <c r="V53" s="134"/>
      <c r="W53" s="134"/>
      <c r="X53" s="134"/>
      <c r="Y53" s="134"/>
      <c r="Z53" s="134">
        <f>150</f>
        <v>150</v>
      </c>
      <c r="AA53" s="134"/>
      <c r="AB53" s="134"/>
      <c r="AC53" s="134"/>
      <c r="AD53" s="134"/>
      <c r="AE53" s="134"/>
      <c r="AF53" s="134"/>
      <c r="AL53" s="147" t="s">
        <v>1051</v>
      </c>
      <c r="AM53" s="139" t="s">
        <v>1038</v>
      </c>
      <c r="AN53" s="139" t="s">
        <v>979</v>
      </c>
      <c r="AO53" s="139" t="s">
        <v>971</v>
      </c>
      <c r="AP53" s="139" t="s">
        <v>972</v>
      </c>
      <c r="AQ53" s="139" t="s">
        <v>1052</v>
      </c>
      <c r="AR53" s="139" t="s">
        <v>974</v>
      </c>
      <c r="AS53" s="12">
        <v>45526</v>
      </c>
      <c r="AT53" s="148">
        <v>45891</v>
      </c>
      <c r="AU53" s="140">
        <v>-41</v>
      </c>
      <c r="AV53" s="149" t="s">
        <v>1164</v>
      </c>
      <c r="AW53" s="12">
        <v>45856</v>
      </c>
      <c r="AX53" s="140">
        <v>-76</v>
      </c>
      <c r="AY53" s="149" t="s">
        <v>1164</v>
      </c>
      <c r="AZ53" s="11"/>
      <c r="BA53" s="11" t="s">
        <v>575</v>
      </c>
    </row>
    <row r="54" spans="3:53" x14ac:dyDescent="0.3">
      <c r="C54" s="7">
        <v>50</v>
      </c>
      <c r="D54" s="24" t="s">
        <v>75</v>
      </c>
      <c r="E54" s="8" t="s">
        <v>71</v>
      </c>
      <c r="F54" s="13" t="s">
        <v>966</v>
      </c>
      <c r="G54" s="128">
        <f>IFERROR(VLOOKUP(Pólizas48[[#This Row],[PLACA]],ITV_LA[#All],8,0),"")</f>
        <v>45399</v>
      </c>
      <c r="H54" s="128">
        <f>IFERROR(VLOOKUP(Pólizas48[[#This Row],[PLACA]],ITV_LA[#All],9,0),"")</f>
        <v>46494</v>
      </c>
      <c r="I54" s="8">
        <f ca="1">IFERROR(Pólizas48[[#This Row],[Fecha de vencimiento '[RTV']]]-$I$3,"")</f>
        <v>526</v>
      </c>
      <c r="J54" s="27" t="str">
        <f ca="1">IF(Pólizas48[[#This Row],[Fecha de vencimiento '[RTV']]]="","",IF(Pólizas48[[#This Row],[Fecha de vencimiento '[RTV']]]&lt;TODAY(),"Vencido","Vigente"))</f>
        <v>Vigente</v>
      </c>
      <c r="K54" s="27">
        <f>IFERROR(MONTH(Pólizas48[[#This Row],[Fecha de Emision '[RTV']]]),"")</f>
        <v>4</v>
      </c>
      <c r="L54" s="27">
        <f>IFERROR(YEAR(Pólizas48[[#This Row],[Fecha de Emision '[RTV']]]),"")</f>
        <v>2024</v>
      </c>
      <c r="M54" s="27" t="s">
        <v>37</v>
      </c>
      <c r="N54" s="27" t="s">
        <v>54</v>
      </c>
      <c r="O54" s="27" t="s">
        <v>976</v>
      </c>
      <c r="P5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54" s="27">
        <f>VLOOKUP(Pólizas48[[#This Row],[Categoría]],$BD$4:$BG$8,4,0)</f>
        <v>40</v>
      </c>
      <c r="R54" s="27">
        <f>IF(Pólizas48[[#This Row],[Inspección]]=2024,2025,Pólizas48[[#This Row],[Inspección]])</f>
        <v>2028</v>
      </c>
      <c r="T54" s="63" t="s">
        <v>48</v>
      </c>
      <c r="U54" s="134"/>
      <c r="V54" s="134"/>
      <c r="W54" s="134"/>
      <c r="X54" s="134"/>
      <c r="Y54" s="134"/>
      <c r="Z54" s="134"/>
      <c r="AA54" s="134"/>
      <c r="AB54" s="134"/>
      <c r="AC54" s="134">
        <v>2400</v>
      </c>
      <c r="AD54" s="134"/>
      <c r="AE54" s="134"/>
      <c r="AF54" s="134"/>
      <c r="AL54" s="147" t="s">
        <v>1053</v>
      </c>
      <c r="AM54" s="139" t="s">
        <v>1038</v>
      </c>
      <c r="AN54" s="139" t="s">
        <v>979</v>
      </c>
      <c r="AO54" s="139" t="s">
        <v>971</v>
      </c>
      <c r="AP54" s="139" t="s">
        <v>1043</v>
      </c>
      <c r="AQ54" s="139" t="s">
        <v>1044</v>
      </c>
      <c r="AR54" s="139" t="s">
        <v>974</v>
      </c>
      <c r="AS54" s="12">
        <v>45507</v>
      </c>
      <c r="AT54" s="148">
        <v>45872</v>
      </c>
      <c r="AU54" s="140">
        <v>-60</v>
      </c>
      <c r="AV54" s="149" t="s">
        <v>1164</v>
      </c>
      <c r="AW54" s="12">
        <v>45856</v>
      </c>
      <c r="AX54" s="140">
        <v>-76</v>
      </c>
      <c r="AY54" s="149" t="s">
        <v>1164</v>
      </c>
      <c r="AZ54" s="11"/>
      <c r="BA54" s="11" t="s">
        <v>575</v>
      </c>
    </row>
    <row r="55" spans="3:53" x14ac:dyDescent="0.3">
      <c r="C55" s="7">
        <v>51</v>
      </c>
      <c r="D55" s="24" t="s">
        <v>162</v>
      </c>
      <c r="E55" s="8" t="s">
        <v>133</v>
      </c>
      <c r="F55" s="13" t="s">
        <v>966</v>
      </c>
      <c r="G55" s="128">
        <f>IFERROR(VLOOKUP(Pólizas48[[#This Row],[PLACA]],ITV_LA[#All],8,0),"")</f>
        <v>45363</v>
      </c>
      <c r="H55" s="128">
        <f>IFERROR(VLOOKUP(Pólizas48[[#This Row],[PLACA]],ITV_LA[#All],9,0),"")</f>
        <v>46458</v>
      </c>
      <c r="I55" s="8">
        <f ca="1">IFERROR(Pólizas48[[#This Row],[Fecha de vencimiento '[RTV']]]-$I$3,"")</f>
        <v>490</v>
      </c>
      <c r="J55" s="27" t="str">
        <f ca="1">IF(Pólizas48[[#This Row],[Fecha de vencimiento '[RTV']]]="","",IF(Pólizas48[[#This Row],[Fecha de vencimiento '[RTV']]]&lt;TODAY(),"Vencido","Vigente"))</f>
        <v>Vigente</v>
      </c>
      <c r="K55" s="27">
        <f>IFERROR(MONTH(Pólizas48[[#This Row],[Fecha de Emision '[RTV']]]),"")</f>
        <v>3</v>
      </c>
      <c r="L55" s="27">
        <f>IFERROR(YEAR(Pólizas48[[#This Row],[Fecha de Emision '[RTV']]]),"")</f>
        <v>2024</v>
      </c>
      <c r="M55" s="27" t="s">
        <v>37</v>
      </c>
      <c r="N55" s="27" t="s">
        <v>48</v>
      </c>
      <c r="O55" s="27" t="s">
        <v>989</v>
      </c>
      <c r="P5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55" s="27">
        <f>VLOOKUP(Pólizas48[[#This Row],[Categoría]],$BD$4:$BG$8,4,0)</f>
        <v>90</v>
      </c>
      <c r="R55" s="27">
        <f>IF(Pólizas48[[#This Row],[Inspección]]=2024,2025,Pólizas48[[#This Row],[Inspección]])</f>
        <v>2027</v>
      </c>
      <c r="T55" s="63" t="s">
        <v>45</v>
      </c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L55" s="147" t="s">
        <v>1054</v>
      </c>
      <c r="AM55" s="139" t="s">
        <v>1038</v>
      </c>
      <c r="AN55" s="139" t="s">
        <v>979</v>
      </c>
      <c r="AO55" s="139" t="s">
        <v>971</v>
      </c>
      <c r="AP55" s="139" t="s">
        <v>972</v>
      </c>
      <c r="AQ55" s="139" t="s">
        <v>1055</v>
      </c>
      <c r="AR55" s="139" t="s">
        <v>974</v>
      </c>
      <c r="AS55" s="12">
        <v>45511</v>
      </c>
      <c r="AT55" s="148">
        <v>45876</v>
      </c>
      <c r="AU55" s="140">
        <v>-56</v>
      </c>
      <c r="AV55" s="149" t="s">
        <v>1164</v>
      </c>
      <c r="AW55" s="12">
        <v>45856</v>
      </c>
      <c r="AX55" s="140">
        <v>-76</v>
      </c>
      <c r="AY55" s="149" t="s">
        <v>1164</v>
      </c>
      <c r="AZ55" s="11"/>
      <c r="BA55" s="11" t="s">
        <v>575</v>
      </c>
    </row>
    <row r="56" spans="3:53" x14ac:dyDescent="0.3">
      <c r="C56" s="7">
        <v>52</v>
      </c>
      <c r="D56" s="24" t="s">
        <v>79</v>
      </c>
      <c r="E56" s="8" t="s">
        <v>71</v>
      </c>
      <c r="F56" s="13" t="s">
        <v>966</v>
      </c>
      <c r="G56" s="128">
        <f>IFERROR(VLOOKUP(Pólizas48[[#This Row],[PLACA]],ITV_LA[#All],8,0),"")</f>
        <v>45399</v>
      </c>
      <c r="H56" s="128">
        <f>IFERROR(VLOOKUP(Pólizas48[[#This Row],[PLACA]],ITV_LA[#All],9,0),"")</f>
        <v>46494</v>
      </c>
      <c r="I56" s="8">
        <f ca="1">IFERROR(Pólizas48[[#This Row],[Fecha de vencimiento '[RTV']]]-$I$3,"")</f>
        <v>526</v>
      </c>
      <c r="J56" s="27" t="str">
        <f ca="1">IF(Pólizas48[[#This Row],[Fecha de vencimiento '[RTV']]]="","",IF(Pólizas48[[#This Row],[Fecha de vencimiento '[RTV']]]&lt;TODAY(),"Vencido","Vigente"))</f>
        <v>Vigente</v>
      </c>
      <c r="K56" s="27">
        <f>IFERROR(MONTH(Pólizas48[[#This Row],[Fecha de Emision '[RTV']]]),"")</f>
        <v>4</v>
      </c>
      <c r="L56" s="27">
        <f>IFERROR(YEAR(Pólizas48[[#This Row],[Fecha de Emision '[RTV']]]),"")</f>
        <v>2024</v>
      </c>
      <c r="M56" s="27" t="s">
        <v>37</v>
      </c>
      <c r="N56" s="27" t="s">
        <v>54</v>
      </c>
      <c r="O56" s="27" t="s">
        <v>976</v>
      </c>
      <c r="P5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56" s="27">
        <f>VLOOKUP(Pólizas48[[#This Row],[Categoría]],$BD$4:$BG$8,4,0)</f>
        <v>40</v>
      </c>
      <c r="R56" s="27">
        <f>IF(Pólizas48[[#This Row],[Inspección]]=2024,2025,Pólizas48[[#This Row],[Inspección]])</f>
        <v>2028</v>
      </c>
      <c r="T56" s="135" t="s">
        <v>39</v>
      </c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L56" s="147" t="s">
        <v>491</v>
      </c>
      <c r="AM56" s="139" t="s">
        <v>1006</v>
      </c>
      <c r="AN56" s="139" t="s">
        <v>979</v>
      </c>
      <c r="AO56" s="139" t="s">
        <v>996</v>
      </c>
      <c r="AP56" s="139" t="s">
        <v>997</v>
      </c>
      <c r="AQ56" s="139" t="s">
        <v>998</v>
      </c>
      <c r="AR56" s="139" t="s">
        <v>994</v>
      </c>
      <c r="AS56" s="12">
        <v>45454</v>
      </c>
      <c r="AT56" s="148">
        <v>45819</v>
      </c>
      <c r="AU56" s="140">
        <v>-113</v>
      </c>
      <c r="AV56" s="149" t="s">
        <v>1164</v>
      </c>
      <c r="AW56" s="12">
        <v>45807</v>
      </c>
      <c r="AX56" s="140">
        <v>-125</v>
      </c>
      <c r="AY56" s="149" t="s">
        <v>1164</v>
      </c>
      <c r="AZ56" s="11"/>
      <c r="BA56" s="11" t="s">
        <v>575</v>
      </c>
    </row>
    <row r="57" spans="3:53" x14ac:dyDescent="0.3">
      <c r="C57" s="7">
        <v>53</v>
      </c>
      <c r="D57" s="24" t="s">
        <v>94</v>
      </c>
      <c r="E57" s="8" t="s">
        <v>71</v>
      </c>
      <c r="F57" s="13" t="s">
        <v>966</v>
      </c>
      <c r="G57" s="128">
        <f>IFERROR(VLOOKUP(Pólizas48[[#This Row],[PLACA]],ITV_LA[#All],8,0),"")</f>
        <v>45399</v>
      </c>
      <c r="H57" s="128">
        <f>IFERROR(VLOOKUP(Pólizas48[[#This Row],[PLACA]],ITV_LA[#All],9,0),"")</f>
        <v>46494</v>
      </c>
      <c r="I57" s="8">
        <f ca="1">IFERROR(Pólizas48[[#This Row],[Fecha de vencimiento '[RTV']]]-$I$3,"")</f>
        <v>526</v>
      </c>
      <c r="J57" s="27" t="str">
        <f ca="1">IF(Pólizas48[[#This Row],[Fecha de vencimiento '[RTV']]]="","",IF(Pólizas48[[#This Row],[Fecha de vencimiento '[RTV']]]&lt;TODAY(),"Vencido","Vigente"))</f>
        <v>Vigente</v>
      </c>
      <c r="K57" s="27">
        <f>IFERROR(MONTH(Pólizas48[[#This Row],[Fecha de Emision '[RTV']]]),"")</f>
        <v>4</v>
      </c>
      <c r="L57" s="27">
        <f>IFERROR(YEAR(Pólizas48[[#This Row],[Fecha de Emision '[RTV']]]),"")</f>
        <v>2024</v>
      </c>
      <c r="M57" s="27" t="s">
        <v>37</v>
      </c>
      <c r="N57" s="27" t="s">
        <v>54</v>
      </c>
      <c r="O57" s="27" t="s">
        <v>976</v>
      </c>
      <c r="P5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57" s="27">
        <f>VLOOKUP(Pólizas48[[#This Row],[Categoría]],$BD$4:$BG$8,4,0)</f>
        <v>40</v>
      </c>
      <c r="R57" s="27">
        <f>IF(Pólizas48[[#This Row],[Inspección]]=2024,2025,Pólizas48[[#This Row],[Inspección]])</f>
        <v>2028</v>
      </c>
      <c r="T57" s="135" t="s">
        <v>52</v>
      </c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L57" s="147" t="s">
        <v>1056</v>
      </c>
      <c r="AM57" s="139" t="s">
        <v>1006</v>
      </c>
      <c r="AN57" s="139" t="s">
        <v>979</v>
      </c>
      <c r="AO57" s="139" t="s">
        <v>985</v>
      </c>
      <c r="AP57" s="139" t="s">
        <v>1002</v>
      </c>
      <c r="AQ57" s="139" t="s">
        <v>1057</v>
      </c>
      <c r="AR57" s="139" t="s">
        <v>994</v>
      </c>
      <c r="AS57" s="12">
        <v>45460</v>
      </c>
      <c r="AT57" s="148">
        <v>45825</v>
      </c>
      <c r="AU57" s="140">
        <v>-107</v>
      </c>
      <c r="AV57" s="149" t="s">
        <v>1164</v>
      </c>
      <c r="AW57" s="12">
        <v>45840</v>
      </c>
      <c r="AX57" s="140">
        <v>-92</v>
      </c>
      <c r="AY57" s="149" t="s">
        <v>1164</v>
      </c>
      <c r="AZ57" s="11"/>
      <c r="BA57" s="11" t="s">
        <v>575</v>
      </c>
    </row>
    <row r="58" spans="3:53" x14ac:dyDescent="0.3">
      <c r="C58" s="7">
        <v>54</v>
      </c>
      <c r="D58" s="24" t="s">
        <v>163</v>
      </c>
      <c r="E58" s="8" t="s">
        <v>133</v>
      </c>
      <c r="F58" s="13" t="s">
        <v>966</v>
      </c>
      <c r="G58" s="128">
        <f>IFERROR(VLOOKUP(Pólizas48[[#This Row],[PLACA]],ITV_LA[#All],8,0),"")</f>
        <v>45363</v>
      </c>
      <c r="H58" s="128">
        <f>IFERROR(VLOOKUP(Pólizas48[[#This Row],[PLACA]],ITV_LA[#All],9,0),"")</f>
        <v>46458</v>
      </c>
      <c r="I58" s="8">
        <f ca="1">IFERROR(Pólizas48[[#This Row],[Fecha de vencimiento '[RTV']]]-$I$3,"")</f>
        <v>490</v>
      </c>
      <c r="J58" s="27" t="str">
        <f ca="1">IF(Pólizas48[[#This Row],[Fecha de vencimiento '[RTV']]]="","",IF(Pólizas48[[#This Row],[Fecha de vencimiento '[RTV']]]&lt;TODAY(),"Vencido","Vigente"))</f>
        <v>Vigente</v>
      </c>
      <c r="K58" s="27">
        <f>IFERROR(MONTH(Pólizas48[[#This Row],[Fecha de Emision '[RTV']]]),"")</f>
        <v>3</v>
      </c>
      <c r="L58" s="27">
        <f>IFERROR(YEAR(Pólizas48[[#This Row],[Fecha de Emision '[RTV']]]),"")</f>
        <v>2024</v>
      </c>
      <c r="M58" s="27" t="s">
        <v>37</v>
      </c>
      <c r="N58" s="27" t="s">
        <v>48</v>
      </c>
      <c r="O58" s="27" t="s">
        <v>989</v>
      </c>
      <c r="P5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58" s="27">
        <f>VLOOKUP(Pólizas48[[#This Row],[Categoría]],$BD$4:$BG$8,4,0)</f>
        <v>90</v>
      </c>
      <c r="R58" s="27">
        <f>IF(Pólizas48[[#This Row],[Inspección]]=2024,2025,Pólizas48[[#This Row],[Inspección]])</f>
        <v>2027</v>
      </c>
      <c r="T58" s="135" t="s">
        <v>54</v>
      </c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L58" s="147" t="s">
        <v>424</v>
      </c>
      <c r="AM58" s="139" t="s">
        <v>978</v>
      </c>
      <c r="AN58" s="139" t="s">
        <v>979</v>
      </c>
      <c r="AO58" s="139" t="s">
        <v>996</v>
      </c>
      <c r="AP58" s="139" t="s">
        <v>997</v>
      </c>
      <c r="AQ58" s="139" t="s">
        <v>998</v>
      </c>
      <c r="AR58" s="139" t="s">
        <v>981</v>
      </c>
      <c r="AS58" s="12">
        <v>45456</v>
      </c>
      <c r="AT58" s="148">
        <v>45821</v>
      </c>
      <c r="AU58" s="140">
        <v>-111</v>
      </c>
      <c r="AV58" s="149" t="s">
        <v>1164</v>
      </c>
      <c r="AW58" s="12">
        <v>46137</v>
      </c>
      <c r="AX58" s="140">
        <v>205</v>
      </c>
      <c r="AY58" s="149" t="s">
        <v>1163</v>
      </c>
      <c r="AZ58" s="11"/>
      <c r="BA58" s="11" t="s">
        <v>575</v>
      </c>
    </row>
    <row r="59" spans="3:53" x14ac:dyDescent="0.3">
      <c r="C59" s="7">
        <v>55</v>
      </c>
      <c r="D59" s="24" t="s">
        <v>164</v>
      </c>
      <c r="E59" s="8" t="s">
        <v>133</v>
      </c>
      <c r="F59" s="13" t="s">
        <v>966</v>
      </c>
      <c r="G59" s="128">
        <f>IFERROR(VLOOKUP(Pólizas48[[#This Row],[PLACA]],ITV_LA[#All],8,0),"")</f>
        <v>45363</v>
      </c>
      <c r="H59" s="128">
        <f>IFERROR(VLOOKUP(Pólizas48[[#This Row],[PLACA]],ITV_LA[#All],9,0),"")</f>
        <v>46458</v>
      </c>
      <c r="I59" s="8">
        <f ca="1">IFERROR(Pólizas48[[#This Row],[Fecha de vencimiento '[RTV']]]-$I$3,"")</f>
        <v>490</v>
      </c>
      <c r="J59" s="27" t="str">
        <f ca="1">IF(Pólizas48[[#This Row],[Fecha de vencimiento '[RTV']]]="","",IF(Pólizas48[[#This Row],[Fecha de vencimiento '[RTV']]]&lt;TODAY(),"Vencido","Vigente"))</f>
        <v>Vigente</v>
      </c>
      <c r="K59" s="27">
        <f>IFERROR(MONTH(Pólizas48[[#This Row],[Fecha de Emision '[RTV']]]),"")</f>
        <v>3</v>
      </c>
      <c r="L59" s="27">
        <f>IFERROR(YEAR(Pólizas48[[#This Row],[Fecha de Emision '[RTV']]]),"")</f>
        <v>2024</v>
      </c>
      <c r="M59" s="27" t="s">
        <v>37</v>
      </c>
      <c r="N59" s="27" t="s">
        <v>48</v>
      </c>
      <c r="O59" s="27" t="s">
        <v>989</v>
      </c>
      <c r="P5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59" s="27">
        <f>VLOOKUP(Pólizas48[[#This Row],[Categoría]],$BD$4:$BG$8,4,0)</f>
        <v>90</v>
      </c>
      <c r="R59" s="27">
        <f>IF(Pólizas48[[#This Row],[Inspección]]=2024,2025,Pólizas48[[#This Row],[Inspección]])</f>
        <v>2027</v>
      </c>
      <c r="T59" s="135" t="s">
        <v>56</v>
      </c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L59" s="147" t="s">
        <v>204</v>
      </c>
      <c r="AM59" s="139" t="s">
        <v>1058</v>
      </c>
      <c r="AN59" s="139" t="s">
        <v>966</v>
      </c>
      <c r="AO59" s="139" t="s">
        <v>971</v>
      </c>
      <c r="AP59" s="139" t="s">
        <v>1043</v>
      </c>
      <c r="AQ59" s="139" t="s">
        <v>1044</v>
      </c>
      <c r="AR59" s="139" t="s">
        <v>974</v>
      </c>
      <c r="AS59" s="12">
        <v>45684</v>
      </c>
      <c r="AT59" s="148">
        <v>45865</v>
      </c>
      <c r="AU59" s="140">
        <v>-67</v>
      </c>
      <c r="AV59" s="149" t="s">
        <v>1164</v>
      </c>
      <c r="AW59" s="12">
        <v>45868</v>
      </c>
      <c r="AX59" s="140">
        <v>-64</v>
      </c>
      <c r="AY59" s="149" t="s">
        <v>1164</v>
      </c>
      <c r="AZ59" s="11"/>
      <c r="BA59" s="11" t="s">
        <v>200</v>
      </c>
    </row>
    <row r="60" spans="3:53" x14ac:dyDescent="0.3">
      <c r="C60" s="7">
        <v>56</v>
      </c>
      <c r="D60" s="24" t="s">
        <v>78</v>
      </c>
      <c r="E60" s="8" t="s">
        <v>71</v>
      </c>
      <c r="F60" s="13" t="s">
        <v>966</v>
      </c>
      <c r="G60" s="128">
        <f>IFERROR(VLOOKUP(Pólizas48[[#This Row],[PLACA]],ITV_LA[#All],8,0),"")</f>
        <v>45399</v>
      </c>
      <c r="H60" s="128">
        <f>IFERROR(VLOOKUP(Pólizas48[[#This Row],[PLACA]],ITV_LA[#All],9,0),"")</f>
        <v>46494</v>
      </c>
      <c r="I60" s="8">
        <f ca="1">IFERROR(Pólizas48[[#This Row],[Fecha de vencimiento '[RTV']]]-$I$3,"")</f>
        <v>526</v>
      </c>
      <c r="J60" s="27" t="str">
        <f ca="1">IF(Pólizas48[[#This Row],[Fecha de vencimiento '[RTV']]]="","",IF(Pólizas48[[#This Row],[Fecha de vencimiento '[RTV']]]&lt;TODAY(),"Vencido","Vigente"))</f>
        <v>Vigente</v>
      </c>
      <c r="K60" s="27">
        <f>IFERROR(MONTH(Pólizas48[[#This Row],[Fecha de Emision '[RTV']]]),"")</f>
        <v>4</v>
      </c>
      <c r="L60" s="27">
        <f>IFERROR(YEAR(Pólizas48[[#This Row],[Fecha de Emision '[RTV']]]),"")</f>
        <v>2024</v>
      </c>
      <c r="M60" s="27" t="s">
        <v>37</v>
      </c>
      <c r="N60" s="27" t="s">
        <v>54</v>
      </c>
      <c r="O60" s="27" t="s">
        <v>976</v>
      </c>
      <c r="P6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60" s="27">
        <f>VLOOKUP(Pólizas48[[#This Row],[Categoría]],$BD$4:$BG$8,4,0)</f>
        <v>40</v>
      </c>
      <c r="R60" s="27">
        <f>IF(Pólizas48[[#This Row],[Inspección]]=2024,2025,Pólizas48[[#This Row],[Inspección]])</f>
        <v>2028</v>
      </c>
      <c r="T60" s="63" t="s">
        <v>58</v>
      </c>
      <c r="U60" s="134"/>
      <c r="V60" s="134"/>
      <c r="W60" s="134"/>
      <c r="X60" s="134"/>
      <c r="Y60" s="134"/>
      <c r="Z60" s="134"/>
      <c r="AA60" s="134"/>
      <c r="AB60" s="134">
        <v>960</v>
      </c>
      <c r="AC60" s="134"/>
      <c r="AD60" s="134"/>
      <c r="AE60" s="134"/>
      <c r="AF60" s="134"/>
      <c r="AL60" s="147" t="s">
        <v>1059</v>
      </c>
      <c r="AM60" s="139" t="s">
        <v>1006</v>
      </c>
      <c r="AN60" s="139" t="s">
        <v>979</v>
      </c>
      <c r="AO60" s="139" t="s">
        <v>966</v>
      </c>
      <c r="AP60" s="139" t="s">
        <v>1060</v>
      </c>
      <c r="AQ60" s="139" t="s">
        <v>1061</v>
      </c>
      <c r="AR60" s="139" t="s">
        <v>994</v>
      </c>
      <c r="AS60" s="12">
        <v>45460</v>
      </c>
      <c r="AT60" s="148">
        <v>45825</v>
      </c>
      <c r="AU60" s="140">
        <v>-107</v>
      </c>
      <c r="AV60" s="149" t="s">
        <v>1164</v>
      </c>
      <c r="AW60" s="148">
        <v>45925</v>
      </c>
      <c r="AX60" s="140">
        <v>-7</v>
      </c>
      <c r="AY60" s="149" t="s">
        <v>1164</v>
      </c>
      <c r="AZ60" s="11"/>
      <c r="BA60" s="11" t="s">
        <v>575</v>
      </c>
    </row>
    <row r="61" spans="3:53" x14ac:dyDescent="0.3">
      <c r="C61" s="7">
        <v>57</v>
      </c>
      <c r="D61" s="24" t="s">
        <v>80</v>
      </c>
      <c r="E61" s="8" t="s">
        <v>71</v>
      </c>
      <c r="F61" s="13" t="s">
        <v>966</v>
      </c>
      <c r="G61" s="128">
        <f>IFERROR(VLOOKUP(Pólizas48[[#This Row],[PLACA]],ITV_LA[#All],8,0),"")</f>
        <v>45399</v>
      </c>
      <c r="H61" s="128">
        <f>IFERROR(VLOOKUP(Pólizas48[[#This Row],[PLACA]],ITV_LA[#All],9,0),"")</f>
        <v>46494</v>
      </c>
      <c r="I61" s="8">
        <f ca="1">IFERROR(Pólizas48[[#This Row],[Fecha de vencimiento '[RTV']]]-$I$3,"")</f>
        <v>526</v>
      </c>
      <c r="J61" s="27" t="str">
        <f ca="1">IF(Pólizas48[[#This Row],[Fecha de vencimiento '[RTV']]]="","",IF(Pólizas48[[#This Row],[Fecha de vencimiento '[RTV']]]&lt;TODAY(),"Vencido","Vigente"))</f>
        <v>Vigente</v>
      </c>
      <c r="K61" s="27">
        <f>IFERROR(MONTH(Pólizas48[[#This Row],[Fecha de Emision '[RTV']]]),"")</f>
        <v>4</v>
      </c>
      <c r="L61" s="27">
        <f>IFERROR(YEAR(Pólizas48[[#This Row],[Fecha de Emision '[RTV']]]),"")</f>
        <v>2024</v>
      </c>
      <c r="M61" s="27" t="s">
        <v>37</v>
      </c>
      <c r="N61" s="27" t="s">
        <v>54</v>
      </c>
      <c r="O61" s="27" t="s">
        <v>976</v>
      </c>
      <c r="P6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61" s="27">
        <f>VLOOKUP(Pólizas48[[#This Row],[Categoría]],$BD$4:$BG$8,4,0)</f>
        <v>40</v>
      </c>
      <c r="R61" s="27">
        <f>IF(Pólizas48[[#This Row],[Inspección]]=2024,2025,Pólizas48[[#This Row],[Inspección]])</f>
        <v>2028</v>
      </c>
      <c r="T61" s="137" t="s">
        <v>23</v>
      </c>
      <c r="U61" s="138">
        <f>SUM(U51:U60)</f>
        <v>0</v>
      </c>
      <c r="V61" s="138">
        <f t="shared" ref="V61:AF61" si="6">SUM(V51:V60)</f>
        <v>180</v>
      </c>
      <c r="W61" s="138">
        <f t="shared" si="6"/>
        <v>1800</v>
      </c>
      <c r="X61" s="138">
        <f t="shared" si="6"/>
        <v>0</v>
      </c>
      <c r="Y61" s="138">
        <f t="shared" si="6"/>
        <v>0</v>
      </c>
      <c r="Z61" s="138">
        <f t="shared" si="6"/>
        <v>150</v>
      </c>
      <c r="AA61" s="138">
        <f t="shared" si="6"/>
        <v>0</v>
      </c>
      <c r="AB61" s="138">
        <f t="shared" si="6"/>
        <v>960</v>
      </c>
      <c r="AC61" s="138">
        <f t="shared" si="6"/>
        <v>2400</v>
      </c>
      <c r="AD61" s="138">
        <f t="shared" si="6"/>
        <v>0</v>
      </c>
      <c r="AE61" s="138">
        <f t="shared" si="6"/>
        <v>0</v>
      </c>
      <c r="AF61" s="138">
        <f t="shared" si="6"/>
        <v>0</v>
      </c>
      <c r="AL61" s="147" t="s">
        <v>1062</v>
      </c>
      <c r="AM61" s="139" t="s">
        <v>978</v>
      </c>
      <c r="AN61" s="139" t="s">
        <v>979</v>
      </c>
      <c r="AO61" s="139" t="s">
        <v>971</v>
      </c>
      <c r="AP61" s="139" t="s">
        <v>972</v>
      </c>
      <c r="AQ61" s="139" t="s">
        <v>1018</v>
      </c>
      <c r="AR61" s="139" t="s">
        <v>974</v>
      </c>
      <c r="AS61" s="12">
        <v>45505</v>
      </c>
      <c r="AT61" s="148">
        <v>45870</v>
      </c>
      <c r="AU61" s="140">
        <v>-62</v>
      </c>
      <c r="AV61" s="149" t="s">
        <v>1164</v>
      </c>
      <c r="AW61" s="12">
        <v>45885</v>
      </c>
      <c r="AX61" s="140">
        <v>-47</v>
      </c>
      <c r="AY61" s="149" t="s">
        <v>1164</v>
      </c>
      <c r="AZ61" s="11"/>
      <c r="BA61" s="11" t="s">
        <v>575</v>
      </c>
    </row>
    <row r="62" spans="3:53" x14ac:dyDescent="0.3">
      <c r="C62" s="7">
        <v>58</v>
      </c>
      <c r="D62" s="24" t="s">
        <v>74</v>
      </c>
      <c r="E62" s="8" t="s">
        <v>71</v>
      </c>
      <c r="F62" s="13" t="s">
        <v>966</v>
      </c>
      <c r="G62" s="128">
        <f>IFERROR(VLOOKUP(Pólizas48[[#This Row],[PLACA]],ITV_LA[#All],8,0),"")</f>
        <v>45399</v>
      </c>
      <c r="H62" s="128">
        <f>IFERROR(VLOOKUP(Pólizas48[[#This Row],[PLACA]],ITV_LA[#All],9,0),"")</f>
        <v>46494</v>
      </c>
      <c r="I62" s="8">
        <f ca="1">IFERROR(Pólizas48[[#This Row],[Fecha de vencimiento '[RTV']]]-$I$3,"")</f>
        <v>526</v>
      </c>
      <c r="J62" s="27" t="str">
        <f ca="1">IF(Pólizas48[[#This Row],[Fecha de vencimiento '[RTV']]]="","",IF(Pólizas48[[#This Row],[Fecha de vencimiento '[RTV']]]&lt;TODAY(),"Vencido","Vigente"))</f>
        <v>Vigente</v>
      </c>
      <c r="K62" s="27">
        <f>IFERROR(MONTH(Pólizas48[[#This Row],[Fecha de Emision '[RTV']]]),"")</f>
        <v>4</v>
      </c>
      <c r="L62" s="27">
        <f>IFERROR(YEAR(Pólizas48[[#This Row],[Fecha de Emision '[RTV']]]),"")</f>
        <v>2024</v>
      </c>
      <c r="M62" s="27" t="s">
        <v>37</v>
      </c>
      <c r="N62" s="27" t="s">
        <v>54</v>
      </c>
      <c r="O62" s="27" t="s">
        <v>976</v>
      </c>
      <c r="P6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62" s="27">
        <f>VLOOKUP(Pólizas48[[#This Row],[Categoría]],$BD$4:$BG$8,4,0)</f>
        <v>40</v>
      </c>
      <c r="R62" s="27">
        <f>IF(Pólizas48[[#This Row],[Inspección]]=2024,2025,Pólizas48[[#This Row],[Inspección]])</f>
        <v>2028</v>
      </c>
      <c r="AL62" s="147" t="s">
        <v>1063</v>
      </c>
      <c r="AM62" s="139" t="s">
        <v>1038</v>
      </c>
      <c r="AN62" s="139" t="s">
        <v>979</v>
      </c>
      <c r="AO62" s="139" t="s">
        <v>971</v>
      </c>
      <c r="AP62" s="139" t="s">
        <v>972</v>
      </c>
      <c r="AQ62" s="139" t="s">
        <v>1011</v>
      </c>
      <c r="AR62" s="139" t="s">
        <v>974</v>
      </c>
      <c r="AS62" s="12">
        <v>45528</v>
      </c>
      <c r="AT62" s="148">
        <v>45893</v>
      </c>
      <c r="AU62" s="140">
        <v>-39</v>
      </c>
      <c r="AV62" s="149" t="s">
        <v>1164</v>
      </c>
      <c r="AW62" s="12">
        <v>45890</v>
      </c>
      <c r="AX62" s="140">
        <v>-42</v>
      </c>
      <c r="AY62" s="149" t="s">
        <v>1164</v>
      </c>
      <c r="AZ62" s="11"/>
      <c r="BA62" s="11" t="s">
        <v>575</v>
      </c>
    </row>
    <row r="63" spans="3:53" x14ac:dyDescent="0.3">
      <c r="C63" s="7">
        <v>59</v>
      </c>
      <c r="D63" s="24" t="s">
        <v>165</v>
      </c>
      <c r="E63" s="8" t="s">
        <v>133</v>
      </c>
      <c r="F63" s="13" t="s">
        <v>966</v>
      </c>
      <c r="G63" s="128">
        <f>IFERROR(VLOOKUP(Pólizas48[[#This Row],[PLACA]],ITV_LA[#All],8,0),"")</f>
        <v>45363</v>
      </c>
      <c r="H63" s="128">
        <f>IFERROR(VLOOKUP(Pólizas48[[#This Row],[PLACA]],ITV_LA[#All],9,0),"")</f>
        <v>46458</v>
      </c>
      <c r="I63" s="8">
        <f ca="1">IFERROR(Pólizas48[[#This Row],[Fecha de vencimiento '[RTV']]]-$I$3,"")</f>
        <v>490</v>
      </c>
      <c r="J63" s="27" t="str">
        <f ca="1">IF(Pólizas48[[#This Row],[Fecha de vencimiento '[RTV']]]="","",IF(Pólizas48[[#This Row],[Fecha de vencimiento '[RTV']]]&lt;TODAY(),"Vencido","Vigente"))</f>
        <v>Vigente</v>
      </c>
      <c r="K63" s="27">
        <f>IFERROR(MONTH(Pólizas48[[#This Row],[Fecha de Emision '[RTV']]]),"")</f>
        <v>3</v>
      </c>
      <c r="L63" s="27">
        <f>IFERROR(YEAR(Pólizas48[[#This Row],[Fecha de Emision '[RTV']]]),"")</f>
        <v>2024</v>
      </c>
      <c r="M63" s="27" t="s">
        <v>37</v>
      </c>
      <c r="N63" s="27" t="s">
        <v>48</v>
      </c>
      <c r="O63" s="27" t="s">
        <v>989</v>
      </c>
      <c r="P6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63" s="27">
        <f>VLOOKUP(Pólizas48[[#This Row],[Categoría]],$BD$4:$BG$8,4,0)</f>
        <v>90</v>
      </c>
      <c r="R63" s="27">
        <f>IF(Pólizas48[[#This Row],[Inspección]]=2024,2025,Pólizas48[[#This Row],[Inspección]])</f>
        <v>2027</v>
      </c>
      <c r="AL63" s="147" t="s">
        <v>1064</v>
      </c>
      <c r="AM63" s="139" t="s">
        <v>991</v>
      </c>
      <c r="AN63" s="139" t="s">
        <v>979</v>
      </c>
      <c r="AO63" s="139" t="s">
        <v>985</v>
      </c>
      <c r="AP63" s="139" t="s">
        <v>992</v>
      </c>
      <c r="AQ63" s="139" t="s">
        <v>993</v>
      </c>
      <c r="AR63" s="139" t="s">
        <v>988</v>
      </c>
      <c r="AS63" s="12">
        <v>45631</v>
      </c>
      <c r="AT63" s="148">
        <v>45813</v>
      </c>
      <c r="AU63" s="140">
        <v>-119</v>
      </c>
      <c r="AV63" s="149" t="s">
        <v>1164</v>
      </c>
      <c r="AW63" s="12">
        <v>46017</v>
      </c>
      <c r="AX63" s="140">
        <v>85</v>
      </c>
      <c r="AY63" s="149" t="s">
        <v>1163</v>
      </c>
      <c r="AZ63" s="11"/>
      <c r="BA63" s="11" t="s">
        <v>575</v>
      </c>
    </row>
    <row r="64" spans="3:53" x14ac:dyDescent="0.3">
      <c r="C64" s="7">
        <v>60</v>
      </c>
      <c r="D64" s="24" t="s">
        <v>145</v>
      </c>
      <c r="E64" s="8" t="s">
        <v>133</v>
      </c>
      <c r="F64" s="13" t="s">
        <v>966</v>
      </c>
      <c r="G64" s="128">
        <f>IFERROR(VLOOKUP(Pólizas48[[#This Row],[PLACA]],ITV_LA[#All],8,0),"")</f>
        <v>45033</v>
      </c>
      <c r="H64" s="128">
        <f>IFERROR(VLOOKUP(Pólizas48[[#This Row],[PLACA]],ITV_LA[#All],9,0),"")</f>
        <v>46129</v>
      </c>
      <c r="I64" s="8">
        <f ca="1">IFERROR(Pólizas48[[#This Row],[Fecha de vencimiento '[RTV']]]-$I$3,"")</f>
        <v>161</v>
      </c>
      <c r="J64" s="27" t="str">
        <f ca="1">IF(Pólizas48[[#This Row],[Fecha de vencimiento '[RTV']]]="","",IF(Pólizas48[[#This Row],[Fecha de vencimiento '[RTV']]]&lt;TODAY(),"Vencido","Vigente"))</f>
        <v>Vigente</v>
      </c>
      <c r="K64" s="27">
        <f>IFERROR(MONTH(Pólizas48[[#This Row],[Fecha de Emision '[RTV']]]),"")</f>
        <v>4</v>
      </c>
      <c r="L64" s="27">
        <f>IFERROR(YEAR(Pólizas48[[#This Row],[Fecha de Emision '[RTV']]]),"")</f>
        <v>2023</v>
      </c>
      <c r="M64" s="27" t="s">
        <v>37</v>
      </c>
      <c r="N64" s="27" t="s">
        <v>48</v>
      </c>
      <c r="O64" s="27" t="s">
        <v>989</v>
      </c>
      <c r="P6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64" s="27">
        <f>VLOOKUP(Pólizas48[[#This Row],[Categoría]],$BD$4:$BG$8,4,0)</f>
        <v>90</v>
      </c>
      <c r="R64" s="27">
        <f>IF(Pólizas48[[#This Row],[Inspección]]=2024,2025,Pólizas48[[#This Row],[Inspección]])</f>
        <v>2026</v>
      </c>
      <c r="AL64" s="147" t="s">
        <v>1065</v>
      </c>
      <c r="AM64" s="139" t="s">
        <v>1038</v>
      </c>
      <c r="AN64" s="139" t="s">
        <v>979</v>
      </c>
      <c r="AO64" s="139" t="s">
        <v>971</v>
      </c>
      <c r="AP64" s="139" t="s">
        <v>972</v>
      </c>
      <c r="AQ64" s="139" t="s">
        <v>973</v>
      </c>
      <c r="AR64" s="139" t="s">
        <v>974</v>
      </c>
      <c r="AS64" s="12">
        <v>45456</v>
      </c>
      <c r="AT64" s="148">
        <v>45821</v>
      </c>
      <c r="AU64" s="140">
        <v>-111</v>
      </c>
      <c r="AV64" s="149" t="s">
        <v>1164</v>
      </c>
      <c r="AW64" s="12">
        <v>45890</v>
      </c>
      <c r="AX64" s="140">
        <v>-42</v>
      </c>
      <c r="AY64" s="149" t="s">
        <v>1164</v>
      </c>
      <c r="AZ64" s="11"/>
      <c r="BA64" s="11" t="s">
        <v>575</v>
      </c>
    </row>
    <row r="65" spans="3:53" x14ac:dyDescent="0.3">
      <c r="C65" s="7">
        <v>61</v>
      </c>
      <c r="D65" s="24" t="s">
        <v>91</v>
      </c>
      <c r="E65" s="8" t="s">
        <v>71</v>
      </c>
      <c r="F65" s="13" t="s">
        <v>966</v>
      </c>
      <c r="G65" s="128">
        <f>IFERROR(VLOOKUP(Pólizas48[[#This Row],[PLACA]],ITV_LA[#All],8,0),"")</f>
        <v>45399</v>
      </c>
      <c r="H65" s="128">
        <f>IFERROR(VLOOKUP(Pólizas48[[#This Row],[PLACA]],ITV_LA[#All],9,0),"")</f>
        <v>46494</v>
      </c>
      <c r="I65" s="8">
        <f ca="1">IFERROR(Pólizas48[[#This Row],[Fecha de vencimiento '[RTV']]]-$I$3,"")</f>
        <v>526</v>
      </c>
      <c r="J65" s="27" t="str">
        <f ca="1">IF(Pólizas48[[#This Row],[Fecha de vencimiento '[RTV']]]="","",IF(Pólizas48[[#This Row],[Fecha de vencimiento '[RTV']]]&lt;TODAY(),"Vencido","Vigente"))</f>
        <v>Vigente</v>
      </c>
      <c r="K65" s="27">
        <f>IFERROR(MONTH(Pólizas48[[#This Row],[Fecha de Emision '[RTV']]]),"")</f>
        <v>4</v>
      </c>
      <c r="L65" s="27">
        <f>IFERROR(YEAR(Pólizas48[[#This Row],[Fecha de Emision '[RTV']]]),"")</f>
        <v>2024</v>
      </c>
      <c r="M65" s="27" t="s">
        <v>37</v>
      </c>
      <c r="N65" s="27" t="s">
        <v>54</v>
      </c>
      <c r="O65" s="27" t="s">
        <v>976</v>
      </c>
      <c r="P6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65" s="27">
        <f>VLOOKUP(Pólizas48[[#This Row],[Categoría]],$BD$4:$BG$8,4,0)</f>
        <v>40</v>
      </c>
      <c r="R65" s="27">
        <f>IF(Pólizas48[[#This Row],[Inspección]]=2024,2025,Pólizas48[[#This Row],[Inspección]])</f>
        <v>2028</v>
      </c>
      <c r="AL65" s="147" t="s">
        <v>1066</v>
      </c>
      <c r="AM65" s="139" t="s">
        <v>991</v>
      </c>
      <c r="AN65" s="139" t="s">
        <v>979</v>
      </c>
      <c r="AO65" s="139" t="s">
        <v>985</v>
      </c>
      <c r="AP65" s="139" t="s">
        <v>992</v>
      </c>
      <c r="AQ65" s="139" t="s">
        <v>993</v>
      </c>
      <c r="AR65" s="139" t="s">
        <v>994</v>
      </c>
      <c r="AS65" s="12">
        <v>45643</v>
      </c>
      <c r="AT65" s="148">
        <v>45825</v>
      </c>
      <c r="AU65" s="140">
        <v>-107</v>
      </c>
      <c r="AV65" s="149" t="s">
        <v>1164</v>
      </c>
      <c r="AW65" s="12">
        <v>46020</v>
      </c>
      <c r="AX65" s="140">
        <v>88</v>
      </c>
      <c r="AY65" s="149" t="s">
        <v>1163</v>
      </c>
      <c r="AZ65" s="11"/>
      <c r="BA65" s="11" t="s">
        <v>575</v>
      </c>
    </row>
    <row r="66" spans="3:53" x14ac:dyDescent="0.3">
      <c r="C66" s="7">
        <v>62</v>
      </c>
      <c r="D66" s="24" t="s">
        <v>167</v>
      </c>
      <c r="E66" s="8" t="s">
        <v>133</v>
      </c>
      <c r="F66" s="13" t="s">
        <v>966</v>
      </c>
      <c r="G66" s="128">
        <f>IFERROR(VLOOKUP(Pólizas48[[#This Row],[PLACA]],ITV_LA[#All],8,0),"")</f>
        <v>45363</v>
      </c>
      <c r="H66" s="128">
        <f>IFERROR(VLOOKUP(Pólizas48[[#This Row],[PLACA]],ITV_LA[#All],9,0),"")</f>
        <v>46458</v>
      </c>
      <c r="I66" s="8">
        <f ca="1">IFERROR(Pólizas48[[#This Row],[Fecha de vencimiento '[RTV']]]-$I$3,"")</f>
        <v>490</v>
      </c>
      <c r="J66" s="27" t="str">
        <f ca="1">IF(Pólizas48[[#This Row],[Fecha de vencimiento '[RTV']]]="","",IF(Pólizas48[[#This Row],[Fecha de vencimiento '[RTV']]]&lt;TODAY(),"Vencido","Vigente"))</f>
        <v>Vigente</v>
      </c>
      <c r="K66" s="27">
        <f>IFERROR(MONTH(Pólizas48[[#This Row],[Fecha de Emision '[RTV']]]),"")</f>
        <v>3</v>
      </c>
      <c r="L66" s="27">
        <f>IFERROR(YEAR(Pólizas48[[#This Row],[Fecha de Emision '[RTV']]]),"")</f>
        <v>2024</v>
      </c>
      <c r="M66" s="27" t="s">
        <v>37</v>
      </c>
      <c r="N66" s="27" t="s">
        <v>48</v>
      </c>
      <c r="O66" s="27" t="s">
        <v>989</v>
      </c>
      <c r="P6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66" s="27">
        <f>VLOOKUP(Pólizas48[[#This Row],[Categoría]],$BD$4:$BG$8,4,0)</f>
        <v>90</v>
      </c>
      <c r="R66" s="27">
        <f>IF(Pólizas48[[#This Row],[Inspección]]=2024,2025,Pólizas48[[#This Row],[Inspección]])</f>
        <v>2027</v>
      </c>
      <c r="AL66" s="147" t="s">
        <v>494</v>
      </c>
      <c r="AM66" s="139" t="s">
        <v>1006</v>
      </c>
      <c r="AN66" s="139" t="s">
        <v>979</v>
      </c>
      <c r="AO66" s="139" t="s">
        <v>985</v>
      </c>
      <c r="AP66" s="139" t="s">
        <v>986</v>
      </c>
      <c r="AQ66" s="139" t="s">
        <v>987</v>
      </c>
      <c r="AR66" s="139" t="s">
        <v>988</v>
      </c>
      <c r="AS66" s="148">
        <v>45451</v>
      </c>
      <c r="AT66" s="148">
        <v>45816</v>
      </c>
      <c r="AU66" s="140">
        <v>-116</v>
      </c>
      <c r="AV66" s="149" t="s">
        <v>1164</v>
      </c>
      <c r="AW66" s="148">
        <v>46154</v>
      </c>
      <c r="AX66" s="140">
        <v>222</v>
      </c>
      <c r="AY66" s="149" t="s">
        <v>1163</v>
      </c>
      <c r="AZ66" s="11"/>
      <c r="BA66" s="11" t="s">
        <v>575</v>
      </c>
    </row>
    <row r="67" spans="3:53" x14ac:dyDescent="0.3">
      <c r="C67" s="7">
        <v>63</v>
      </c>
      <c r="D67" s="24" t="s">
        <v>168</v>
      </c>
      <c r="E67" s="8" t="s">
        <v>133</v>
      </c>
      <c r="F67" s="13" t="s">
        <v>966</v>
      </c>
      <c r="G67" s="128">
        <f>IFERROR(VLOOKUP(Pólizas48[[#This Row],[PLACA]],ITV_LA[#All],8,0),"")</f>
        <v>45363</v>
      </c>
      <c r="H67" s="128">
        <f>IFERROR(VLOOKUP(Pólizas48[[#This Row],[PLACA]],ITV_LA[#All],9,0),"")</f>
        <v>46458</v>
      </c>
      <c r="I67" s="8">
        <f ca="1">IFERROR(Pólizas48[[#This Row],[Fecha de vencimiento '[RTV']]]-$I$3,"")</f>
        <v>490</v>
      </c>
      <c r="J67" s="27" t="str">
        <f ca="1">IF(Pólizas48[[#This Row],[Fecha de vencimiento '[RTV']]]="","",IF(Pólizas48[[#This Row],[Fecha de vencimiento '[RTV']]]&lt;TODAY(),"Vencido","Vigente"))</f>
        <v>Vigente</v>
      </c>
      <c r="K67" s="27">
        <f>IFERROR(MONTH(Pólizas48[[#This Row],[Fecha de Emision '[RTV']]]),"")</f>
        <v>3</v>
      </c>
      <c r="L67" s="27">
        <f>IFERROR(YEAR(Pólizas48[[#This Row],[Fecha de Emision '[RTV']]]),"")</f>
        <v>2024</v>
      </c>
      <c r="M67" s="27" t="s">
        <v>37</v>
      </c>
      <c r="N67" s="27" t="s">
        <v>48</v>
      </c>
      <c r="O67" s="27" t="s">
        <v>989</v>
      </c>
      <c r="P6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67" s="27">
        <f>VLOOKUP(Pólizas48[[#This Row],[Categoría]],$BD$4:$BG$8,4,0)</f>
        <v>90</v>
      </c>
      <c r="R67" s="27">
        <f>IF(Pólizas48[[#This Row],[Inspección]]=2024,2025,Pólizas48[[#This Row],[Inspección]])</f>
        <v>2027</v>
      </c>
      <c r="AL67" s="147" t="s">
        <v>1067</v>
      </c>
      <c r="AM67" s="139" t="s">
        <v>1038</v>
      </c>
      <c r="AN67" s="139" t="s">
        <v>979</v>
      </c>
      <c r="AO67" s="139" t="s">
        <v>971</v>
      </c>
      <c r="AP67" s="139" t="s">
        <v>972</v>
      </c>
      <c r="AQ67" s="139" t="s">
        <v>973</v>
      </c>
      <c r="AR67" s="139" t="s">
        <v>974</v>
      </c>
      <c r="AS67" s="12">
        <v>45476</v>
      </c>
      <c r="AT67" s="148">
        <v>45841</v>
      </c>
      <c r="AU67" s="140">
        <v>-91</v>
      </c>
      <c r="AV67" s="149" t="s">
        <v>1164</v>
      </c>
      <c r="AW67" s="12">
        <v>45890</v>
      </c>
      <c r="AX67" s="140">
        <v>-42</v>
      </c>
      <c r="AY67" s="149" t="s">
        <v>1164</v>
      </c>
      <c r="AZ67" s="11"/>
      <c r="BA67" s="11" t="s">
        <v>575</v>
      </c>
    </row>
    <row r="68" spans="3:53" x14ac:dyDescent="0.3">
      <c r="C68" s="7">
        <v>64</v>
      </c>
      <c r="D68" s="24" t="s">
        <v>169</v>
      </c>
      <c r="E68" s="8" t="s">
        <v>133</v>
      </c>
      <c r="F68" s="13" t="s">
        <v>966</v>
      </c>
      <c r="G68" s="128">
        <f>IFERROR(VLOOKUP(Pólizas48[[#This Row],[PLACA]],ITV_LA[#All],8,0),"")</f>
        <v>45363</v>
      </c>
      <c r="H68" s="128">
        <f>IFERROR(VLOOKUP(Pólizas48[[#This Row],[PLACA]],ITV_LA[#All],9,0),"")</f>
        <v>46458</v>
      </c>
      <c r="I68" s="8">
        <f ca="1">IFERROR(Pólizas48[[#This Row],[Fecha de vencimiento '[RTV']]]-$I$3,"")</f>
        <v>490</v>
      </c>
      <c r="J68" s="27" t="str">
        <f ca="1">IF(Pólizas48[[#This Row],[Fecha de vencimiento '[RTV']]]="","",IF(Pólizas48[[#This Row],[Fecha de vencimiento '[RTV']]]&lt;TODAY(),"Vencido","Vigente"))</f>
        <v>Vigente</v>
      </c>
      <c r="K68" s="27">
        <f>IFERROR(MONTH(Pólizas48[[#This Row],[Fecha de Emision '[RTV']]]),"")</f>
        <v>3</v>
      </c>
      <c r="L68" s="27">
        <f>IFERROR(YEAR(Pólizas48[[#This Row],[Fecha de Emision '[RTV']]]),"")</f>
        <v>2024</v>
      </c>
      <c r="M68" s="27" t="s">
        <v>37</v>
      </c>
      <c r="N68" s="27" t="s">
        <v>48</v>
      </c>
      <c r="O68" s="27" t="s">
        <v>989</v>
      </c>
      <c r="P6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68" s="27">
        <f>VLOOKUP(Pólizas48[[#This Row],[Categoría]],$BD$4:$BG$8,4,0)</f>
        <v>90</v>
      </c>
      <c r="R68" s="27">
        <f>IF(Pólizas48[[#This Row],[Inspección]]=2024,2025,Pólizas48[[#This Row],[Inspección]])</f>
        <v>2027</v>
      </c>
      <c r="AL68" s="147" t="s">
        <v>1068</v>
      </c>
      <c r="AM68" s="139" t="s">
        <v>1038</v>
      </c>
      <c r="AN68" s="139" t="s">
        <v>979</v>
      </c>
      <c r="AO68" s="139" t="s">
        <v>971</v>
      </c>
      <c r="AP68" s="139" t="s">
        <v>972</v>
      </c>
      <c r="AQ68" s="139" t="s">
        <v>973</v>
      </c>
      <c r="AR68" s="139" t="s">
        <v>974</v>
      </c>
      <c r="AS68" s="12">
        <v>45535</v>
      </c>
      <c r="AT68" s="148">
        <v>45900</v>
      </c>
      <c r="AU68" s="140">
        <v>-32</v>
      </c>
      <c r="AV68" s="149" t="s">
        <v>1164</v>
      </c>
      <c r="AW68" s="12">
        <v>45890</v>
      </c>
      <c r="AX68" s="140">
        <v>-42</v>
      </c>
      <c r="AY68" s="149" t="s">
        <v>1164</v>
      </c>
      <c r="AZ68" s="11"/>
      <c r="BA68" s="11" t="s">
        <v>575</v>
      </c>
    </row>
    <row r="69" spans="3:53" x14ac:dyDescent="0.3">
      <c r="C69" s="7">
        <v>65</v>
      </c>
      <c r="D69" s="24" t="s">
        <v>170</v>
      </c>
      <c r="E69" s="8" t="s">
        <v>133</v>
      </c>
      <c r="F69" s="13" t="s">
        <v>966</v>
      </c>
      <c r="G69" s="128">
        <f>IFERROR(VLOOKUP(Pólizas48[[#This Row],[PLACA]],ITV_LA[#All],8,0),"")</f>
        <v>45363</v>
      </c>
      <c r="H69" s="128">
        <f>IFERROR(VLOOKUP(Pólizas48[[#This Row],[PLACA]],ITV_LA[#All],9,0),"")</f>
        <v>46458</v>
      </c>
      <c r="I69" s="8">
        <f ca="1">IFERROR(Pólizas48[[#This Row],[Fecha de vencimiento '[RTV']]]-$I$3,"")</f>
        <v>490</v>
      </c>
      <c r="J69" s="27" t="str">
        <f ca="1">IF(Pólizas48[[#This Row],[Fecha de vencimiento '[RTV']]]="","",IF(Pólizas48[[#This Row],[Fecha de vencimiento '[RTV']]]&lt;TODAY(),"Vencido","Vigente"))</f>
        <v>Vigente</v>
      </c>
      <c r="K69" s="27">
        <f>IFERROR(MONTH(Pólizas48[[#This Row],[Fecha de Emision '[RTV']]]),"")</f>
        <v>3</v>
      </c>
      <c r="L69" s="27">
        <f>IFERROR(YEAR(Pólizas48[[#This Row],[Fecha de Emision '[RTV']]]),"")</f>
        <v>2024</v>
      </c>
      <c r="M69" s="27" t="s">
        <v>37</v>
      </c>
      <c r="N69" s="27" t="s">
        <v>48</v>
      </c>
      <c r="O69" s="27" t="s">
        <v>989</v>
      </c>
      <c r="P6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69" s="27">
        <f>VLOOKUP(Pólizas48[[#This Row],[Categoría]],$BD$4:$BG$8,4,0)</f>
        <v>90</v>
      </c>
      <c r="R69" s="27">
        <f>IF(Pólizas48[[#This Row],[Inspección]]=2024,2025,Pólizas48[[#This Row],[Inspección]])</f>
        <v>2027</v>
      </c>
      <c r="AL69" s="147" t="s">
        <v>1069</v>
      </c>
      <c r="AM69" s="139" t="s">
        <v>1038</v>
      </c>
      <c r="AN69" s="139" t="s">
        <v>979</v>
      </c>
      <c r="AO69" s="139" t="s">
        <v>971</v>
      </c>
      <c r="AP69" s="139" t="s">
        <v>972</v>
      </c>
      <c r="AQ69" s="139" t="s">
        <v>973</v>
      </c>
      <c r="AR69" s="139" t="s">
        <v>974</v>
      </c>
      <c r="AS69" s="12">
        <v>45455</v>
      </c>
      <c r="AT69" s="148">
        <v>45820</v>
      </c>
      <c r="AU69" s="140">
        <v>-112</v>
      </c>
      <c r="AV69" s="149" t="s">
        <v>1164</v>
      </c>
      <c r="AW69" s="12">
        <v>45890</v>
      </c>
      <c r="AX69" s="140">
        <v>-42</v>
      </c>
      <c r="AY69" s="149" t="s">
        <v>1164</v>
      </c>
      <c r="AZ69" s="11"/>
      <c r="BA69" s="11" t="s">
        <v>575</v>
      </c>
    </row>
    <row r="70" spans="3:53" x14ac:dyDescent="0.3">
      <c r="C70" s="7">
        <v>66</v>
      </c>
      <c r="D70" s="24" t="s">
        <v>147</v>
      </c>
      <c r="E70" s="8" t="s">
        <v>133</v>
      </c>
      <c r="F70" s="13" t="s">
        <v>966</v>
      </c>
      <c r="G70" s="128">
        <f>IFERROR(VLOOKUP(Pólizas48[[#This Row],[PLACA]],ITV_LA[#All],8,0),"")</f>
        <v>45033</v>
      </c>
      <c r="H70" s="128">
        <f>IFERROR(VLOOKUP(Pólizas48[[#This Row],[PLACA]],ITV_LA[#All],9,0),"")</f>
        <v>46129</v>
      </c>
      <c r="I70" s="8">
        <f ca="1">IFERROR(Pólizas48[[#This Row],[Fecha de vencimiento '[RTV']]]-$I$3,"")</f>
        <v>161</v>
      </c>
      <c r="J70" s="27" t="str">
        <f ca="1">IF(Pólizas48[[#This Row],[Fecha de vencimiento '[RTV']]]="","",IF(Pólizas48[[#This Row],[Fecha de vencimiento '[RTV']]]&lt;TODAY(),"Vencido","Vigente"))</f>
        <v>Vigente</v>
      </c>
      <c r="K70" s="27">
        <f>IFERROR(MONTH(Pólizas48[[#This Row],[Fecha de Emision '[RTV']]]),"")</f>
        <v>4</v>
      </c>
      <c r="L70" s="27">
        <f>IFERROR(YEAR(Pólizas48[[#This Row],[Fecha de Emision '[RTV']]]),"")</f>
        <v>2023</v>
      </c>
      <c r="M70" s="27" t="s">
        <v>37</v>
      </c>
      <c r="N70" s="27" t="s">
        <v>48</v>
      </c>
      <c r="O70" s="27" t="s">
        <v>989</v>
      </c>
      <c r="P7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70" s="27">
        <f>VLOOKUP(Pólizas48[[#This Row],[Categoría]],$BD$4:$BG$8,4,0)</f>
        <v>90</v>
      </c>
      <c r="R70" s="27">
        <f>IF(Pólizas48[[#This Row],[Inspección]]=2024,2025,Pólizas48[[#This Row],[Inspección]])</f>
        <v>2026</v>
      </c>
      <c r="AL70" s="147" t="s">
        <v>1070</v>
      </c>
      <c r="AM70" s="139" t="s">
        <v>1038</v>
      </c>
      <c r="AN70" s="139" t="s">
        <v>979</v>
      </c>
      <c r="AO70" s="139" t="s">
        <v>971</v>
      </c>
      <c r="AP70" s="139" t="s">
        <v>972</v>
      </c>
      <c r="AQ70" s="139" t="s">
        <v>980</v>
      </c>
      <c r="AR70" s="139" t="s">
        <v>981</v>
      </c>
      <c r="AS70" s="12">
        <v>45481</v>
      </c>
      <c r="AT70" s="148">
        <v>45846</v>
      </c>
      <c r="AU70" s="140">
        <v>-86</v>
      </c>
      <c r="AV70" s="149" t="s">
        <v>1164</v>
      </c>
      <c r="AW70" s="12">
        <v>45890</v>
      </c>
      <c r="AX70" s="140">
        <v>-42</v>
      </c>
      <c r="AY70" s="149" t="s">
        <v>1164</v>
      </c>
      <c r="AZ70" s="11"/>
      <c r="BA70" s="11" t="s">
        <v>575</v>
      </c>
    </row>
    <row r="71" spans="3:53" x14ac:dyDescent="0.3">
      <c r="C71" s="7">
        <v>67</v>
      </c>
      <c r="D71" s="24" t="s">
        <v>149</v>
      </c>
      <c r="E71" s="8" t="s">
        <v>133</v>
      </c>
      <c r="F71" s="13" t="s">
        <v>966</v>
      </c>
      <c r="G71" s="128">
        <f>IFERROR(VLOOKUP(Pólizas48[[#This Row],[PLACA]],ITV_LA[#All],8,0),"")</f>
        <v>45033</v>
      </c>
      <c r="H71" s="128">
        <f>IFERROR(VLOOKUP(Pólizas48[[#This Row],[PLACA]],ITV_LA[#All],9,0),"")</f>
        <v>46129</v>
      </c>
      <c r="I71" s="8">
        <f ca="1">IFERROR(Pólizas48[[#This Row],[Fecha de vencimiento '[RTV']]]-$I$3,"")</f>
        <v>161</v>
      </c>
      <c r="J71" s="27" t="str">
        <f ca="1">IF(Pólizas48[[#This Row],[Fecha de vencimiento '[RTV']]]="","",IF(Pólizas48[[#This Row],[Fecha de vencimiento '[RTV']]]&lt;TODAY(),"Vencido","Vigente"))</f>
        <v>Vigente</v>
      </c>
      <c r="K71" s="27">
        <f>IFERROR(MONTH(Pólizas48[[#This Row],[Fecha de Emision '[RTV']]]),"")</f>
        <v>4</v>
      </c>
      <c r="L71" s="27">
        <f>IFERROR(YEAR(Pólizas48[[#This Row],[Fecha de Emision '[RTV']]]),"")</f>
        <v>2023</v>
      </c>
      <c r="M71" s="27" t="s">
        <v>37</v>
      </c>
      <c r="N71" s="27" t="s">
        <v>48</v>
      </c>
      <c r="O71" s="27" t="s">
        <v>989</v>
      </c>
      <c r="P7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71" s="27">
        <f>VLOOKUP(Pólizas48[[#This Row],[Categoría]],$BD$4:$BG$8,4,0)</f>
        <v>90</v>
      </c>
      <c r="R71" s="27">
        <f>IF(Pólizas48[[#This Row],[Inspección]]=2024,2025,Pólizas48[[#This Row],[Inspección]])</f>
        <v>2026</v>
      </c>
      <c r="AL71" s="147" t="s">
        <v>1071</v>
      </c>
      <c r="AM71" s="139" t="s">
        <v>1038</v>
      </c>
      <c r="AN71" s="139" t="s">
        <v>979</v>
      </c>
      <c r="AO71" s="139" t="s">
        <v>971</v>
      </c>
      <c r="AP71" s="139" t="s">
        <v>972</v>
      </c>
      <c r="AQ71" s="139" t="s">
        <v>980</v>
      </c>
      <c r="AR71" s="139" t="s">
        <v>981</v>
      </c>
      <c r="AS71" s="12">
        <v>45481</v>
      </c>
      <c r="AT71" s="148">
        <v>45846</v>
      </c>
      <c r="AU71" s="140">
        <v>-86</v>
      </c>
      <c r="AV71" s="149" t="s">
        <v>1164</v>
      </c>
      <c r="AW71" s="12">
        <v>45933</v>
      </c>
      <c r="AX71" s="140">
        <v>1</v>
      </c>
      <c r="AY71" s="149" t="s">
        <v>1164</v>
      </c>
      <c r="AZ71" s="11"/>
      <c r="BA71" s="11" t="s">
        <v>575</v>
      </c>
    </row>
    <row r="72" spans="3:53" x14ac:dyDescent="0.3">
      <c r="C72" s="7">
        <v>68</v>
      </c>
      <c r="D72" s="24" t="s">
        <v>151</v>
      </c>
      <c r="E72" s="8" t="s">
        <v>133</v>
      </c>
      <c r="F72" s="13" t="s">
        <v>966</v>
      </c>
      <c r="G72" s="128">
        <f>IFERROR(VLOOKUP(Pólizas48[[#This Row],[PLACA]],ITV_LA[#All],8,0),"")</f>
        <v>45033</v>
      </c>
      <c r="H72" s="128">
        <f>IFERROR(VLOOKUP(Pólizas48[[#This Row],[PLACA]],ITV_LA[#All],9,0),"")</f>
        <v>46129</v>
      </c>
      <c r="I72" s="8">
        <f ca="1">IFERROR(Pólizas48[[#This Row],[Fecha de vencimiento '[RTV']]]-$I$3,"")</f>
        <v>161</v>
      </c>
      <c r="J72" s="27" t="str">
        <f ca="1">IF(Pólizas48[[#This Row],[Fecha de vencimiento '[RTV']]]="","",IF(Pólizas48[[#This Row],[Fecha de vencimiento '[RTV']]]&lt;TODAY(),"Vencido","Vigente"))</f>
        <v>Vigente</v>
      </c>
      <c r="K72" s="27">
        <f>IFERROR(MONTH(Pólizas48[[#This Row],[Fecha de Emision '[RTV']]]),"")</f>
        <v>4</v>
      </c>
      <c r="L72" s="27">
        <f>IFERROR(YEAR(Pólizas48[[#This Row],[Fecha de Emision '[RTV']]]),"")</f>
        <v>2023</v>
      </c>
      <c r="M72" s="27" t="s">
        <v>37</v>
      </c>
      <c r="N72" s="27" t="s">
        <v>48</v>
      </c>
      <c r="O72" s="27" t="s">
        <v>989</v>
      </c>
      <c r="P7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72" s="27">
        <f>VLOOKUP(Pólizas48[[#This Row],[Categoría]],$BD$4:$BG$8,4,0)</f>
        <v>90</v>
      </c>
      <c r="R72" s="27">
        <f>IF(Pólizas48[[#This Row],[Inspección]]=2024,2025,Pólizas48[[#This Row],[Inspección]])</f>
        <v>2026</v>
      </c>
      <c r="AL72" s="147" t="s">
        <v>1072</v>
      </c>
      <c r="AM72" s="139" t="s">
        <v>1038</v>
      </c>
      <c r="AN72" s="139" t="s">
        <v>979</v>
      </c>
      <c r="AO72" s="139" t="s">
        <v>971</v>
      </c>
      <c r="AP72" s="139" t="s">
        <v>972</v>
      </c>
      <c r="AQ72" s="139" t="s">
        <v>973</v>
      </c>
      <c r="AR72" s="139" t="s">
        <v>974</v>
      </c>
      <c r="AS72" s="12">
        <v>45511</v>
      </c>
      <c r="AT72" s="148">
        <v>45876</v>
      </c>
      <c r="AU72" s="140">
        <v>-56</v>
      </c>
      <c r="AV72" s="149" t="s">
        <v>1164</v>
      </c>
      <c r="AW72" s="12">
        <v>45890</v>
      </c>
      <c r="AX72" s="140">
        <v>-42</v>
      </c>
      <c r="AY72" s="149" t="s">
        <v>1164</v>
      </c>
      <c r="AZ72" s="11"/>
      <c r="BA72" s="11" t="s">
        <v>575</v>
      </c>
    </row>
    <row r="73" spans="3:53" x14ac:dyDescent="0.3">
      <c r="C73" s="7">
        <v>69</v>
      </c>
      <c r="D73" s="24" t="s">
        <v>159</v>
      </c>
      <c r="E73" s="8" t="s">
        <v>133</v>
      </c>
      <c r="F73" s="13" t="s">
        <v>966</v>
      </c>
      <c r="G73" s="128">
        <f>IFERROR(VLOOKUP(Pólizas48[[#This Row],[PLACA]],ITV_LA[#All],8,0),"")</f>
        <v>45363</v>
      </c>
      <c r="H73" s="128">
        <f>IFERROR(VLOOKUP(Pólizas48[[#This Row],[PLACA]],ITV_LA[#All],9,0),"")</f>
        <v>46458</v>
      </c>
      <c r="I73" s="8">
        <f ca="1">IFERROR(Pólizas48[[#This Row],[Fecha de vencimiento '[RTV']]]-$I$3,"")</f>
        <v>490</v>
      </c>
      <c r="J73" s="27" t="str">
        <f ca="1">IF(Pólizas48[[#This Row],[Fecha de vencimiento '[RTV']]]="","",IF(Pólizas48[[#This Row],[Fecha de vencimiento '[RTV']]]&lt;TODAY(),"Vencido","Vigente"))</f>
        <v>Vigente</v>
      </c>
      <c r="K73" s="27">
        <f>IFERROR(MONTH(Pólizas48[[#This Row],[Fecha de Emision '[RTV']]]),"")</f>
        <v>3</v>
      </c>
      <c r="L73" s="27">
        <f>IFERROR(YEAR(Pólizas48[[#This Row],[Fecha de Emision '[RTV']]]),"")</f>
        <v>2024</v>
      </c>
      <c r="M73" s="27" t="s">
        <v>37</v>
      </c>
      <c r="N73" s="27" t="s">
        <v>48</v>
      </c>
      <c r="O73" s="27" t="s">
        <v>989</v>
      </c>
      <c r="P7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73" s="27">
        <f>VLOOKUP(Pólizas48[[#This Row],[Categoría]],$BD$4:$BG$8,4,0)</f>
        <v>90</v>
      </c>
      <c r="R73" s="27">
        <f>IF(Pólizas48[[#This Row],[Inspección]]=2024,2025,Pólizas48[[#This Row],[Inspección]])</f>
        <v>2027</v>
      </c>
      <c r="AL73" s="147" t="s">
        <v>1073</v>
      </c>
      <c r="AM73" s="139" t="s">
        <v>1038</v>
      </c>
      <c r="AN73" s="139" t="s">
        <v>979</v>
      </c>
      <c r="AO73" s="139" t="s">
        <v>971</v>
      </c>
      <c r="AP73" s="139" t="s">
        <v>972</v>
      </c>
      <c r="AQ73" s="139" t="s">
        <v>980</v>
      </c>
      <c r="AR73" s="139" t="s">
        <v>981</v>
      </c>
      <c r="AS73" s="12">
        <v>45482</v>
      </c>
      <c r="AT73" s="148">
        <v>45847</v>
      </c>
      <c r="AU73" s="140">
        <v>-85</v>
      </c>
      <c r="AV73" s="149" t="s">
        <v>1164</v>
      </c>
      <c r="AW73" s="12">
        <v>45890</v>
      </c>
      <c r="AX73" s="140">
        <v>-42</v>
      </c>
      <c r="AY73" s="149" t="s">
        <v>1164</v>
      </c>
      <c r="AZ73" s="11"/>
      <c r="BA73" s="11" t="s">
        <v>575</v>
      </c>
    </row>
    <row r="74" spans="3:53" x14ac:dyDescent="0.3">
      <c r="C74" s="7">
        <v>70</v>
      </c>
      <c r="D74" s="24" t="s">
        <v>100</v>
      </c>
      <c r="E74" s="8" t="s">
        <v>71</v>
      </c>
      <c r="F74" s="13" t="s">
        <v>966</v>
      </c>
      <c r="G74" s="128">
        <f>IFERROR(VLOOKUP(Pólizas48[[#This Row],[PLACA]],ITV_LA[#All],8,0),"")</f>
        <v>45370</v>
      </c>
      <c r="H74" s="128">
        <f>IFERROR(VLOOKUP(Pólizas48[[#This Row],[PLACA]],ITV_LA[#All],9,0),"")</f>
        <v>46461</v>
      </c>
      <c r="I74" s="8">
        <f ca="1">IFERROR(Pólizas48[[#This Row],[Fecha de vencimiento '[RTV']]]-$I$3,"")</f>
        <v>493</v>
      </c>
      <c r="J74" s="27" t="str">
        <f ca="1">IF(Pólizas48[[#This Row],[Fecha de vencimiento '[RTV']]]="","",IF(Pólizas48[[#This Row],[Fecha de vencimiento '[RTV']]]&lt;TODAY(),"Vencido","Vigente"))</f>
        <v>Vigente</v>
      </c>
      <c r="K74" s="27">
        <f>IFERROR(MONTH(Pólizas48[[#This Row],[Fecha de Emision '[RTV']]]),"")</f>
        <v>3</v>
      </c>
      <c r="L74" s="27">
        <f>IFERROR(YEAR(Pólizas48[[#This Row],[Fecha de Emision '[RTV']]]),"")</f>
        <v>2024</v>
      </c>
      <c r="M74" s="27" t="s">
        <v>37</v>
      </c>
      <c r="N74" s="27" t="s">
        <v>54</v>
      </c>
      <c r="O74" s="27" t="s">
        <v>976</v>
      </c>
      <c r="P7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74" s="27">
        <f>VLOOKUP(Pólizas48[[#This Row],[Categoría]],$BD$4:$BG$8,4,0)</f>
        <v>40</v>
      </c>
      <c r="R74" s="27">
        <f>IF(Pólizas48[[#This Row],[Inspección]]=2024,2025,Pólizas48[[#This Row],[Inspección]])</f>
        <v>2028</v>
      </c>
      <c r="AL74" s="147" t="s">
        <v>1074</v>
      </c>
      <c r="AM74" s="139" t="s">
        <v>1038</v>
      </c>
      <c r="AN74" s="139" t="s">
        <v>979</v>
      </c>
      <c r="AO74" s="139" t="s">
        <v>971</v>
      </c>
      <c r="AP74" s="139" t="s">
        <v>972</v>
      </c>
      <c r="AQ74" s="139" t="s">
        <v>1055</v>
      </c>
      <c r="AR74" s="139" t="s">
        <v>974</v>
      </c>
      <c r="AS74" s="12">
        <v>45482</v>
      </c>
      <c r="AT74" s="148">
        <v>45847</v>
      </c>
      <c r="AU74" s="140">
        <v>-85</v>
      </c>
      <c r="AV74" s="149" t="s">
        <v>1164</v>
      </c>
      <c r="AW74" s="12">
        <v>45890</v>
      </c>
      <c r="AX74" s="140">
        <v>-42</v>
      </c>
      <c r="AY74" s="149" t="s">
        <v>1164</v>
      </c>
      <c r="AZ74" s="11"/>
      <c r="BA74" s="11" t="s">
        <v>575</v>
      </c>
    </row>
    <row r="75" spans="3:53" x14ac:dyDescent="0.3">
      <c r="C75" s="7">
        <v>71</v>
      </c>
      <c r="D75" s="24" t="s">
        <v>76</v>
      </c>
      <c r="E75" s="8" t="s">
        <v>71</v>
      </c>
      <c r="F75" s="13" t="s">
        <v>966</v>
      </c>
      <c r="G75" s="128">
        <f>IFERROR(VLOOKUP(Pólizas48[[#This Row],[PLACA]],ITV_LA[#All],8,0),"")</f>
        <v>45399</v>
      </c>
      <c r="H75" s="128">
        <f>IFERROR(VLOOKUP(Pólizas48[[#This Row],[PLACA]],ITV_LA[#All],9,0),"")</f>
        <v>46494</v>
      </c>
      <c r="I75" s="8">
        <f ca="1">IFERROR(Pólizas48[[#This Row],[Fecha de vencimiento '[RTV']]]-$I$3,"")</f>
        <v>526</v>
      </c>
      <c r="J75" s="27" t="str">
        <f ca="1">IF(Pólizas48[[#This Row],[Fecha de vencimiento '[RTV']]]="","",IF(Pólizas48[[#This Row],[Fecha de vencimiento '[RTV']]]&lt;TODAY(),"Vencido","Vigente"))</f>
        <v>Vigente</v>
      </c>
      <c r="K75" s="27">
        <f>IFERROR(MONTH(Pólizas48[[#This Row],[Fecha de Emision '[RTV']]]),"")</f>
        <v>4</v>
      </c>
      <c r="L75" s="27">
        <f>IFERROR(YEAR(Pólizas48[[#This Row],[Fecha de Emision '[RTV']]]),"")</f>
        <v>2024</v>
      </c>
      <c r="M75" s="27" t="s">
        <v>37</v>
      </c>
      <c r="N75" s="27" t="s">
        <v>54</v>
      </c>
      <c r="O75" s="27" t="s">
        <v>976</v>
      </c>
      <c r="P7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75" s="27">
        <f>VLOOKUP(Pólizas48[[#This Row],[Categoría]],$BD$4:$BG$8,4,0)</f>
        <v>40</v>
      </c>
      <c r="R75" s="27">
        <f>IF(Pólizas48[[#This Row],[Inspección]]=2024,2025,Pólizas48[[#This Row],[Inspección]])</f>
        <v>2028</v>
      </c>
      <c r="AL75" s="147" t="s">
        <v>1075</v>
      </c>
      <c r="AM75" s="139" t="s">
        <v>1038</v>
      </c>
      <c r="AN75" s="139" t="s">
        <v>979</v>
      </c>
      <c r="AO75" s="139" t="s">
        <v>971</v>
      </c>
      <c r="AP75" s="139" t="s">
        <v>972</v>
      </c>
      <c r="AQ75" s="139" t="s">
        <v>980</v>
      </c>
      <c r="AR75" s="139" t="s">
        <v>981</v>
      </c>
      <c r="AS75" s="12">
        <v>45482</v>
      </c>
      <c r="AT75" s="148">
        <v>45847</v>
      </c>
      <c r="AU75" s="140">
        <v>-85</v>
      </c>
      <c r="AV75" s="149" t="s">
        <v>1164</v>
      </c>
      <c r="AW75" s="12">
        <v>45933</v>
      </c>
      <c r="AX75" s="140">
        <v>1</v>
      </c>
      <c r="AY75" s="149" t="s">
        <v>1164</v>
      </c>
      <c r="AZ75" s="11"/>
      <c r="BA75" s="11" t="s">
        <v>575</v>
      </c>
    </row>
    <row r="76" spans="3:53" x14ac:dyDescent="0.3">
      <c r="C76" s="7">
        <v>72</v>
      </c>
      <c r="D76" s="24" t="s">
        <v>85</v>
      </c>
      <c r="E76" s="8" t="s">
        <v>71</v>
      </c>
      <c r="F76" s="13" t="s">
        <v>966</v>
      </c>
      <c r="G76" s="128">
        <f>IFERROR(VLOOKUP(Pólizas48[[#This Row],[PLACA]],ITV_LA[#All],8,0),"")</f>
        <v>45370</v>
      </c>
      <c r="H76" s="128">
        <f>IFERROR(VLOOKUP(Pólizas48[[#This Row],[PLACA]],ITV_LA[#All],9,0),"")</f>
        <v>46461</v>
      </c>
      <c r="I76" s="8">
        <f ca="1">IFERROR(Pólizas48[[#This Row],[Fecha de vencimiento '[RTV']]]-$I$3,"")</f>
        <v>493</v>
      </c>
      <c r="J76" s="27" t="str">
        <f ca="1">IF(Pólizas48[[#This Row],[Fecha de vencimiento '[RTV']]]="","",IF(Pólizas48[[#This Row],[Fecha de vencimiento '[RTV']]]&lt;TODAY(),"Vencido","Vigente"))</f>
        <v>Vigente</v>
      </c>
      <c r="K76" s="27">
        <f>IFERROR(MONTH(Pólizas48[[#This Row],[Fecha de Emision '[RTV']]]),"")</f>
        <v>3</v>
      </c>
      <c r="L76" s="27">
        <f>IFERROR(YEAR(Pólizas48[[#This Row],[Fecha de Emision '[RTV']]]),"")</f>
        <v>2024</v>
      </c>
      <c r="M76" s="27" t="s">
        <v>37</v>
      </c>
      <c r="N76" s="27" t="s">
        <v>54</v>
      </c>
      <c r="O76" s="27" t="s">
        <v>976</v>
      </c>
      <c r="P7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76" s="27">
        <f>VLOOKUP(Pólizas48[[#This Row],[Categoría]],$BD$4:$BG$8,4,0)</f>
        <v>40</v>
      </c>
      <c r="R76" s="27">
        <f>IF(Pólizas48[[#This Row],[Inspección]]=2024,2025,Pólizas48[[#This Row],[Inspección]])</f>
        <v>2028</v>
      </c>
      <c r="AL76" s="147" t="s">
        <v>1076</v>
      </c>
      <c r="AM76" s="139" t="s">
        <v>1038</v>
      </c>
      <c r="AN76" s="139" t="s">
        <v>979</v>
      </c>
      <c r="AO76" s="139" t="s">
        <v>971</v>
      </c>
      <c r="AP76" s="139" t="s">
        <v>1043</v>
      </c>
      <c r="AQ76" s="139" t="s">
        <v>1044</v>
      </c>
      <c r="AR76" s="139" t="s">
        <v>974</v>
      </c>
      <c r="AS76" s="12">
        <v>45482</v>
      </c>
      <c r="AT76" s="148">
        <v>45847</v>
      </c>
      <c r="AU76" s="140">
        <v>-85</v>
      </c>
      <c r="AV76" s="149" t="s">
        <v>1164</v>
      </c>
      <c r="AW76" s="12">
        <v>45890</v>
      </c>
      <c r="AX76" s="140">
        <v>-42</v>
      </c>
      <c r="AY76" s="149" t="s">
        <v>1164</v>
      </c>
      <c r="AZ76" s="11"/>
      <c r="BA76" s="11" t="s">
        <v>575</v>
      </c>
    </row>
    <row r="77" spans="3:53" x14ac:dyDescent="0.3">
      <c r="C77" s="7">
        <v>73</v>
      </c>
      <c r="D77" s="24" t="s">
        <v>97</v>
      </c>
      <c r="E77" s="8" t="s">
        <v>71</v>
      </c>
      <c r="F77" s="13" t="s">
        <v>966</v>
      </c>
      <c r="G77" s="128">
        <f>IFERROR(VLOOKUP(Pólizas48[[#This Row],[PLACA]],ITV_LA[#All],8,0),"")</f>
        <v>45399</v>
      </c>
      <c r="H77" s="128">
        <f>IFERROR(VLOOKUP(Pólizas48[[#This Row],[PLACA]],ITV_LA[#All],9,0),"")</f>
        <v>46494</v>
      </c>
      <c r="I77" s="8">
        <f ca="1">IFERROR(Pólizas48[[#This Row],[Fecha de vencimiento '[RTV']]]-$I$3,"")</f>
        <v>526</v>
      </c>
      <c r="J77" s="27" t="str">
        <f ca="1">IF(Pólizas48[[#This Row],[Fecha de vencimiento '[RTV']]]="","",IF(Pólizas48[[#This Row],[Fecha de vencimiento '[RTV']]]&lt;TODAY(),"Vencido","Vigente"))</f>
        <v>Vigente</v>
      </c>
      <c r="K77" s="27">
        <f>IFERROR(MONTH(Pólizas48[[#This Row],[Fecha de Emision '[RTV']]]),"")</f>
        <v>4</v>
      </c>
      <c r="L77" s="27">
        <f>IFERROR(YEAR(Pólizas48[[#This Row],[Fecha de Emision '[RTV']]]),"")</f>
        <v>2024</v>
      </c>
      <c r="M77" s="27" t="s">
        <v>37</v>
      </c>
      <c r="N77" s="27" t="s">
        <v>54</v>
      </c>
      <c r="O77" s="27" t="s">
        <v>976</v>
      </c>
      <c r="P7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77" s="27">
        <f>VLOOKUP(Pólizas48[[#This Row],[Categoría]],$BD$4:$BG$8,4,0)</f>
        <v>40</v>
      </c>
      <c r="R77" s="27">
        <f>IF(Pólizas48[[#This Row],[Inspección]]=2024,2025,Pólizas48[[#This Row],[Inspección]])</f>
        <v>2028</v>
      </c>
      <c r="AL77" s="147" t="s">
        <v>1077</v>
      </c>
      <c r="AM77" s="139" t="s">
        <v>1038</v>
      </c>
      <c r="AN77" s="139" t="s">
        <v>979</v>
      </c>
      <c r="AO77" s="139" t="s">
        <v>971</v>
      </c>
      <c r="AP77" s="139" t="s">
        <v>972</v>
      </c>
      <c r="AQ77" s="139" t="s">
        <v>973</v>
      </c>
      <c r="AR77" s="139" t="s">
        <v>974</v>
      </c>
      <c r="AS77" s="12">
        <v>45516</v>
      </c>
      <c r="AT77" s="148">
        <v>45881</v>
      </c>
      <c r="AU77" s="140">
        <v>-51</v>
      </c>
      <c r="AV77" s="149" t="s">
        <v>1164</v>
      </c>
      <c r="AW77" s="12">
        <v>45890</v>
      </c>
      <c r="AX77" s="140">
        <v>-42</v>
      </c>
      <c r="AY77" s="149" t="s">
        <v>1164</v>
      </c>
      <c r="AZ77" s="11"/>
      <c r="BA77" s="11" t="s">
        <v>575</v>
      </c>
    </row>
    <row r="78" spans="3:53" x14ac:dyDescent="0.3">
      <c r="C78" s="7">
        <v>74</v>
      </c>
      <c r="D78" s="24" t="s">
        <v>107</v>
      </c>
      <c r="E78" s="8" t="s">
        <v>71</v>
      </c>
      <c r="F78" s="13" t="s">
        <v>966</v>
      </c>
      <c r="G78" s="128">
        <f>IFERROR(VLOOKUP(Pólizas48[[#This Row],[PLACA]],ITV_LA[#All],8,0),"")</f>
        <v>45370</v>
      </c>
      <c r="H78" s="128">
        <f>IFERROR(VLOOKUP(Pólizas48[[#This Row],[PLACA]],ITV_LA[#All],9,0),"")</f>
        <v>46461</v>
      </c>
      <c r="I78" s="8">
        <f ca="1">IFERROR(Pólizas48[[#This Row],[Fecha de vencimiento '[RTV']]]-$I$3,"")</f>
        <v>493</v>
      </c>
      <c r="J78" s="27" t="str">
        <f ca="1">IF(Pólizas48[[#This Row],[Fecha de vencimiento '[RTV']]]="","",IF(Pólizas48[[#This Row],[Fecha de vencimiento '[RTV']]]&lt;TODAY(),"Vencido","Vigente"))</f>
        <v>Vigente</v>
      </c>
      <c r="K78" s="27">
        <f>IFERROR(MONTH(Pólizas48[[#This Row],[Fecha de Emision '[RTV']]]),"")</f>
        <v>3</v>
      </c>
      <c r="L78" s="27">
        <f>IFERROR(YEAR(Pólizas48[[#This Row],[Fecha de Emision '[RTV']]]),"")</f>
        <v>2024</v>
      </c>
      <c r="M78" s="27" t="s">
        <v>37</v>
      </c>
      <c r="N78" s="27" t="s">
        <v>54</v>
      </c>
      <c r="O78" s="27" t="s">
        <v>976</v>
      </c>
      <c r="P7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78" s="27">
        <f>VLOOKUP(Pólizas48[[#This Row],[Categoría]],$BD$4:$BG$8,4,0)</f>
        <v>40</v>
      </c>
      <c r="R78" s="27">
        <f>IF(Pólizas48[[#This Row],[Inspección]]=2024,2025,Pólizas48[[#This Row],[Inspección]])</f>
        <v>2028</v>
      </c>
      <c r="AL78" s="147" t="s">
        <v>1078</v>
      </c>
      <c r="AM78" s="139" t="s">
        <v>1038</v>
      </c>
      <c r="AN78" s="139" t="s">
        <v>979</v>
      </c>
      <c r="AO78" s="139" t="s">
        <v>971</v>
      </c>
      <c r="AP78" s="139">
        <v>0</v>
      </c>
      <c r="AQ78" s="139" t="s">
        <v>1079</v>
      </c>
      <c r="AR78" s="139" t="s">
        <v>974</v>
      </c>
      <c r="AS78" s="12">
        <v>45523</v>
      </c>
      <c r="AT78" s="148">
        <v>45888</v>
      </c>
      <c r="AU78" s="140">
        <v>-44</v>
      </c>
      <c r="AV78" s="149" t="s">
        <v>1164</v>
      </c>
      <c r="AW78" s="12">
        <v>45890</v>
      </c>
      <c r="AX78" s="140">
        <v>-42</v>
      </c>
      <c r="AY78" s="149" t="s">
        <v>1164</v>
      </c>
      <c r="AZ78" s="11"/>
      <c r="BA78" s="11" t="s">
        <v>575</v>
      </c>
    </row>
    <row r="79" spans="3:53" x14ac:dyDescent="0.3">
      <c r="C79" s="7">
        <v>75</v>
      </c>
      <c r="D79" s="24" t="s">
        <v>106</v>
      </c>
      <c r="E79" s="8" t="s">
        <v>71</v>
      </c>
      <c r="F79" s="13" t="s">
        <v>966</v>
      </c>
      <c r="G79" s="128">
        <f>IFERROR(VLOOKUP(Pólizas48[[#This Row],[PLACA]],ITV_LA[#All],8,0),"")</f>
        <v>45370</v>
      </c>
      <c r="H79" s="128">
        <f>IFERROR(VLOOKUP(Pólizas48[[#This Row],[PLACA]],ITV_LA[#All],9,0),"")</f>
        <v>46461</v>
      </c>
      <c r="I79" s="8">
        <f ca="1">IFERROR(Pólizas48[[#This Row],[Fecha de vencimiento '[RTV']]]-$I$3,"")</f>
        <v>493</v>
      </c>
      <c r="J79" s="27" t="str">
        <f ca="1">IF(Pólizas48[[#This Row],[Fecha de vencimiento '[RTV']]]="","",IF(Pólizas48[[#This Row],[Fecha de vencimiento '[RTV']]]&lt;TODAY(),"Vencido","Vigente"))</f>
        <v>Vigente</v>
      </c>
      <c r="K79" s="27">
        <f>IFERROR(MONTH(Pólizas48[[#This Row],[Fecha de Emision '[RTV']]]),"")</f>
        <v>3</v>
      </c>
      <c r="L79" s="27">
        <f>IFERROR(YEAR(Pólizas48[[#This Row],[Fecha de Emision '[RTV']]]),"")</f>
        <v>2024</v>
      </c>
      <c r="M79" s="27" t="s">
        <v>37</v>
      </c>
      <c r="N79" s="27" t="s">
        <v>54</v>
      </c>
      <c r="O79" s="27" t="s">
        <v>976</v>
      </c>
      <c r="P7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79" s="27">
        <f>VLOOKUP(Pólizas48[[#This Row],[Categoría]],$BD$4:$BG$8,4,0)</f>
        <v>40</v>
      </c>
      <c r="R79" s="27">
        <f>IF(Pólizas48[[#This Row],[Inspección]]=2024,2025,Pólizas48[[#This Row],[Inspección]])</f>
        <v>2028</v>
      </c>
      <c r="AL79" s="147" t="s">
        <v>1080</v>
      </c>
      <c r="AM79" s="139" t="s">
        <v>1038</v>
      </c>
      <c r="AN79" s="139" t="s">
        <v>979</v>
      </c>
      <c r="AO79" s="139" t="s">
        <v>971</v>
      </c>
      <c r="AP79" s="139" t="s">
        <v>1043</v>
      </c>
      <c r="AQ79" s="139" t="s">
        <v>1044</v>
      </c>
      <c r="AR79" s="139" t="s">
        <v>974</v>
      </c>
      <c r="AS79" s="12">
        <v>45470</v>
      </c>
      <c r="AT79" s="148">
        <v>45835</v>
      </c>
      <c r="AU79" s="140">
        <v>-97</v>
      </c>
      <c r="AV79" s="149" t="s">
        <v>1164</v>
      </c>
      <c r="AW79" s="12">
        <v>45890</v>
      </c>
      <c r="AX79" s="140">
        <v>-42</v>
      </c>
      <c r="AY79" s="149" t="s">
        <v>1164</v>
      </c>
      <c r="AZ79" s="11"/>
      <c r="BA79" s="11" t="s">
        <v>575</v>
      </c>
    </row>
    <row r="80" spans="3:53" x14ac:dyDescent="0.3">
      <c r="C80" s="7">
        <v>76</v>
      </c>
      <c r="D80" s="24" t="s">
        <v>82</v>
      </c>
      <c r="E80" s="8" t="s">
        <v>71</v>
      </c>
      <c r="F80" s="13" t="s">
        <v>966</v>
      </c>
      <c r="G80" s="128">
        <f>IFERROR(VLOOKUP(Pólizas48[[#This Row],[PLACA]],ITV_LA[#All],8,0),"")</f>
        <v>45399</v>
      </c>
      <c r="H80" s="128">
        <f>IFERROR(VLOOKUP(Pólizas48[[#This Row],[PLACA]],ITV_LA[#All],9,0),"")</f>
        <v>46494</v>
      </c>
      <c r="I80" s="8">
        <f ca="1">IFERROR(Pólizas48[[#This Row],[Fecha de vencimiento '[RTV']]]-$I$3,"")</f>
        <v>526</v>
      </c>
      <c r="J80" s="27" t="str">
        <f ca="1">IF(Pólizas48[[#This Row],[Fecha de vencimiento '[RTV']]]="","",IF(Pólizas48[[#This Row],[Fecha de vencimiento '[RTV']]]&lt;TODAY(),"Vencido","Vigente"))</f>
        <v>Vigente</v>
      </c>
      <c r="K80" s="27">
        <f>IFERROR(MONTH(Pólizas48[[#This Row],[Fecha de Emision '[RTV']]]),"")</f>
        <v>4</v>
      </c>
      <c r="L80" s="27">
        <f>IFERROR(YEAR(Pólizas48[[#This Row],[Fecha de Emision '[RTV']]]),"")</f>
        <v>2024</v>
      </c>
      <c r="M80" s="27" t="s">
        <v>37</v>
      </c>
      <c r="N80" s="27" t="s">
        <v>54</v>
      </c>
      <c r="O80" s="27" t="s">
        <v>976</v>
      </c>
      <c r="P8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80" s="27">
        <f>VLOOKUP(Pólizas48[[#This Row],[Categoría]],$BD$4:$BG$8,4,0)</f>
        <v>40</v>
      </c>
      <c r="R80" s="27">
        <f>IF(Pólizas48[[#This Row],[Inspección]]=2024,2025,Pólizas48[[#This Row],[Inspección]])</f>
        <v>2028</v>
      </c>
      <c r="AL80" s="147" t="s">
        <v>1081</v>
      </c>
      <c r="AM80" s="139" t="s">
        <v>1038</v>
      </c>
      <c r="AN80" s="139" t="s">
        <v>979</v>
      </c>
      <c r="AO80" s="139" t="s">
        <v>971</v>
      </c>
      <c r="AP80" s="139" t="s">
        <v>972</v>
      </c>
      <c r="AQ80" s="139" t="s">
        <v>973</v>
      </c>
      <c r="AR80" s="139" t="s">
        <v>974</v>
      </c>
      <c r="AS80" s="12">
        <v>45474</v>
      </c>
      <c r="AT80" s="148">
        <v>45839</v>
      </c>
      <c r="AU80" s="140">
        <v>-93</v>
      </c>
      <c r="AV80" s="149" t="s">
        <v>1164</v>
      </c>
      <c r="AW80" s="12">
        <v>45891</v>
      </c>
      <c r="AX80" s="140">
        <v>-41</v>
      </c>
      <c r="AY80" s="149" t="s">
        <v>1164</v>
      </c>
      <c r="AZ80" s="11"/>
      <c r="BA80" s="11" t="s">
        <v>575</v>
      </c>
    </row>
    <row r="81" spans="3:53" x14ac:dyDescent="0.3">
      <c r="C81" s="7">
        <v>77</v>
      </c>
      <c r="D81" s="24" t="s">
        <v>59</v>
      </c>
      <c r="E81" s="8" t="s">
        <v>61</v>
      </c>
      <c r="F81" s="13" t="s">
        <v>966</v>
      </c>
      <c r="G81" s="128">
        <f>IFERROR(VLOOKUP(Pólizas48[[#This Row],[PLACA]],ITV_LA[#All],8,0),"")</f>
        <v>45399</v>
      </c>
      <c r="H81" s="128">
        <f>IFERROR(VLOOKUP(Pólizas48[[#This Row],[PLACA]],ITV_LA[#All],9,0),"")</f>
        <v>46494</v>
      </c>
      <c r="I81" s="8">
        <f ca="1">IFERROR(Pólizas48[[#This Row],[Fecha de vencimiento '[RTV']]]-$I$3,"")</f>
        <v>526</v>
      </c>
      <c r="J81" s="27" t="str">
        <f ca="1">IF(Pólizas48[[#This Row],[Fecha de vencimiento '[RTV']]]="","",IF(Pólizas48[[#This Row],[Fecha de vencimiento '[RTV']]]&lt;TODAY(),"Vencido","Vigente"))</f>
        <v>Vigente</v>
      </c>
      <c r="K81" s="27">
        <f>IFERROR(MONTH(Pólizas48[[#This Row],[Fecha de Emision '[RTV']]]),"")</f>
        <v>4</v>
      </c>
      <c r="L81" s="27">
        <f>IFERROR(YEAR(Pólizas48[[#This Row],[Fecha de Emision '[RTV']]]),"")</f>
        <v>2024</v>
      </c>
      <c r="M81" s="27" t="s">
        <v>37</v>
      </c>
      <c r="N81" s="27" t="s">
        <v>58</v>
      </c>
      <c r="O81" s="27" t="s">
        <v>989</v>
      </c>
      <c r="P8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2027</v>
      </c>
      <c r="Q81" s="27">
        <f>VLOOKUP(Pólizas48[[#This Row],[Categoría]],$BD$4:$BG$8,4,0)</f>
        <v>90</v>
      </c>
      <c r="R81" s="27">
        <f>IF(Pólizas48[[#This Row],[Inspección]]=2024,2025,Pólizas48[[#This Row],[Inspección]])</f>
        <v>2027</v>
      </c>
      <c r="AL81" s="147" t="s">
        <v>1082</v>
      </c>
      <c r="AM81" s="139" t="s">
        <v>1038</v>
      </c>
      <c r="AN81" s="139" t="s">
        <v>979</v>
      </c>
      <c r="AO81" s="139" t="s">
        <v>971</v>
      </c>
      <c r="AP81" s="139" t="s">
        <v>972</v>
      </c>
      <c r="AQ81" s="139" t="s">
        <v>973</v>
      </c>
      <c r="AR81" s="139" t="s">
        <v>974</v>
      </c>
      <c r="AS81" s="12">
        <v>45456</v>
      </c>
      <c r="AT81" s="148">
        <v>45821</v>
      </c>
      <c r="AU81" s="140">
        <v>-111</v>
      </c>
      <c r="AV81" s="149" t="s">
        <v>1164</v>
      </c>
      <c r="AW81" s="12">
        <v>45891</v>
      </c>
      <c r="AX81" s="140">
        <v>-41</v>
      </c>
      <c r="AY81" s="149" t="s">
        <v>1164</v>
      </c>
      <c r="AZ81" s="11"/>
      <c r="BA81" s="11" t="s">
        <v>575</v>
      </c>
    </row>
    <row r="82" spans="3:53" x14ac:dyDescent="0.3">
      <c r="C82" s="7">
        <v>78</v>
      </c>
      <c r="D82" s="24" t="s">
        <v>108</v>
      </c>
      <c r="E82" s="8" t="s">
        <v>71</v>
      </c>
      <c r="F82" s="13" t="s">
        <v>966</v>
      </c>
      <c r="G82" s="128">
        <f>IFERROR(VLOOKUP(Pólizas48[[#This Row],[PLACA]],ITV_LA[#All],8,0),"")</f>
        <v>45370</v>
      </c>
      <c r="H82" s="128">
        <f>IFERROR(VLOOKUP(Pólizas48[[#This Row],[PLACA]],ITV_LA[#All],9,0),"")</f>
        <v>46465</v>
      </c>
      <c r="I82" s="8">
        <f ca="1">IFERROR(Pólizas48[[#This Row],[Fecha de vencimiento '[RTV']]]-$I$3,"")</f>
        <v>497</v>
      </c>
      <c r="J82" s="27" t="str">
        <f ca="1">IF(Pólizas48[[#This Row],[Fecha de vencimiento '[RTV']]]="","",IF(Pólizas48[[#This Row],[Fecha de vencimiento '[RTV']]]&lt;TODAY(),"Vencido","Vigente"))</f>
        <v>Vigente</v>
      </c>
      <c r="K82" s="27">
        <f>IFERROR(MONTH(Pólizas48[[#This Row],[Fecha de Emision '[RTV']]]),"")</f>
        <v>3</v>
      </c>
      <c r="L82" s="27">
        <f>IFERROR(YEAR(Pólizas48[[#This Row],[Fecha de Emision '[RTV']]]),"")</f>
        <v>2024</v>
      </c>
      <c r="M82" s="27" t="s">
        <v>37</v>
      </c>
      <c r="N82" s="27" t="s">
        <v>54</v>
      </c>
      <c r="O82" s="27" t="s">
        <v>976</v>
      </c>
      <c r="P8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82" s="27">
        <f>VLOOKUP(Pólizas48[[#This Row],[Categoría]],$BD$4:$BG$8,4,0)</f>
        <v>40</v>
      </c>
      <c r="R82" s="27">
        <f>IF(Pólizas48[[#This Row],[Inspección]]=2024,2025,Pólizas48[[#This Row],[Inspección]])</f>
        <v>2028</v>
      </c>
      <c r="AL82" s="147" t="s">
        <v>1083</v>
      </c>
      <c r="AM82" s="139" t="s">
        <v>1038</v>
      </c>
      <c r="AN82" s="139" t="s">
        <v>979</v>
      </c>
      <c r="AO82" s="139" t="s">
        <v>971</v>
      </c>
      <c r="AP82" s="139" t="s">
        <v>972</v>
      </c>
      <c r="AQ82" s="139" t="s">
        <v>973</v>
      </c>
      <c r="AR82" s="139" t="s">
        <v>974</v>
      </c>
      <c r="AS82" s="12">
        <v>45478</v>
      </c>
      <c r="AT82" s="148">
        <v>45843</v>
      </c>
      <c r="AU82" s="140">
        <v>-89</v>
      </c>
      <c r="AV82" s="149" t="s">
        <v>1164</v>
      </c>
      <c r="AW82" s="12">
        <v>45891</v>
      </c>
      <c r="AX82" s="140">
        <v>-41</v>
      </c>
      <c r="AY82" s="149" t="s">
        <v>1164</v>
      </c>
      <c r="AZ82" s="11"/>
      <c r="BA82" s="11" t="s">
        <v>575</v>
      </c>
    </row>
    <row r="83" spans="3:53" x14ac:dyDescent="0.3">
      <c r="C83" s="7">
        <v>79</v>
      </c>
      <c r="D83" s="24" t="s">
        <v>95</v>
      </c>
      <c r="E83" s="8" t="s">
        <v>71</v>
      </c>
      <c r="F83" s="13" t="s">
        <v>966</v>
      </c>
      <c r="G83" s="128">
        <f>IFERROR(VLOOKUP(Pólizas48[[#This Row],[PLACA]],ITV_LA[#All],8,0),"")</f>
        <v>45370</v>
      </c>
      <c r="H83" s="128">
        <f>IFERROR(VLOOKUP(Pólizas48[[#This Row],[PLACA]],ITV_LA[#All],9,0),"")</f>
        <v>46465</v>
      </c>
      <c r="I83" s="8">
        <f ca="1">IFERROR(Pólizas48[[#This Row],[Fecha de vencimiento '[RTV']]]-$I$3,"")</f>
        <v>497</v>
      </c>
      <c r="J83" s="27" t="str">
        <f ca="1">IF(Pólizas48[[#This Row],[Fecha de vencimiento '[RTV']]]="","",IF(Pólizas48[[#This Row],[Fecha de vencimiento '[RTV']]]&lt;TODAY(),"Vencido","Vigente"))</f>
        <v>Vigente</v>
      </c>
      <c r="K83" s="27">
        <f>IFERROR(MONTH(Pólizas48[[#This Row],[Fecha de Emision '[RTV']]]),"")</f>
        <v>3</v>
      </c>
      <c r="L83" s="27">
        <f>IFERROR(YEAR(Pólizas48[[#This Row],[Fecha de Emision '[RTV']]]),"")</f>
        <v>2024</v>
      </c>
      <c r="M83" s="27" t="s">
        <v>37</v>
      </c>
      <c r="N83" s="27" t="s">
        <v>54</v>
      </c>
      <c r="O83" s="27" t="s">
        <v>976</v>
      </c>
      <c r="P8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83" s="27">
        <f>VLOOKUP(Pólizas48[[#This Row],[Categoría]],$BD$4:$BG$8,4,0)</f>
        <v>40</v>
      </c>
      <c r="R83" s="27">
        <f>IF(Pólizas48[[#This Row],[Inspección]]=2024,2025,Pólizas48[[#This Row],[Inspección]])</f>
        <v>2028</v>
      </c>
      <c r="AL83" s="147" t="s">
        <v>1084</v>
      </c>
      <c r="AM83" s="139" t="s">
        <v>1006</v>
      </c>
      <c r="AN83" s="139" t="s">
        <v>979</v>
      </c>
      <c r="AO83" s="139" t="s">
        <v>985</v>
      </c>
      <c r="AP83" s="139" t="s">
        <v>992</v>
      </c>
      <c r="AQ83" s="139" t="s">
        <v>1085</v>
      </c>
      <c r="AR83" s="139" t="s">
        <v>994</v>
      </c>
      <c r="AS83" s="12">
        <v>45463</v>
      </c>
      <c r="AT83" s="148">
        <v>45828</v>
      </c>
      <c r="AU83" s="140">
        <v>-104</v>
      </c>
      <c r="AV83" s="149" t="s">
        <v>1164</v>
      </c>
      <c r="AW83" s="12">
        <v>45936</v>
      </c>
      <c r="AX83" s="140">
        <v>4</v>
      </c>
      <c r="AY83" s="149" t="s">
        <v>1164</v>
      </c>
      <c r="AZ83" s="11"/>
      <c r="BA83" s="11" t="s">
        <v>575</v>
      </c>
    </row>
    <row r="84" spans="3:53" x14ac:dyDescent="0.3">
      <c r="C84" s="7">
        <v>80</v>
      </c>
      <c r="D84" s="24" t="s">
        <v>99</v>
      </c>
      <c r="E84" s="8" t="s">
        <v>71</v>
      </c>
      <c r="F84" s="13" t="s">
        <v>966</v>
      </c>
      <c r="G84" s="128">
        <f>IFERROR(VLOOKUP(Pólizas48[[#This Row],[PLACA]],ITV_LA[#All],8,0),"")</f>
        <v>45370</v>
      </c>
      <c r="H84" s="128">
        <f>IFERROR(VLOOKUP(Pólizas48[[#This Row],[PLACA]],ITV_LA[#All],9,0),"")</f>
        <v>46465</v>
      </c>
      <c r="I84" s="8">
        <f ca="1">IFERROR(Pólizas48[[#This Row],[Fecha de vencimiento '[RTV']]]-$I$3,"")</f>
        <v>497</v>
      </c>
      <c r="J84" s="27" t="str">
        <f ca="1">IF(Pólizas48[[#This Row],[Fecha de vencimiento '[RTV']]]="","",IF(Pólizas48[[#This Row],[Fecha de vencimiento '[RTV']]]&lt;TODAY(),"Vencido","Vigente"))</f>
        <v>Vigente</v>
      </c>
      <c r="K84" s="27">
        <f>IFERROR(MONTH(Pólizas48[[#This Row],[Fecha de Emision '[RTV']]]),"")</f>
        <v>3</v>
      </c>
      <c r="L84" s="27">
        <f>IFERROR(YEAR(Pólizas48[[#This Row],[Fecha de Emision '[RTV']]]),"")</f>
        <v>2024</v>
      </c>
      <c r="M84" s="27" t="s">
        <v>37</v>
      </c>
      <c r="N84" s="27" t="s">
        <v>54</v>
      </c>
      <c r="O84" s="27" t="s">
        <v>976</v>
      </c>
      <c r="P8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84" s="27">
        <f>VLOOKUP(Pólizas48[[#This Row],[Categoría]],$BD$4:$BG$8,4,0)</f>
        <v>40</v>
      </c>
      <c r="R84" s="27">
        <f>IF(Pólizas48[[#This Row],[Inspección]]=2024,2025,Pólizas48[[#This Row],[Inspección]])</f>
        <v>2028</v>
      </c>
      <c r="AL84" s="147" t="s">
        <v>1086</v>
      </c>
      <c r="AM84" s="139" t="s">
        <v>991</v>
      </c>
      <c r="AN84" s="139" t="s">
        <v>979</v>
      </c>
      <c r="AO84" s="139" t="s">
        <v>985</v>
      </c>
      <c r="AP84" s="139" t="s">
        <v>992</v>
      </c>
      <c r="AQ84" s="139" t="s">
        <v>1087</v>
      </c>
      <c r="AR84" s="139" t="s">
        <v>994</v>
      </c>
      <c r="AS84" s="12">
        <v>45646</v>
      </c>
      <c r="AT84" s="148">
        <v>45828</v>
      </c>
      <c r="AU84" s="140">
        <v>-104</v>
      </c>
      <c r="AV84" s="149" t="s">
        <v>1164</v>
      </c>
      <c r="AW84" s="12">
        <v>46051</v>
      </c>
      <c r="AX84" s="140">
        <v>119</v>
      </c>
      <c r="AY84" s="149" t="s">
        <v>1163</v>
      </c>
      <c r="AZ84" s="11"/>
      <c r="BA84" s="11" t="s">
        <v>575</v>
      </c>
    </row>
    <row r="85" spans="3:53" x14ac:dyDescent="0.3">
      <c r="C85" s="7">
        <v>81</v>
      </c>
      <c r="D85" s="24" t="s">
        <v>87</v>
      </c>
      <c r="E85" s="8" t="s">
        <v>71</v>
      </c>
      <c r="F85" s="13" t="s">
        <v>966</v>
      </c>
      <c r="G85" s="128">
        <f>IFERROR(VLOOKUP(Pólizas48[[#This Row],[PLACA]],ITV_LA[#All],8,0),"")</f>
        <v>45399</v>
      </c>
      <c r="H85" s="128">
        <f>IFERROR(VLOOKUP(Pólizas48[[#This Row],[PLACA]],ITV_LA[#All],9,0),"")</f>
        <v>46494</v>
      </c>
      <c r="I85" s="8">
        <f ca="1">IFERROR(Pólizas48[[#This Row],[Fecha de vencimiento '[RTV']]]-$I$3,"")</f>
        <v>526</v>
      </c>
      <c r="J85" s="27" t="str">
        <f ca="1">IF(Pólizas48[[#This Row],[Fecha de vencimiento '[RTV']]]="","",IF(Pólizas48[[#This Row],[Fecha de vencimiento '[RTV']]]&lt;TODAY(),"Vencido","Vigente"))</f>
        <v>Vigente</v>
      </c>
      <c r="K85" s="27">
        <f>IFERROR(MONTH(Pólizas48[[#This Row],[Fecha de Emision '[RTV']]]),"")</f>
        <v>4</v>
      </c>
      <c r="L85" s="27">
        <f>IFERROR(YEAR(Pólizas48[[#This Row],[Fecha de Emision '[RTV']]]),"")</f>
        <v>2024</v>
      </c>
      <c r="M85" s="27" t="s">
        <v>37</v>
      </c>
      <c r="N85" s="27" t="s">
        <v>54</v>
      </c>
      <c r="O85" s="27" t="s">
        <v>976</v>
      </c>
      <c r="P8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85" s="27">
        <f>VLOOKUP(Pólizas48[[#This Row],[Categoría]],$BD$4:$BG$8,4,0)</f>
        <v>40</v>
      </c>
      <c r="R85" s="27">
        <f>IF(Pólizas48[[#This Row],[Inspección]]=2024,2025,Pólizas48[[#This Row],[Inspección]])</f>
        <v>2028</v>
      </c>
      <c r="AL85" s="147" t="s">
        <v>404</v>
      </c>
      <c r="AM85" s="139" t="s">
        <v>1006</v>
      </c>
      <c r="AN85" s="139" t="s">
        <v>979</v>
      </c>
      <c r="AO85" s="139" t="s">
        <v>985</v>
      </c>
      <c r="AP85" s="139" t="s">
        <v>992</v>
      </c>
      <c r="AQ85" s="139" t="s">
        <v>1088</v>
      </c>
      <c r="AR85" s="139" t="s">
        <v>994</v>
      </c>
      <c r="AS85" s="12">
        <v>45463</v>
      </c>
      <c r="AT85" s="148">
        <v>45828</v>
      </c>
      <c r="AU85" s="140">
        <v>-104</v>
      </c>
      <c r="AV85" s="149" t="s">
        <v>1164</v>
      </c>
      <c r="AW85" s="12">
        <v>46137</v>
      </c>
      <c r="AX85" s="140">
        <v>205</v>
      </c>
      <c r="AY85" s="149" t="s">
        <v>1163</v>
      </c>
      <c r="AZ85" s="11"/>
      <c r="BA85" s="11" t="s">
        <v>575</v>
      </c>
    </row>
    <row r="86" spans="3:53" x14ac:dyDescent="0.3">
      <c r="C86" s="7">
        <v>82</v>
      </c>
      <c r="D86" s="24" t="s">
        <v>103</v>
      </c>
      <c r="E86" s="8" t="s">
        <v>71</v>
      </c>
      <c r="F86" s="13" t="s">
        <v>966</v>
      </c>
      <c r="G86" s="128">
        <f>IFERROR(VLOOKUP(Pólizas48[[#This Row],[PLACA]],ITV_LA[#All],8,0),"")</f>
        <v>45399</v>
      </c>
      <c r="H86" s="128">
        <f>IFERROR(VLOOKUP(Pólizas48[[#This Row],[PLACA]],ITV_LA[#All],9,0),"")</f>
        <v>46494</v>
      </c>
      <c r="I86" s="8">
        <f ca="1">IFERROR(Pólizas48[[#This Row],[Fecha de vencimiento '[RTV']]]-$I$3,"")</f>
        <v>526</v>
      </c>
      <c r="J86" s="27" t="str">
        <f ca="1">IF(Pólizas48[[#This Row],[Fecha de vencimiento '[RTV']]]="","",IF(Pólizas48[[#This Row],[Fecha de vencimiento '[RTV']]]&lt;TODAY(),"Vencido","Vigente"))</f>
        <v>Vigente</v>
      </c>
      <c r="K86" s="27">
        <f>IFERROR(MONTH(Pólizas48[[#This Row],[Fecha de Emision '[RTV']]]),"")</f>
        <v>4</v>
      </c>
      <c r="L86" s="27">
        <f>IFERROR(YEAR(Pólizas48[[#This Row],[Fecha de Emision '[RTV']]]),"")</f>
        <v>2024</v>
      </c>
      <c r="M86" s="27" t="s">
        <v>37</v>
      </c>
      <c r="N86" s="27" t="s">
        <v>54</v>
      </c>
      <c r="O86" s="27" t="s">
        <v>976</v>
      </c>
      <c r="P8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86" s="27">
        <f>VLOOKUP(Pólizas48[[#This Row],[Categoría]],$BD$4:$BG$8,4,0)</f>
        <v>40</v>
      </c>
      <c r="R86" s="27">
        <f>IF(Pólizas48[[#This Row],[Inspección]]=2024,2025,Pólizas48[[#This Row],[Inspección]])</f>
        <v>2028</v>
      </c>
      <c r="AL86" s="147" t="s">
        <v>1089</v>
      </c>
      <c r="AM86" s="139" t="s">
        <v>1038</v>
      </c>
      <c r="AN86" s="139" t="s">
        <v>979</v>
      </c>
      <c r="AO86" s="139" t="s">
        <v>966</v>
      </c>
      <c r="AP86" s="139" t="s">
        <v>972</v>
      </c>
      <c r="AQ86" s="139" t="s">
        <v>1026</v>
      </c>
      <c r="AR86" s="139" t="s">
        <v>994</v>
      </c>
      <c r="AS86" s="12">
        <v>45464</v>
      </c>
      <c r="AT86" s="148">
        <v>45829</v>
      </c>
      <c r="AU86" s="140">
        <v>-103</v>
      </c>
      <c r="AV86" s="149" t="s">
        <v>1164</v>
      </c>
      <c r="AW86" s="12">
        <v>45856</v>
      </c>
      <c r="AX86" s="140">
        <v>-76</v>
      </c>
      <c r="AY86" s="149" t="s">
        <v>1164</v>
      </c>
      <c r="AZ86" s="11"/>
      <c r="BA86" s="11" t="s">
        <v>575</v>
      </c>
    </row>
    <row r="87" spans="3:53" x14ac:dyDescent="0.3">
      <c r="C87" s="7">
        <v>83</v>
      </c>
      <c r="D87" s="24" t="s">
        <v>105</v>
      </c>
      <c r="E87" s="8" t="s">
        <v>71</v>
      </c>
      <c r="F87" s="13" t="s">
        <v>966</v>
      </c>
      <c r="G87" s="128">
        <f>IFERROR(VLOOKUP(Pólizas48[[#This Row],[PLACA]],ITV_LA[#All],8,0),"")</f>
        <v>45399</v>
      </c>
      <c r="H87" s="128">
        <f>IFERROR(VLOOKUP(Pólizas48[[#This Row],[PLACA]],ITV_LA[#All],9,0),"")</f>
        <v>46494</v>
      </c>
      <c r="I87" s="8">
        <f ca="1">IFERROR(Pólizas48[[#This Row],[Fecha de vencimiento '[RTV']]]-$I$3,"")</f>
        <v>526</v>
      </c>
      <c r="J87" s="27" t="str">
        <f ca="1">IF(Pólizas48[[#This Row],[Fecha de vencimiento '[RTV']]]="","",IF(Pólizas48[[#This Row],[Fecha de vencimiento '[RTV']]]&lt;TODAY(),"Vencido","Vigente"))</f>
        <v>Vigente</v>
      </c>
      <c r="K87" s="27">
        <f>IFERROR(MONTH(Pólizas48[[#This Row],[Fecha de Emision '[RTV']]]),"")</f>
        <v>4</v>
      </c>
      <c r="L87" s="27">
        <f>IFERROR(YEAR(Pólizas48[[#This Row],[Fecha de Emision '[RTV']]]),"")</f>
        <v>2024</v>
      </c>
      <c r="M87" s="27" t="s">
        <v>37</v>
      </c>
      <c r="N87" s="27" t="s">
        <v>54</v>
      </c>
      <c r="O87" s="27" t="s">
        <v>976</v>
      </c>
      <c r="P8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87" s="27">
        <f>VLOOKUP(Pólizas48[[#This Row],[Categoría]],$BD$4:$BG$8,4,0)</f>
        <v>40</v>
      </c>
      <c r="R87" s="27">
        <f>IF(Pólizas48[[#This Row],[Inspección]]=2024,2025,Pólizas48[[#This Row],[Inspección]])</f>
        <v>2028</v>
      </c>
      <c r="AL87" s="147" t="s">
        <v>1090</v>
      </c>
      <c r="AM87" s="139" t="s">
        <v>1006</v>
      </c>
      <c r="AN87" s="139" t="s">
        <v>979</v>
      </c>
      <c r="AO87" s="139" t="s">
        <v>985</v>
      </c>
      <c r="AP87" s="139" t="s">
        <v>992</v>
      </c>
      <c r="AQ87" s="139" t="s">
        <v>993</v>
      </c>
      <c r="AR87" s="139" t="s">
        <v>988</v>
      </c>
      <c r="AS87" s="12">
        <v>45453</v>
      </c>
      <c r="AT87" s="148">
        <v>45818</v>
      </c>
      <c r="AU87" s="140">
        <v>-114</v>
      </c>
      <c r="AV87" s="149" t="s">
        <v>1164</v>
      </c>
      <c r="AW87" s="12">
        <v>45936</v>
      </c>
      <c r="AX87" s="140">
        <v>4</v>
      </c>
      <c r="AY87" s="149" t="s">
        <v>1164</v>
      </c>
      <c r="AZ87" s="11"/>
      <c r="BA87" s="11" t="s">
        <v>575</v>
      </c>
    </row>
    <row r="88" spans="3:53" x14ac:dyDescent="0.3">
      <c r="C88" s="7">
        <v>84</v>
      </c>
      <c r="D88" s="24" t="s">
        <v>89</v>
      </c>
      <c r="E88" s="8" t="s">
        <v>71</v>
      </c>
      <c r="F88" s="13" t="s">
        <v>966</v>
      </c>
      <c r="G88" s="128">
        <f>IFERROR(VLOOKUP(Pólizas48[[#This Row],[PLACA]],ITV_LA[#All],8,0),"")</f>
        <v>45399</v>
      </c>
      <c r="H88" s="128">
        <f>IFERROR(VLOOKUP(Pólizas48[[#This Row],[PLACA]],ITV_LA[#All],9,0),"")</f>
        <v>46494</v>
      </c>
      <c r="I88" s="8">
        <f ca="1">IFERROR(Pólizas48[[#This Row],[Fecha de vencimiento '[RTV']]]-$I$3,"")</f>
        <v>526</v>
      </c>
      <c r="J88" s="27" t="str">
        <f ca="1">IF(Pólizas48[[#This Row],[Fecha de vencimiento '[RTV']]]="","",IF(Pólizas48[[#This Row],[Fecha de vencimiento '[RTV']]]&lt;TODAY(),"Vencido","Vigente"))</f>
        <v>Vigente</v>
      </c>
      <c r="K88" s="27">
        <f>IFERROR(MONTH(Pólizas48[[#This Row],[Fecha de Emision '[RTV']]]),"")</f>
        <v>4</v>
      </c>
      <c r="L88" s="27">
        <f>IFERROR(YEAR(Pólizas48[[#This Row],[Fecha de Emision '[RTV']]]),"")</f>
        <v>2024</v>
      </c>
      <c r="M88" s="27" t="s">
        <v>37</v>
      </c>
      <c r="N88" s="27" t="s">
        <v>54</v>
      </c>
      <c r="O88" s="27" t="s">
        <v>976</v>
      </c>
      <c r="P8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88" s="27">
        <f>VLOOKUP(Pólizas48[[#This Row],[Categoría]],$BD$4:$BG$8,4,0)</f>
        <v>40</v>
      </c>
      <c r="R88" s="27">
        <f>IF(Pólizas48[[#This Row],[Inspección]]=2024,2025,Pólizas48[[#This Row],[Inspección]])</f>
        <v>2028</v>
      </c>
      <c r="AL88" s="147" t="s">
        <v>1091</v>
      </c>
      <c r="AM88" s="139" t="s">
        <v>1038</v>
      </c>
      <c r="AN88" s="139" t="s">
        <v>979</v>
      </c>
      <c r="AO88" s="139" t="s">
        <v>971</v>
      </c>
      <c r="AP88" s="139" t="s">
        <v>972</v>
      </c>
      <c r="AQ88" s="139" t="s">
        <v>973</v>
      </c>
      <c r="AR88" s="139" t="s">
        <v>974</v>
      </c>
      <c r="AS88" s="12">
        <v>45507</v>
      </c>
      <c r="AT88" s="148">
        <v>45872</v>
      </c>
      <c r="AU88" s="140">
        <v>-60</v>
      </c>
      <c r="AV88" s="149" t="s">
        <v>1164</v>
      </c>
      <c r="AW88" s="12">
        <v>45893</v>
      </c>
      <c r="AX88" s="140">
        <v>-39</v>
      </c>
      <c r="AY88" s="149" t="s">
        <v>1164</v>
      </c>
      <c r="AZ88" s="11"/>
      <c r="BA88" s="11" t="s">
        <v>575</v>
      </c>
    </row>
    <row r="89" spans="3:53" x14ac:dyDescent="0.3">
      <c r="C89" s="7">
        <v>85</v>
      </c>
      <c r="D89" s="24" t="s">
        <v>84</v>
      </c>
      <c r="E89" s="8" t="s">
        <v>71</v>
      </c>
      <c r="F89" s="13" t="s">
        <v>966</v>
      </c>
      <c r="G89" s="128">
        <f>IFERROR(VLOOKUP(Pólizas48[[#This Row],[PLACA]],ITV_LA[#All],8,0),"")</f>
        <v>45399</v>
      </c>
      <c r="H89" s="128">
        <f>IFERROR(VLOOKUP(Pólizas48[[#This Row],[PLACA]],ITV_LA[#All],9,0),"")</f>
        <v>46494</v>
      </c>
      <c r="I89" s="8">
        <f ca="1">IFERROR(Pólizas48[[#This Row],[Fecha de vencimiento '[RTV']]]-$I$3,"")</f>
        <v>526</v>
      </c>
      <c r="J89" s="27" t="str">
        <f ca="1">IF(Pólizas48[[#This Row],[Fecha de vencimiento '[RTV']]]="","",IF(Pólizas48[[#This Row],[Fecha de vencimiento '[RTV']]]&lt;TODAY(),"Vencido","Vigente"))</f>
        <v>Vigente</v>
      </c>
      <c r="K89" s="27">
        <f>IFERROR(MONTH(Pólizas48[[#This Row],[Fecha de Emision '[RTV']]]),"")</f>
        <v>4</v>
      </c>
      <c r="L89" s="27">
        <f>IFERROR(YEAR(Pólizas48[[#This Row],[Fecha de Emision '[RTV']]]),"")</f>
        <v>2024</v>
      </c>
      <c r="M89" s="27" t="s">
        <v>37</v>
      </c>
      <c r="N89" s="27" t="s">
        <v>54</v>
      </c>
      <c r="O89" s="27" t="s">
        <v>976</v>
      </c>
      <c r="P8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89" s="27">
        <f>VLOOKUP(Pólizas48[[#This Row],[Categoría]],$BD$4:$BG$8,4,0)</f>
        <v>40</v>
      </c>
      <c r="R89" s="27">
        <f>IF(Pólizas48[[#This Row],[Inspección]]=2024,2025,Pólizas48[[#This Row],[Inspección]])</f>
        <v>2028</v>
      </c>
      <c r="AL89" s="147" t="s">
        <v>1092</v>
      </c>
      <c r="AM89" s="139" t="s">
        <v>1038</v>
      </c>
      <c r="AN89" s="139" t="s">
        <v>979</v>
      </c>
      <c r="AO89" s="139" t="s">
        <v>971</v>
      </c>
      <c r="AP89" s="139" t="s">
        <v>972</v>
      </c>
      <c r="AQ89" s="139" t="s">
        <v>973</v>
      </c>
      <c r="AR89" s="139" t="s">
        <v>974</v>
      </c>
      <c r="AS89" s="12">
        <v>45512</v>
      </c>
      <c r="AT89" s="148">
        <v>45877</v>
      </c>
      <c r="AU89" s="140">
        <v>-55</v>
      </c>
      <c r="AV89" s="149" t="s">
        <v>1164</v>
      </c>
      <c r="AW89" s="12">
        <v>45893</v>
      </c>
      <c r="AX89" s="140">
        <v>-39</v>
      </c>
      <c r="AY89" s="149" t="s">
        <v>1164</v>
      </c>
      <c r="AZ89" s="11"/>
      <c r="BA89" s="11" t="s">
        <v>575</v>
      </c>
    </row>
    <row r="90" spans="3:53" x14ac:dyDescent="0.3">
      <c r="C90" s="7">
        <v>86</v>
      </c>
      <c r="D90" s="24" t="s">
        <v>90</v>
      </c>
      <c r="E90" s="8" t="s">
        <v>71</v>
      </c>
      <c r="F90" s="13" t="s">
        <v>966</v>
      </c>
      <c r="G90" s="128">
        <f>IFERROR(VLOOKUP(Pólizas48[[#This Row],[PLACA]],ITV_LA[#All],8,0),"")</f>
        <v>45399</v>
      </c>
      <c r="H90" s="128">
        <f>IFERROR(VLOOKUP(Pólizas48[[#This Row],[PLACA]],ITV_LA[#All],9,0),"")</f>
        <v>46494</v>
      </c>
      <c r="I90" s="8">
        <f ca="1">IFERROR(Pólizas48[[#This Row],[Fecha de vencimiento '[RTV']]]-$I$3,"")</f>
        <v>526</v>
      </c>
      <c r="J90" s="27" t="str">
        <f ca="1">IF(Pólizas48[[#This Row],[Fecha de vencimiento '[RTV']]]="","",IF(Pólizas48[[#This Row],[Fecha de vencimiento '[RTV']]]&lt;TODAY(),"Vencido","Vigente"))</f>
        <v>Vigente</v>
      </c>
      <c r="K90" s="27">
        <f>IFERROR(MONTH(Pólizas48[[#This Row],[Fecha de Emision '[RTV']]]),"")</f>
        <v>4</v>
      </c>
      <c r="L90" s="27">
        <f>IFERROR(YEAR(Pólizas48[[#This Row],[Fecha de Emision '[RTV']]]),"")</f>
        <v>2024</v>
      </c>
      <c r="M90" s="27" t="s">
        <v>37</v>
      </c>
      <c r="N90" s="27" t="s">
        <v>54</v>
      </c>
      <c r="O90" s="27" t="s">
        <v>976</v>
      </c>
      <c r="P9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90" s="27">
        <f>VLOOKUP(Pólizas48[[#This Row],[Categoría]],$BD$4:$BG$8,4,0)</f>
        <v>40</v>
      </c>
      <c r="R90" s="27">
        <f>IF(Pólizas48[[#This Row],[Inspección]]=2024,2025,Pólizas48[[#This Row],[Inspección]])</f>
        <v>2028</v>
      </c>
      <c r="AL90" s="147" t="s">
        <v>1093</v>
      </c>
      <c r="AM90" s="139" t="s">
        <v>1006</v>
      </c>
      <c r="AN90" s="139" t="s">
        <v>979</v>
      </c>
      <c r="AO90" s="139" t="s">
        <v>985</v>
      </c>
      <c r="AP90" s="139" t="s">
        <v>992</v>
      </c>
      <c r="AQ90" s="139" t="s">
        <v>1094</v>
      </c>
      <c r="AR90" s="139" t="s">
        <v>994</v>
      </c>
      <c r="AS90" s="12">
        <v>45464</v>
      </c>
      <c r="AT90" s="148">
        <v>45829</v>
      </c>
      <c r="AU90" s="140">
        <v>-103</v>
      </c>
      <c r="AV90" s="149" t="s">
        <v>1164</v>
      </c>
      <c r="AW90" s="148">
        <v>45912</v>
      </c>
      <c r="AX90" s="140">
        <v>-20</v>
      </c>
      <c r="AY90" s="149" t="s">
        <v>1164</v>
      </c>
      <c r="AZ90" s="11"/>
      <c r="BA90" s="11" t="s">
        <v>575</v>
      </c>
    </row>
    <row r="91" spans="3:53" x14ac:dyDescent="0.3">
      <c r="C91" s="7">
        <v>87</v>
      </c>
      <c r="D91" s="24" t="s">
        <v>88</v>
      </c>
      <c r="E91" s="8" t="s">
        <v>71</v>
      </c>
      <c r="F91" s="13" t="s">
        <v>966</v>
      </c>
      <c r="G91" s="128">
        <f>IFERROR(VLOOKUP(Pólizas48[[#This Row],[PLACA]],ITV_LA[#All],8,0),"")</f>
        <v>45399</v>
      </c>
      <c r="H91" s="128">
        <f>IFERROR(VLOOKUP(Pólizas48[[#This Row],[PLACA]],ITV_LA[#All],9,0),"")</f>
        <v>46494</v>
      </c>
      <c r="I91" s="8">
        <f ca="1">IFERROR(Pólizas48[[#This Row],[Fecha de vencimiento '[RTV']]]-$I$3,"")</f>
        <v>526</v>
      </c>
      <c r="J91" s="27" t="str">
        <f ca="1">IF(Pólizas48[[#This Row],[Fecha de vencimiento '[RTV']]]="","",IF(Pólizas48[[#This Row],[Fecha de vencimiento '[RTV']]]&lt;TODAY(),"Vencido","Vigente"))</f>
        <v>Vigente</v>
      </c>
      <c r="K91" s="27">
        <f>IFERROR(MONTH(Pólizas48[[#This Row],[Fecha de Emision '[RTV']]]),"")</f>
        <v>4</v>
      </c>
      <c r="L91" s="27">
        <f>IFERROR(YEAR(Pólizas48[[#This Row],[Fecha de Emision '[RTV']]]),"")</f>
        <v>2024</v>
      </c>
      <c r="M91" s="27" t="s">
        <v>37</v>
      </c>
      <c r="N91" s="27" t="s">
        <v>54</v>
      </c>
      <c r="O91" s="27" t="s">
        <v>976</v>
      </c>
      <c r="P9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91" s="27">
        <f>VLOOKUP(Pólizas48[[#This Row],[Categoría]],$BD$4:$BG$8,4,0)</f>
        <v>40</v>
      </c>
      <c r="R91" s="27">
        <f>IF(Pólizas48[[#This Row],[Inspección]]=2024,2025,Pólizas48[[#This Row],[Inspección]])</f>
        <v>2028</v>
      </c>
      <c r="AL91" s="147" t="s">
        <v>1095</v>
      </c>
      <c r="AM91" s="139" t="s">
        <v>1038</v>
      </c>
      <c r="AN91" s="139" t="s">
        <v>979</v>
      </c>
      <c r="AO91" s="139" t="s">
        <v>971</v>
      </c>
      <c r="AP91" s="139" t="s">
        <v>972</v>
      </c>
      <c r="AQ91" s="139" t="s">
        <v>973</v>
      </c>
      <c r="AR91" s="139" t="s">
        <v>974</v>
      </c>
      <c r="AS91" s="12">
        <v>45499</v>
      </c>
      <c r="AT91" s="148">
        <v>45864</v>
      </c>
      <c r="AU91" s="140">
        <v>-68</v>
      </c>
      <c r="AV91" s="149" t="s">
        <v>1164</v>
      </c>
      <c r="AW91" s="12">
        <v>45893</v>
      </c>
      <c r="AX91" s="140">
        <v>-39</v>
      </c>
      <c r="AY91" s="149" t="s">
        <v>1164</v>
      </c>
      <c r="AZ91" s="11"/>
      <c r="BA91" s="11" t="s">
        <v>575</v>
      </c>
    </row>
    <row r="92" spans="3:53" x14ac:dyDescent="0.3">
      <c r="C92" s="7">
        <v>88</v>
      </c>
      <c r="D92" s="24" t="s">
        <v>171</v>
      </c>
      <c r="E92" s="8" t="s">
        <v>174</v>
      </c>
      <c r="F92" s="13" t="s">
        <v>966</v>
      </c>
      <c r="G92" s="128">
        <f>IFERROR(VLOOKUP(Pólizas48[[#This Row],[PLACA]],ITV_LA[#All],8,0),"")</f>
        <v>45399</v>
      </c>
      <c r="H92" s="128">
        <f>IFERROR(VLOOKUP(Pólizas48[[#This Row],[PLACA]],ITV_LA[#All],9,0),"")</f>
        <v>46494</v>
      </c>
      <c r="I92" s="8">
        <f ca="1">IFERROR(Pólizas48[[#This Row],[Fecha de vencimiento '[RTV']]]-$I$3,"")</f>
        <v>526</v>
      </c>
      <c r="J92" s="27" t="str">
        <f ca="1">IF(Pólizas48[[#This Row],[Fecha de vencimiento '[RTV']]]="","",IF(Pólizas48[[#This Row],[Fecha de vencimiento '[RTV']]]&lt;TODAY(),"Vencido","Vigente"))</f>
        <v>Vigente</v>
      </c>
      <c r="K92" s="27">
        <f>IFERROR(MONTH(Pólizas48[[#This Row],[Fecha de Emision '[RTV']]]),"")</f>
        <v>4</v>
      </c>
      <c r="L92" s="27">
        <f>IFERROR(YEAR(Pólizas48[[#This Row],[Fecha de Emision '[RTV']]]),"")</f>
        <v>2024</v>
      </c>
      <c r="M92" s="27" t="s">
        <v>37</v>
      </c>
      <c r="N92" s="27" t="s">
        <v>32</v>
      </c>
      <c r="O92" s="27" t="s">
        <v>982</v>
      </c>
      <c r="P9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92" s="27">
        <f>VLOOKUP(Pólizas48[[#This Row],[Categoría]],$BD$4:$BG$8,4,0)</f>
        <v>43</v>
      </c>
      <c r="R92" s="27">
        <f>IF(Pólizas48[[#This Row],[Inspección]]=2024,2025,Pólizas48[[#This Row],[Inspección]])</f>
        <v>2025</v>
      </c>
      <c r="AL92" s="147" t="s">
        <v>1096</v>
      </c>
      <c r="AM92" s="139" t="s">
        <v>1038</v>
      </c>
      <c r="AN92" s="139" t="s">
        <v>979</v>
      </c>
      <c r="AO92" s="139" t="s">
        <v>971</v>
      </c>
      <c r="AP92" s="139" t="s">
        <v>972</v>
      </c>
      <c r="AQ92" s="139" t="s">
        <v>1097</v>
      </c>
      <c r="AR92" s="139" t="s">
        <v>981</v>
      </c>
      <c r="AS92" s="12">
        <v>45483</v>
      </c>
      <c r="AT92" s="148">
        <v>45848</v>
      </c>
      <c r="AU92" s="140">
        <v>-84</v>
      </c>
      <c r="AV92" s="149" t="s">
        <v>1164</v>
      </c>
      <c r="AW92" s="12">
        <v>45933</v>
      </c>
      <c r="AX92" s="140">
        <v>1</v>
      </c>
      <c r="AY92" s="149" t="s">
        <v>1164</v>
      </c>
      <c r="AZ92" s="11"/>
      <c r="BA92" s="11" t="s">
        <v>575</v>
      </c>
    </row>
    <row r="93" spans="3:53" x14ac:dyDescent="0.3">
      <c r="C93" s="7">
        <v>89</v>
      </c>
      <c r="D93" s="24" t="s">
        <v>102</v>
      </c>
      <c r="E93" s="8" t="s">
        <v>71</v>
      </c>
      <c r="F93" s="13" t="s">
        <v>966</v>
      </c>
      <c r="G93" s="128">
        <f>IFERROR(VLOOKUP(Pólizas48[[#This Row],[PLACA]],ITV_LA[#All],8,0),"")</f>
        <v>45399</v>
      </c>
      <c r="H93" s="128">
        <f>IFERROR(VLOOKUP(Pólizas48[[#This Row],[PLACA]],ITV_LA[#All],9,0),"")</f>
        <v>46494</v>
      </c>
      <c r="I93" s="8">
        <f ca="1">IFERROR(Pólizas48[[#This Row],[Fecha de vencimiento '[RTV']]]-$I$3,"")</f>
        <v>526</v>
      </c>
      <c r="J93" s="27" t="str">
        <f ca="1">IF(Pólizas48[[#This Row],[Fecha de vencimiento '[RTV']]]="","",IF(Pólizas48[[#This Row],[Fecha de vencimiento '[RTV']]]&lt;TODAY(),"Vencido","Vigente"))</f>
        <v>Vigente</v>
      </c>
      <c r="K93" s="27">
        <f>IFERROR(MONTH(Pólizas48[[#This Row],[Fecha de Emision '[RTV']]]),"")</f>
        <v>4</v>
      </c>
      <c r="L93" s="27">
        <f>IFERROR(YEAR(Pólizas48[[#This Row],[Fecha de Emision '[RTV']]]),"")</f>
        <v>2024</v>
      </c>
      <c r="M93" s="27" t="s">
        <v>37</v>
      </c>
      <c r="N93" s="27" t="s">
        <v>54</v>
      </c>
      <c r="O93" s="27" t="s">
        <v>976</v>
      </c>
      <c r="P9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93" s="27">
        <f>VLOOKUP(Pólizas48[[#This Row],[Categoría]],$BD$4:$BG$8,4,0)</f>
        <v>40</v>
      </c>
      <c r="R93" s="27">
        <f>IF(Pólizas48[[#This Row],[Inspección]]=2024,2025,Pólizas48[[#This Row],[Inspección]])</f>
        <v>2028</v>
      </c>
      <c r="AL93" s="147" t="s">
        <v>1098</v>
      </c>
      <c r="AM93" s="139" t="s">
        <v>1038</v>
      </c>
      <c r="AN93" s="139" t="s">
        <v>979</v>
      </c>
      <c r="AO93" s="139" t="s">
        <v>971</v>
      </c>
      <c r="AP93" s="139" t="s">
        <v>972</v>
      </c>
      <c r="AQ93" s="139" t="s">
        <v>973</v>
      </c>
      <c r="AR93" s="139" t="s">
        <v>974</v>
      </c>
      <c r="AS93" s="12">
        <v>45481</v>
      </c>
      <c r="AT93" s="148">
        <v>45846</v>
      </c>
      <c r="AU93" s="140">
        <v>-86</v>
      </c>
      <c r="AV93" s="149" t="s">
        <v>1164</v>
      </c>
      <c r="AW93" s="12">
        <v>45893</v>
      </c>
      <c r="AX93" s="140">
        <v>-39</v>
      </c>
      <c r="AY93" s="149" t="s">
        <v>1164</v>
      </c>
      <c r="AZ93" s="11"/>
      <c r="BA93" s="11" t="s">
        <v>575</v>
      </c>
    </row>
    <row r="94" spans="3:53" x14ac:dyDescent="0.3">
      <c r="C94" s="7">
        <v>90</v>
      </c>
      <c r="D94" s="24" t="s">
        <v>86</v>
      </c>
      <c r="E94" s="8" t="s">
        <v>71</v>
      </c>
      <c r="F94" s="13" t="s">
        <v>966</v>
      </c>
      <c r="G94" s="128">
        <f>IFERROR(VLOOKUP(Pólizas48[[#This Row],[PLACA]],ITV_LA[#All],8,0),"")</f>
        <v>45399</v>
      </c>
      <c r="H94" s="128">
        <f>IFERROR(VLOOKUP(Pólizas48[[#This Row],[PLACA]],ITV_LA[#All],9,0),"")</f>
        <v>46494</v>
      </c>
      <c r="I94" s="8">
        <f ca="1">IFERROR(Pólizas48[[#This Row],[Fecha de vencimiento '[RTV']]]-$I$3,"")</f>
        <v>526</v>
      </c>
      <c r="J94" s="27" t="str">
        <f ca="1">IF(Pólizas48[[#This Row],[Fecha de vencimiento '[RTV']]]="","",IF(Pólizas48[[#This Row],[Fecha de vencimiento '[RTV']]]&lt;TODAY(),"Vencido","Vigente"))</f>
        <v>Vigente</v>
      </c>
      <c r="K94" s="27">
        <f>IFERROR(MONTH(Pólizas48[[#This Row],[Fecha de Emision '[RTV']]]),"")</f>
        <v>4</v>
      </c>
      <c r="L94" s="27">
        <f>IFERROR(YEAR(Pólizas48[[#This Row],[Fecha de Emision '[RTV']]]),"")</f>
        <v>2024</v>
      </c>
      <c r="M94" s="27" t="s">
        <v>37</v>
      </c>
      <c r="N94" s="27" t="s">
        <v>54</v>
      </c>
      <c r="O94" s="27" t="s">
        <v>976</v>
      </c>
      <c r="P9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94" s="27">
        <f>VLOOKUP(Pólizas48[[#This Row],[Categoría]],$BD$4:$BG$8,4,0)</f>
        <v>40</v>
      </c>
      <c r="R94" s="27">
        <f>IF(Pólizas48[[#This Row],[Inspección]]=2024,2025,Pólizas48[[#This Row],[Inspección]])</f>
        <v>2028</v>
      </c>
      <c r="AL94" s="147" t="s">
        <v>1099</v>
      </c>
      <c r="AM94" s="139" t="s">
        <v>1038</v>
      </c>
      <c r="AN94" s="139" t="s">
        <v>979</v>
      </c>
      <c r="AO94" s="139" t="s">
        <v>971</v>
      </c>
      <c r="AP94" s="139" t="s">
        <v>972</v>
      </c>
      <c r="AQ94" s="139" t="s">
        <v>973</v>
      </c>
      <c r="AR94" s="139" t="s">
        <v>974</v>
      </c>
      <c r="AS94" s="12">
        <v>45513</v>
      </c>
      <c r="AT94" s="148">
        <v>45878</v>
      </c>
      <c r="AU94" s="140">
        <v>-54</v>
      </c>
      <c r="AV94" s="149" t="s">
        <v>1164</v>
      </c>
      <c r="AW94" s="12">
        <v>45893</v>
      </c>
      <c r="AX94" s="140">
        <v>-39</v>
      </c>
      <c r="AY94" s="149" t="s">
        <v>1164</v>
      </c>
      <c r="AZ94" s="11"/>
      <c r="BA94" s="11" t="s">
        <v>575</v>
      </c>
    </row>
    <row r="95" spans="3:53" x14ac:dyDescent="0.3">
      <c r="C95" s="7">
        <v>91</v>
      </c>
      <c r="D95" s="24" t="s">
        <v>104</v>
      </c>
      <c r="E95" s="8" t="s">
        <v>71</v>
      </c>
      <c r="F95" s="13" t="s">
        <v>966</v>
      </c>
      <c r="G95" s="128">
        <f>IFERROR(VLOOKUP(Pólizas48[[#This Row],[PLACA]],ITV_LA[#All],8,0),"")</f>
        <v>45399</v>
      </c>
      <c r="H95" s="128">
        <f>IFERROR(VLOOKUP(Pólizas48[[#This Row],[PLACA]],ITV_LA[#All],9,0),"")</f>
        <v>46494</v>
      </c>
      <c r="I95" s="8">
        <f ca="1">IFERROR(Pólizas48[[#This Row],[Fecha de vencimiento '[RTV']]]-$I$3,"")</f>
        <v>526</v>
      </c>
      <c r="J95" s="27" t="str">
        <f ca="1">IF(Pólizas48[[#This Row],[Fecha de vencimiento '[RTV']]]="","",IF(Pólizas48[[#This Row],[Fecha de vencimiento '[RTV']]]&lt;TODAY(),"Vencido","Vigente"))</f>
        <v>Vigente</v>
      </c>
      <c r="K95" s="27">
        <f>IFERROR(MONTH(Pólizas48[[#This Row],[Fecha de Emision '[RTV']]]),"")</f>
        <v>4</v>
      </c>
      <c r="L95" s="27">
        <f>IFERROR(YEAR(Pólizas48[[#This Row],[Fecha de Emision '[RTV']]]),"")</f>
        <v>2024</v>
      </c>
      <c r="M95" s="27" t="s">
        <v>37</v>
      </c>
      <c r="N95" s="27" t="s">
        <v>54</v>
      </c>
      <c r="O95" s="27" t="s">
        <v>976</v>
      </c>
      <c r="P9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95" s="27">
        <f>VLOOKUP(Pólizas48[[#This Row],[Categoría]],$BD$4:$BG$8,4,0)</f>
        <v>40</v>
      </c>
      <c r="R95" s="27">
        <f>IF(Pólizas48[[#This Row],[Inspección]]=2024,2025,Pólizas48[[#This Row],[Inspección]])</f>
        <v>2028</v>
      </c>
      <c r="AL95" s="147" t="s">
        <v>1100</v>
      </c>
      <c r="AM95" s="139" t="s">
        <v>991</v>
      </c>
      <c r="AN95" s="139" t="s">
        <v>979</v>
      </c>
      <c r="AO95" s="139" t="s">
        <v>985</v>
      </c>
      <c r="AP95" s="139" t="s">
        <v>992</v>
      </c>
      <c r="AQ95" s="139" t="s">
        <v>993</v>
      </c>
      <c r="AR95" s="139" t="s">
        <v>994</v>
      </c>
      <c r="AS95" s="12">
        <v>45647</v>
      </c>
      <c r="AT95" s="148">
        <v>45829</v>
      </c>
      <c r="AU95" s="140">
        <v>-103</v>
      </c>
      <c r="AV95" s="149" t="s">
        <v>1164</v>
      </c>
      <c r="AW95" s="12">
        <v>46020</v>
      </c>
      <c r="AX95" s="140">
        <v>88</v>
      </c>
      <c r="AY95" s="149" t="s">
        <v>1163</v>
      </c>
      <c r="AZ95" s="11"/>
      <c r="BA95" s="11" t="s">
        <v>575</v>
      </c>
    </row>
    <row r="96" spans="3:53" x14ac:dyDescent="0.3">
      <c r="C96" s="7">
        <v>92</v>
      </c>
      <c r="D96" s="24" t="s">
        <v>121</v>
      </c>
      <c r="E96" s="8" t="s">
        <v>117</v>
      </c>
      <c r="F96" s="13" t="s">
        <v>966</v>
      </c>
      <c r="G96" s="128">
        <f>IFERROR(VLOOKUP(Pólizas48[[#This Row],[PLACA]],ITV_LA[#All],8,0),"")</f>
        <v>45468</v>
      </c>
      <c r="H96" s="128">
        <f>IFERROR(VLOOKUP(Pólizas48[[#This Row],[PLACA]],ITV_LA[#All],9,0),"")</f>
        <v>46202</v>
      </c>
      <c r="I96" s="8">
        <f ca="1">IFERROR(Pólizas48[[#This Row],[Fecha de vencimiento '[RTV']]]-$I$3,"")</f>
        <v>234</v>
      </c>
      <c r="J96" s="27" t="str">
        <f ca="1">IF(Pólizas48[[#This Row],[Fecha de vencimiento '[RTV']]]="","",IF(Pólizas48[[#This Row],[Fecha de vencimiento '[RTV']]]&lt;TODAY(),"Vencido","Vigente"))</f>
        <v>Vigente</v>
      </c>
      <c r="K96" s="27">
        <f>IFERROR(MONTH(Pólizas48[[#This Row],[Fecha de Emision '[RTV']]]),"")</f>
        <v>6</v>
      </c>
      <c r="L96" s="27">
        <f>IFERROR(YEAR(Pólizas48[[#This Row],[Fecha de Emision '[RTV']]]),"")</f>
        <v>2024</v>
      </c>
      <c r="M96" s="27" t="s">
        <v>37</v>
      </c>
      <c r="N96" s="27" t="s">
        <v>40</v>
      </c>
      <c r="O96" s="27" t="s">
        <v>967</v>
      </c>
      <c r="P9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2024</v>
      </c>
      <c r="Q96" s="27">
        <f>VLOOKUP(Pólizas48[[#This Row],[Categoría]],$BD$4:$BG$8,4,0)</f>
        <v>100</v>
      </c>
      <c r="R96" s="27">
        <f>IF(Pólizas48[[#This Row],[Inspección]]=2024,2025,Pólizas48[[#This Row],[Inspección]])</f>
        <v>2025</v>
      </c>
      <c r="AL96" s="147" t="s">
        <v>1101</v>
      </c>
      <c r="AM96" s="139" t="s">
        <v>1038</v>
      </c>
      <c r="AN96" s="139" t="s">
        <v>979</v>
      </c>
      <c r="AO96" s="139" t="s">
        <v>971</v>
      </c>
      <c r="AP96" s="139" t="s">
        <v>972</v>
      </c>
      <c r="AQ96" s="139" t="s">
        <v>973</v>
      </c>
      <c r="AR96" s="139" t="s">
        <v>974</v>
      </c>
      <c r="AS96" s="12">
        <v>45531</v>
      </c>
      <c r="AT96" s="148">
        <v>45896</v>
      </c>
      <c r="AU96" s="140">
        <v>-36</v>
      </c>
      <c r="AV96" s="149" t="s">
        <v>1164</v>
      </c>
      <c r="AW96" s="12">
        <v>45897</v>
      </c>
      <c r="AX96" s="140">
        <v>-35</v>
      </c>
      <c r="AY96" s="149" t="s">
        <v>1164</v>
      </c>
      <c r="AZ96" s="11"/>
      <c r="BA96" s="11" t="s">
        <v>575</v>
      </c>
    </row>
    <row r="97" spans="3:53" x14ac:dyDescent="0.3">
      <c r="C97" s="7">
        <v>93</v>
      </c>
      <c r="D97" s="24" t="s">
        <v>33</v>
      </c>
      <c r="E97" s="8" t="s">
        <v>38</v>
      </c>
      <c r="F97" s="13"/>
      <c r="G97" s="128">
        <f>IFERROR(VLOOKUP(Pólizas48[[#This Row],[PLACA]],ITV_LA[#All],8,0),"")</f>
        <v>45551</v>
      </c>
      <c r="H97" s="128">
        <f>IFERROR(VLOOKUP(Pólizas48[[#This Row],[PLACA]],ITV_LA[#All],9,0),"")</f>
        <v>47377</v>
      </c>
      <c r="I97" s="133">
        <f ca="1">IFERROR(Pólizas48[[#This Row],[Fecha de vencimiento '[RTV']]]-$I$3,"")</f>
        <v>1409</v>
      </c>
      <c r="J97" s="27" t="str">
        <f ca="1">IF(Pólizas48[[#This Row],[Fecha de vencimiento '[RTV']]]="","",IF(Pólizas48[[#This Row],[Fecha de vencimiento '[RTV']]]&lt;TODAY(),"Vencido","Vigente"))</f>
        <v>Vigente</v>
      </c>
      <c r="K97" s="27">
        <f>IFERROR(MONTH(Pólizas48[[#This Row],[Fecha de Emision '[RTV']]]),"")</f>
        <v>9</v>
      </c>
      <c r="L97" s="27">
        <f>IFERROR(YEAR(Pólizas48[[#This Row],[Fecha de Emision '[RTV']]]),"")</f>
        <v>2024</v>
      </c>
      <c r="M97" s="27" t="s">
        <v>37</v>
      </c>
      <c r="N97" s="27" t="s">
        <v>39</v>
      </c>
      <c r="O97" s="27" t="s">
        <v>976</v>
      </c>
      <c r="P9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97" s="27">
        <f>VLOOKUP(Pólizas48[[#This Row],[Categoría]],$BD$4:$BG$8,4,0)</f>
        <v>40</v>
      </c>
      <c r="R97" s="27">
        <f>IF(Pólizas48[[#This Row],[Inspección]]=2024,2025,Pólizas48[[#This Row],[Inspección]])</f>
        <v>2028</v>
      </c>
      <c r="AL97" s="147" t="s">
        <v>1102</v>
      </c>
      <c r="AM97" s="139" t="s">
        <v>991</v>
      </c>
      <c r="AN97" s="139" t="s">
        <v>979</v>
      </c>
      <c r="AO97" s="139" t="s">
        <v>985</v>
      </c>
      <c r="AP97" s="139" t="s">
        <v>992</v>
      </c>
      <c r="AQ97" s="139" t="s">
        <v>993</v>
      </c>
      <c r="AR97" s="139" t="s">
        <v>988</v>
      </c>
      <c r="AS97" s="12">
        <v>45637</v>
      </c>
      <c r="AT97" s="148">
        <v>45819</v>
      </c>
      <c r="AU97" s="140">
        <v>-113</v>
      </c>
      <c r="AV97" s="149" t="s">
        <v>1164</v>
      </c>
      <c r="AW97" s="12">
        <v>46017</v>
      </c>
      <c r="AX97" s="140">
        <v>85</v>
      </c>
      <c r="AY97" s="149" t="s">
        <v>1163</v>
      </c>
      <c r="AZ97" s="11"/>
      <c r="BA97" s="11" t="s">
        <v>575</v>
      </c>
    </row>
    <row r="98" spans="3:53" x14ac:dyDescent="0.3">
      <c r="C98" s="7">
        <v>94</v>
      </c>
      <c r="D98" s="24" t="s">
        <v>41</v>
      </c>
      <c r="E98" s="8" t="s">
        <v>44</v>
      </c>
      <c r="F98" s="13"/>
      <c r="G98" s="128">
        <f>IFERROR(VLOOKUP(Pólizas48[[#This Row],[PLACA]],ITV_LA[#All],8,0),"")</f>
        <v>45713</v>
      </c>
      <c r="H98" s="128">
        <f>IFERROR(VLOOKUP(Pólizas48[[#This Row],[PLACA]],ITV_LA[#All],9,0),"")</f>
        <v>46808</v>
      </c>
      <c r="I98" s="133">
        <f ca="1">IFERROR(Pólizas48[[#This Row],[Fecha de vencimiento '[RTV']]]-$I$3,"")</f>
        <v>840</v>
      </c>
      <c r="J98" s="27" t="str">
        <f ca="1">IF(Pólizas48[[#This Row],[Fecha de vencimiento '[RTV']]]="","",IF(Pólizas48[[#This Row],[Fecha de vencimiento '[RTV']]]&lt;TODAY(),"Vencido","Vigente"))</f>
        <v>Vigente</v>
      </c>
      <c r="K98" s="27">
        <f>IFERROR(MONTH(Pólizas48[[#This Row],[Fecha de Emision '[RTV']]]),"")</f>
        <v>2</v>
      </c>
      <c r="L98" s="27">
        <f>IFERROR(YEAR(Pólizas48[[#This Row],[Fecha de Emision '[RTV']]]),"")</f>
        <v>2025</v>
      </c>
      <c r="M98" s="27" t="s">
        <v>37</v>
      </c>
      <c r="N98" s="27" t="s">
        <v>45</v>
      </c>
      <c r="O98" s="27" t="s">
        <v>989</v>
      </c>
      <c r="P9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98" s="27">
        <f>VLOOKUP(Pólizas48[[#This Row],[Categoría]],$BD$4:$BG$8,4,0)</f>
        <v>90</v>
      </c>
      <c r="R98" s="27">
        <f>IF(Pólizas48[[#This Row],[Inspección]]=2024,2025,Pólizas48[[#This Row],[Inspección]])</f>
        <v>2028</v>
      </c>
      <c r="AL98" s="147" t="s">
        <v>1103</v>
      </c>
      <c r="AM98" s="139" t="s">
        <v>1038</v>
      </c>
      <c r="AN98" s="139" t="s">
        <v>979</v>
      </c>
      <c r="AO98" s="139" t="s">
        <v>971</v>
      </c>
      <c r="AP98" s="139" t="s">
        <v>1043</v>
      </c>
      <c r="AQ98" s="139" t="s">
        <v>1044</v>
      </c>
      <c r="AR98" s="139" t="s">
        <v>974</v>
      </c>
      <c r="AS98" s="12">
        <v>45457</v>
      </c>
      <c r="AT98" s="148">
        <v>45822</v>
      </c>
      <c r="AU98" s="140">
        <v>-110</v>
      </c>
      <c r="AV98" s="149" t="s">
        <v>1164</v>
      </c>
      <c r="AW98" s="12">
        <v>45897</v>
      </c>
      <c r="AX98" s="140">
        <v>-35</v>
      </c>
      <c r="AY98" s="149" t="s">
        <v>1164</v>
      </c>
      <c r="AZ98" s="11"/>
      <c r="BA98" s="11" t="s">
        <v>575</v>
      </c>
    </row>
    <row r="99" spans="3:53" x14ac:dyDescent="0.3">
      <c r="C99" s="7">
        <v>95</v>
      </c>
      <c r="D99" s="24" t="s">
        <v>47</v>
      </c>
      <c r="E99" s="8" t="s">
        <v>44</v>
      </c>
      <c r="F99" s="13"/>
      <c r="G99" s="128">
        <f>IFERROR(VLOOKUP(Pólizas48[[#This Row],[PLACA]],ITV_LA[#All],8,0),"")</f>
        <v>45713</v>
      </c>
      <c r="H99" s="128">
        <f>IFERROR(VLOOKUP(Pólizas48[[#This Row],[PLACA]],ITV_LA[#All],9,0),"")</f>
        <v>46808</v>
      </c>
      <c r="I99" s="133">
        <f ca="1">IFERROR(Pólizas48[[#This Row],[Fecha de vencimiento '[RTV']]]-$I$3,"")</f>
        <v>840</v>
      </c>
      <c r="J99" s="27" t="str">
        <f ca="1">IF(Pólizas48[[#This Row],[Fecha de vencimiento '[RTV']]]="","",IF(Pólizas48[[#This Row],[Fecha de vencimiento '[RTV']]]&lt;TODAY(),"Vencido","Vigente"))</f>
        <v>Vigente</v>
      </c>
      <c r="K99" s="27">
        <f>IFERROR(MONTH(Pólizas48[[#This Row],[Fecha de Emision '[RTV']]]),"")</f>
        <v>2</v>
      </c>
      <c r="L99" s="27">
        <f>IFERROR(YEAR(Pólizas48[[#This Row],[Fecha de Emision '[RTV']]]),"")</f>
        <v>2025</v>
      </c>
      <c r="M99" s="27" t="s">
        <v>37</v>
      </c>
      <c r="N99" s="27" t="s">
        <v>45</v>
      </c>
      <c r="O99" s="27" t="s">
        <v>989</v>
      </c>
      <c r="P9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99" s="27">
        <f>VLOOKUP(Pólizas48[[#This Row],[Categoría]],$BD$4:$BG$8,4,0)</f>
        <v>90</v>
      </c>
      <c r="R99" s="27">
        <f>IF(Pólizas48[[#This Row],[Inspección]]=2024,2025,Pólizas48[[#This Row],[Inspección]])</f>
        <v>2028</v>
      </c>
      <c r="AL99" s="147" t="s">
        <v>1104</v>
      </c>
      <c r="AM99" s="139" t="s">
        <v>1038</v>
      </c>
      <c r="AN99" s="139" t="s">
        <v>979</v>
      </c>
      <c r="AO99" s="139" t="s">
        <v>971</v>
      </c>
      <c r="AP99" s="139" t="s">
        <v>972</v>
      </c>
      <c r="AQ99" s="139" t="s">
        <v>973</v>
      </c>
      <c r="AR99" s="139" t="s">
        <v>974</v>
      </c>
      <c r="AS99" s="12">
        <v>45524</v>
      </c>
      <c r="AT99" s="148">
        <v>45889</v>
      </c>
      <c r="AU99" s="140">
        <v>-43</v>
      </c>
      <c r="AV99" s="149" t="s">
        <v>1164</v>
      </c>
      <c r="AW99" s="12">
        <v>45905</v>
      </c>
      <c r="AX99" s="140">
        <v>-27</v>
      </c>
      <c r="AY99" s="149" t="s">
        <v>1164</v>
      </c>
      <c r="AZ99" s="11"/>
      <c r="BA99" s="11" t="s">
        <v>575</v>
      </c>
    </row>
    <row r="100" spans="3:53" x14ac:dyDescent="0.3">
      <c r="C100" s="7">
        <v>96</v>
      </c>
      <c r="D100" s="24" t="s">
        <v>49</v>
      </c>
      <c r="E100" s="8" t="s">
        <v>44</v>
      </c>
      <c r="F100" s="13"/>
      <c r="G100" s="128">
        <f>IFERROR(VLOOKUP(Pólizas48[[#This Row],[PLACA]],ITV_LA[#All],8,0),"")</f>
        <v>45713</v>
      </c>
      <c r="H100" s="128">
        <f>IFERROR(VLOOKUP(Pólizas48[[#This Row],[PLACA]],ITV_LA[#All],9,0),"")</f>
        <v>46808</v>
      </c>
      <c r="I100" s="133">
        <f ca="1">IFERROR(Pólizas48[[#This Row],[Fecha de vencimiento '[RTV']]]-$I$3,"")</f>
        <v>840</v>
      </c>
      <c r="J100" s="27" t="str">
        <f ca="1">IF(Pólizas48[[#This Row],[Fecha de vencimiento '[RTV']]]="","",IF(Pólizas48[[#This Row],[Fecha de vencimiento '[RTV']]]&lt;TODAY(),"Vencido","Vigente"))</f>
        <v>Vigente</v>
      </c>
      <c r="K100" s="27">
        <f>IFERROR(MONTH(Pólizas48[[#This Row],[Fecha de Emision '[RTV']]]),"")</f>
        <v>2</v>
      </c>
      <c r="L100" s="27">
        <f>IFERROR(YEAR(Pólizas48[[#This Row],[Fecha de Emision '[RTV']]]),"")</f>
        <v>2025</v>
      </c>
      <c r="M100" s="27" t="s">
        <v>37</v>
      </c>
      <c r="N100" s="27" t="s">
        <v>45</v>
      </c>
      <c r="O100" s="27" t="s">
        <v>989</v>
      </c>
      <c r="P10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100" s="27">
        <f>VLOOKUP(Pólizas48[[#This Row],[Categoría]],$BD$4:$BG$8,4,0)</f>
        <v>90</v>
      </c>
      <c r="R100" s="27">
        <f>IF(Pólizas48[[#This Row],[Inspección]]=2024,2025,Pólizas48[[#This Row],[Inspección]])</f>
        <v>2028</v>
      </c>
      <c r="AL100" s="147" t="s">
        <v>1105</v>
      </c>
      <c r="AM100" s="139" t="s">
        <v>1038</v>
      </c>
      <c r="AN100" s="139" t="s">
        <v>979</v>
      </c>
      <c r="AO100" s="139" t="s">
        <v>971</v>
      </c>
      <c r="AP100" s="139" t="s">
        <v>972</v>
      </c>
      <c r="AQ100" s="139" t="s">
        <v>973</v>
      </c>
      <c r="AR100" s="139" t="s">
        <v>974</v>
      </c>
      <c r="AS100" s="12">
        <v>45531</v>
      </c>
      <c r="AT100" s="148">
        <v>45896</v>
      </c>
      <c r="AU100" s="140">
        <v>-36</v>
      </c>
      <c r="AV100" s="149" t="s">
        <v>1164</v>
      </c>
      <c r="AW100" s="12">
        <v>45905</v>
      </c>
      <c r="AX100" s="140">
        <v>-27</v>
      </c>
      <c r="AY100" s="149" t="s">
        <v>1164</v>
      </c>
      <c r="AZ100" s="11"/>
      <c r="BA100" s="11" t="s">
        <v>575</v>
      </c>
    </row>
    <row r="101" spans="3:53" x14ac:dyDescent="0.3">
      <c r="C101" s="7">
        <v>97</v>
      </c>
      <c r="D101" s="24" t="s">
        <v>50</v>
      </c>
      <c r="E101" s="8" t="s">
        <v>44</v>
      </c>
      <c r="F101" s="13"/>
      <c r="G101" s="128">
        <f>IFERROR(VLOOKUP(Pólizas48[[#This Row],[PLACA]],ITV_LA[#All],8,0),"")</f>
        <v>45713</v>
      </c>
      <c r="H101" s="128">
        <f>IFERROR(VLOOKUP(Pólizas48[[#This Row],[PLACA]],ITV_LA[#All],9,0),"")</f>
        <v>46808</v>
      </c>
      <c r="I101" s="133">
        <f ca="1">IFERROR(Pólizas48[[#This Row],[Fecha de vencimiento '[RTV']]]-$I$3,"")</f>
        <v>840</v>
      </c>
      <c r="J101" s="27" t="str">
        <f ca="1">IF(Pólizas48[[#This Row],[Fecha de vencimiento '[RTV']]]="","",IF(Pólizas48[[#This Row],[Fecha de vencimiento '[RTV']]]&lt;TODAY(),"Vencido","Vigente"))</f>
        <v>Vigente</v>
      </c>
      <c r="K101" s="27">
        <f>IFERROR(MONTH(Pólizas48[[#This Row],[Fecha de Emision '[RTV']]]),"")</f>
        <v>2</v>
      </c>
      <c r="L101" s="27">
        <f>IFERROR(YEAR(Pólizas48[[#This Row],[Fecha de Emision '[RTV']]]),"")</f>
        <v>2025</v>
      </c>
      <c r="M101" s="27" t="s">
        <v>37</v>
      </c>
      <c r="N101" s="27" t="s">
        <v>45</v>
      </c>
      <c r="O101" s="27" t="s">
        <v>989</v>
      </c>
      <c r="P10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101" s="27">
        <f>VLOOKUP(Pólizas48[[#This Row],[Categoría]],$BD$4:$BG$8,4,0)</f>
        <v>90</v>
      </c>
      <c r="R101" s="27">
        <f>IF(Pólizas48[[#This Row],[Inspección]]=2024,2025,Pólizas48[[#This Row],[Inspección]])</f>
        <v>2028</v>
      </c>
      <c r="AL101" s="147" t="s">
        <v>1106</v>
      </c>
      <c r="AM101" s="139" t="s">
        <v>991</v>
      </c>
      <c r="AN101" s="139" t="s">
        <v>979</v>
      </c>
      <c r="AO101" s="139" t="s">
        <v>985</v>
      </c>
      <c r="AP101" s="139" t="s">
        <v>992</v>
      </c>
      <c r="AQ101" s="139" t="s">
        <v>1094</v>
      </c>
      <c r="AR101" s="139" t="s">
        <v>994</v>
      </c>
      <c r="AS101" s="12">
        <v>45647</v>
      </c>
      <c r="AT101" s="148">
        <v>45829</v>
      </c>
      <c r="AU101" s="140">
        <v>-103</v>
      </c>
      <c r="AV101" s="149" t="s">
        <v>1164</v>
      </c>
      <c r="AW101" s="12">
        <v>46051</v>
      </c>
      <c r="AX101" s="140">
        <v>119</v>
      </c>
      <c r="AY101" s="149" t="s">
        <v>1163</v>
      </c>
      <c r="AZ101" s="11"/>
      <c r="BA101" s="11" t="s">
        <v>575</v>
      </c>
    </row>
    <row r="102" spans="3:53" x14ac:dyDescent="0.3">
      <c r="C102" s="7">
        <v>98</v>
      </c>
      <c r="D102" s="24" t="s">
        <v>51</v>
      </c>
      <c r="E102" s="8" t="s">
        <v>44</v>
      </c>
      <c r="F102" s="13"/>
      <c r="G102" s="128">
        <f>IFERROR(VLOOKUP(Pólizas48[[#This Row],[PLACA]],ITV_LA[#All],8,0),"")</f>
        <v>45713</v>
      </c>
      <c r="H102" s="128">
        <f>IFERROR(VLOOKUP(Pólizas48[[#This Row],[PLACA]],ITV_LA[#All],9,0),"")</f>
        <v>46808</v>
      </c>
      <c r="I102" s="133">
        <f ca="1">IFERROR(Pólizas48[[#This Row],[Fecha de vencimiento '[RTV']]]-$I$3,"")</f>
        <v>840</v>
      </c>
      <c r="J102" s="27" t="str">
        <f ca="1">IF(Pólizas48[[#This Row],[Fecha de vencimiento '[RTV']]]="","",IF(Pólizas48[[#This Row],[Fecha de vencimiento '[RTV']]]&lt;TODAY(),"Vencido","Vigente"))</f>
        <v>Vigente</v>
      </c>
      <c r="K102" s="27">
        <f>IFERROR(MONTH(Pólizas48[[#This Row],[Fecha de Emision '[RTV']]]),"")</f>
        <v>2</v>
      </c>
      <c r="L102" s="27">
        <f>IFERROR(YEAR(Pólizas48[[#This Row],[Fecha de Emision '[RTV']]]),"")</f>
        <v>2025</v>
      </c>
      <c r="M102" s="27" t="s">
        <v>37</v>
      </c>
      <c r="N102" s="27" t="s">
        <v>45</v>
      </c>
      <c r="O102" s="27" t="s">
        <v>989</v>
      </c>
      <c r="P10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102" s="27">
        <f>VLOOKUP(Pólizas48[[#This Row],[Categoría]],$BD$4:$BG$8,4,0)</f>
        <v>90</v>
      </c>
      <c r="R102" s="27">
        <f>IF(Pólizas48[[#This Row],[Inspección]]=2024,2025,Pólizas48[[#This Row],[Inspección]])</f>
        <v>2028</v>
      </c>
      <c r="AL102" s="147" t="s">
        <v>409</v>
      </c>
      <c r="AM102" s="139" t="s">
        <v>1006</v>
      </c>
      <c r="AN102" s="139" t="s">
        <v>979</v>
      </c>
      <c r="AO102" s="139" t="s">
        <v>985</v>
      </c>
      <c r="AP102" s="139" t="s">
        <v>992</v>
      </c>
      <c r="AQ102" s="139" t="s">
        <v>993</v>
      </c>
      <c r="AR102" s="139" t="s">
        <v>994</v>
      </c>
      <c r="AS102" s="12">
        <v>45464</v>
      </c>
      <c r="AT102" s="148">
        <v>45829</v>
      </c>
      <c r="AU102" s="140">
        <v>-103</v>
      </c>
      <c r="AV102" s="149" t="s">
        <v>1164</v>
      </c>
      <c r="AW102" s="12">
        <v>46137</v>
      </c>
      <c r="AX102" s="140">
        <v>205</v>
      </c>
      <c r="AY102" s="149" t="s">
        <v>1163</v>
      </c>
      <c r="AZ102" s="11"/>
      <c r="BA102" s="11" t="s">
        <v>575</v>
      </c>
    </row>
    <row r="103" spans="3:53" x14ac:dyDescent="0.3">
      <c r="C103" s="7">
        <v>99</v>
      </c>
      <c r="D103" s="24" t="s">
        <v>53</v>
      </c>
      <c r="E103" s="8" t="s">
        <v>44</v>
      </c>
      <c r="F103" s="13"/>
      <c r="G103" s="128">
        <f>IFERROR(VLOOKUP(Pólizas48[[#This Row],[PLACA]],ITV_LA[#All],8,0),"")</f>
        <v>45713</v>
      </c>
      <c r="H103" s="128">
        <f>IFERROR(VLOOKUP(Pólizas48[[#This Row],[PLACA]],ITV_LA[#All],9,0),"")</f>
        <v>46808</v>
      </c>
      <c r="I103" s="133">
        <f ca="1">IFERROR(Pólizas48[[#This Row],[Fecha de vencimiento '[RTV']]]-$I$3,"")</f>
        <v>840</v>
      </c>
      <c r="J103" s="27" t="str">
        <f ca="1">IF(Pólizas48[[#This Row],[Fecha de vencimiento '[RTV']]]="","",IF(Pólizas48[[#This Row],[Fecha de vencimiento '[RTV']]]&lt;TODAY(),"Vencido","Vigente"))</f>
        <v>Vigente</v>
      </c>
      <c r="K103" s="27">
        <f>IFERROR(MONTH(Pólizas48[[#This Row],[Fecha de Emision '[RTV']]]),"")</f>
        <v>2</v>
      </c>
      <c r="L103" s="27">
        <f>IFERROR(YEAR(Pólizas48[[#This Row],[Fecha de Emision '[RTV']]]),"")</f>
        <v>2025</v>
      </c>
      <c r="M103" s="27" t="s">
        <v>37</v>
      </c>
      <c r="N103" s="27" t="s">
        <v>45</v>
      </c>
      <c r="O103" s="27" t="s">
        <v>989</v>
      </c>
      <c r="P103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103" s="27">
        <f>VLOOKUP(Pólizas48[[#This Row],[Categoría]],$BD$4:$BG$8,4,0)</f>
        <v>90</v>
      </c>
      <c r="R103" s="27">
        <f>IF(Pólizas48[[#This Row],[Inspección]]=2024,2025,Pólizas48[[#This Row],[Inspección]])</f>
        <v>2028</v>
      </c>
      <c r="AL103" s="147" t="s">
        <v>1107</v>
      </c>
      <c r="AM103" s="139" t="s">
        <v>1038</v>
      </c>
      <c r="AN103" s="139" t="s">
        <v>979</v>
      </c>
      <c r="AO103" s="139" t="s">
        <v>971</v>
      </c>
      <c r="AP103" s="139" t="s">
        <v>972</v>
      </c>
      <c r="AQ103" s="139" t="s">
        <v>980</v>
      </c>
      <c r="AR103" s="139" t="s">
        <v>981</v>
      </c>
      <c r="AS103" s="12">
        <v>45484</v>
      </c>
      <c r="AT103" s="148">
        <v>45849</v>
      </c>
      <c r="AU103" s="140">
        <v>-83</v>
      </c>
      <c r="AV103" s="149" t="s">
        <v>1164</v>
      </c>
      <c r="AW103" s="12">
        <v>45914</v>
      </c>
      <c r="AX103" s="140">
        <v>-18</v>
      </c>
      <c r="AY103" s="149" t="s">
        <v>1164</v>
      </c>
      <c r="AZ103" s="11"/>
      <c r="BA103" s="11" t="s">
        <v>575</v>
      </c>
    </row>
    <row r="104" spans="3:53" x14ac:dyDescent="0.3">
      <c r="C104" s="7">
        <v>100</v>
      </c>
      <c r="D104" s="24" t="s">
        <v>55</v>
      </c>
      <c r="E104" s="8" t="s">
        <v>44</v>
      </c>
      <c r="F104" s="13"/>
      <c r="G104" s="128">
        <f>IFERROR(VLOOKUP(Pólizas48[[#This Row],[PLACA]],ITV_LA[#All],8,0),"")</f>
        <v>45713</v>
      </c>
      <c r="H104" s="128">
        <f>IFERROR(VLOOKUP(Pólizas48[[#This Row],[PLACA]],ITV_LA[#All],9,0),"")</f>
        <v>46808</v>
      </c>
      <c r="I104" s="133">
        <f ca="1">IFERROR(Pólizas48[[#This Row],[Fecha de vencimiento '[RTV']]]-$I$3,"")</f>
        <v>840</v>
      </c>
      <c r="J104" s="27" t="str">
        <f ca="1">IF(Pólizas48[[#This Row],[Fecha de vencimiento '[RTV']]]="","",IF(Pólizas48[[#This Row],[Fecha de vencimiento '[RTV']]]&lt;TODAY(),"Vencido","Vigente"))</f>
        <v>Vigente</v>
      </c>
      <c r="K104" s="27">
        <f>IFERROR(MONTH(Pólizas48[[#This Row],[Fecha de Emision '[RTV']]]),"")</f>
        <v>2</v>
      </c>
      <c r="L104" s="27">
        <f>IFERROR(YEAR(Pólizas48[[#This Row],[Fecha de Emision '[RTV']]]),"")</f>
        <v>2025</v>
      </c>
      <c r="M104" s="27" t="s">
        <v>37</v>
      </c>
      <c r="N104" s="27" t="s">
        <v>45</v>
      </c>
      <c r="O104" s="27" t="s">
        <v>989</v>
      </c>
      <c r="P104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104" s="27">
        <f>VLOOKUP(Pólizas48[[#This Row],[Categoría]],$BD$4:$BG$8,4,0)</f>
        <v>90</v>
      </c>
      <c r="R104" s="27">
        <f>IF(Pólizas48[[#This Row],[Inspección]]=2024,2025,Pólizas48[[#This Row],[Inspección]])</f>
        <v>2028</v>
      </c>
      <c r="AL104" s="147" t="s">
        <v>1108</v>
      </c>
      <c r="AM104" s="139" t="s">
        <v>1109</v>
      </c>
      <c r="AN104" s="139" t="s">
        <v>979</v>
      </c>
      <c r="AO104" s="139" t="s">
        <v>971</v>
      </c>
      <c r="AP104" s="139" t="s">
        <v>972</v>
      </c>
      <c r="AQ104" s="139" t="s">
        <v>973</v>
      </c>
      <c r="AR104" s="139" t="s">
        <v>974</v>
      </c>
      <c r="AS104" s="12">
        <v>45706</v>
      </c>
      <c r="AT104" s="148">
        <v>45887</v>
      </c>
      <c r="AU104" s="140">
        <v>-45</v>
      </c>
      <c r="AV104" s="149" t="s">
        <v>1164</v>
      </c>
      <c r="AW104" s="12">
        <v>45911</v>
      </c>
      <c r="AX104" s="140">
        <v>-21</v>
      </c>
      <c r="AY104" s="149" t="s">
        <v>1164</v>
      </c>
      <c r="AZ104" s="11"/>
      <c r="BA104" s="11" t="s">
        <v>575</v>
      </c>
    </row>
    <row r="105" spans="3:53" x14ac:dyDescent="0.3">
      <c r="C105" s="7">
        <v>101</v>
      </c>
      <c r="D105" s="24" t="s">
        <v>57</v>
      </c>
      <c r="E105" s="8" t="s">
        <v>44</v>
      </c>
      <c r="F105" s="13"/>
      <c r="G105" s="128">
        <f>IFERROR(VLOOKUP(Pólizas48[[#This Row],[PLACA]],ITV_LA[#All],8,0),"")</f>
        <v>45713</v>
      </c>
      <c r="H105" s="128">
        <f>IFERROR(VLOOKUP(Pólizas48[[#This Row],[PLACA]],ITV_LA[#All],9,0),"")</f>
        <v>46808</v>
      </c>
      <c r="I105" s="133">
        <f ca="1">IFERROR(Pólizas48[[#This Row],[Fecha de vencimiento '[RTV']]]-$I$3,"")</f>
        <v>840</v>
      </c>
      <c r="J105" s="27" t="str">
        <f ca="1">IF(Pólizas48[[#This Row],[Fecha de vencimiento '[RTV']]]="","",IF(Pólizas48[[#This Row],[Fecha de vencimiento '[RTV']]]&lt;TODAY(),"Vencido","Vigente"))</f>
        <v>Vigente</v>
      </c>
      <c r="K105" s="27">
        <f>IFERROR(MONTH(Pólizas48[[#This Row],[Fecha de Emision '[RTV']]]),"")</f>
        <v>2</v>
      </c>
      <c r="L105" s="27">
        <f>IFERROR(YEAR(Pólizas48[[#This Row],[Fecha de Emision '[RTV']]]),"")</f>
        <v>2025</v>
      </c>
      <c r="M105" s="27" t="s">
        <v>37</v>
      </c>
      <c r="N105" s="27" t="s">
        <v>45</v>
      </c>
      <c r="O105" s="27" t="s">
        <v>989</v>
      </c>
      <c r="P105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2028</v>
      </c>
      <c r="Q105" s="27">
        <f>VLOOKUP(Pólizas48[[#This Row],[Categoría]],$BD$4:$BG$8,4,0)</f>
        <v>90</v>
      </c>
      <c r="R105" s="27">
        <f>IF(Pólizas48[[#This Row],[Inspección]]=2024,2025,Pólizas48[[#This Row],[Inspección]])</f>
        <v>2028</v>
      </c>
      <c r="AL105" s="147" t="s">
        <v>1110</v>
      </c>
      <c r="AM105" s="139" t="s">
        <v>978</v>
      </c>
      <c r="AN105" s="139" t="s">
        <v>979</v>
      </c>
      <c r="AO105" s="139" t="s">
        <v>996</v>
      </c>
      <c r="AP105" s="139" t="s">
        <v>997</v>
      </c>
      <c r="AQ105" s="139" t="s">
        <v>1111</v>
      </c>
      <c r="AR105" s="139" t="s">
        <v>994</v>
      </c>
      <c r="AS105" s="12">
        <v>45465</v>
      </c>
      <c r="AT105" s="148">
        <v>45830</v>
      </c>
      <c r="AU105" s="140">
        <v>-102</v>
      </c>
      <c r="AV105" s="149" t="s">
        <v>1164</v>
      </c>
      <c r="AW105" s="12">
        <v>45840</v>
      </c>
      <c r="AX105" s="140">
        <v>-92</v>
      </c>
      <c r="AY105" s="149" t="s">
        <v>1164</v>
      </c>
      <c r="AZ105" s="11"/>
      <c r="BA105" s="11" t="s">
        <v>575</v>
      </c>
    </row>
    <row r="106" spans="3:53" x14ac:dyDescent="0.3">
      <c r="C106" s="7">
        <v>102</v>
      </c>
      <c r="D106" s="24" t="s">
        <v>65</v>
      </c>
      <c r="E106" s="8" t="s">
        <v>61</v>
      </c>
      <c r="F106" s="13"/>
      <c r="G106" s="128">
        <f>IFERROR(VLOOKUP(Pólizas48[[#This Row],[PLACA]],ITV_LA[#All],8,0),"")</f>
        <v>44982</v>
      </c>
      <c r="H106" s="128">
        <f>IFERROR(VLOOKUP(Pólizas48[[#This Row],[PLACA]],ITV_LA[#All],9,0),"")</f>
        <v>46078</v>
      </c>
      <c r="I106" s="133">
        <f ca="1">IFERROR(Pólizas48[[#This Row],[Fecha de vencimiento '[RTV']]]-$I$3,"")</f>
        <v>110</v>
      </c>
      <c r="J106" s="27" t="str">
        <f ca="1">IF(Pólizas48[[#This Row],[Fecha de vencimiento '[RTV']]]="","",IF(Pólizas48[[#This Row],[Fecha de vencimiento '[RTV']]]&lt;TODAY(),"Vencido","Vigente"))</f>
        <v>Vigente</v>
      </c>
      <c r="K106" s="27">
        <f>IFERROR(MONTH(Pólizas48[[#This Row],[Fecha de Emision '[RTV']]]),"")</f>
        <v>2</v>
      </c>
      <c r="L106" s="27">
        <f>IFERROR(YEAR(Pólizas48[[#This Row],[Fecha de Emision '[RTV']]]),"")</f>
        <v>2023</v>
      </c>
      <c r="M106" s="27" t="s">
        <v>37</v>
      </c>
      <c r="N106" s="27" t="s">
        <v>58</v>
      </c>
      <c r="O106" s="27" t="s">
        <v>989</v>
      </c>
      <c r="P106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106" s="27">
        <f>VLOOKUP(Pólizas48[[#This Row],[Categoría]],$BD$4:$BG$8,4,0)</f>
        <v>90</v>
      </c>
      <c r="R106" s="27">
        <f>IF(Pólizas48[[#This Row],[Inspección]]=2024,2025,Pólizas48[[#This Row],[Inspección]])</f>
        <v>2026</v>
      </c>
      <c r="AL106" s="147" t="s">
        <v>1112</v>
      </c>
      <c r="AM106" s="139" t="s">
        <v>1109</v>
      </c>
      <c r="AN106" s="139" t="s">
        <v>979</v>
      </c>
      <c r="AO106" s="139" t="s">
        <v>971</v>
      </c>
      <c r="AP106" s="139" t="s">
        <v>972</v>
      </c>
      <c r="AQ106" s="139" t="s">
        <v>973</v>
      </c>
      <c r="AR106" s="139" t="s">
        <v>974</v>
      </c>
      <c r="AS106" s="12">
        <v>45629</v>
      </c>
      <c r="AT106" s="148">
        <v>45811</v>
      </c>
      <c r="AU106" s="140">
        <v>-121</v>
      </c>
      <c r="AV106" s="149" t="s">
        <v>1164</v>
      </c>
      <c r="AW106" s="12">
        <v>45912</v>
      </c>
      <c r="AX106" s="140">
        <v>-20</v>
      </c>
      <c r="AY106" s="149" t="s">
        <v>1164</v>
      </c>
      <c r="AZ106" s="11"/>
      <c r="BA106" s="11" t="s">
        <v>575</v>
      </c>
    </row>
    <row r="107" spans="3:53" x14ac:dyDescent="0.3">
      <c r="C107" s="7">
        <v>103</v>
      </c>
      <c r="D107" s="24" t="s">
        <v>67</v>
      </c>
      <c r="E107" s="8" t="s">
        <v>61</v>
      </c>
      <c r="F107" s="13"/>
      <c r="G107" s="128">
        <f>IFERROR(VLOOKUP(Pólizas48[[#This Row],[PLACA]],ITV_LA[#All],8,0),"")</f>
        <v>44982</v>
      </c>
      <c r="H107" s="128">
        <f>IFERROR(VLOOKUP(Pólizas48[[#This Row],[PLACA]],ITV_LA[#All],9,0),"")</f>
        <v>46078</v>
      </c>
      <c r="I107" s="133">
        <f ca="1">IFERROR(Pólizas48[[#This Row],[Fecha de vencimiento '[RTV']]]-$I$3,"")</f>
        <v>110</v>
      </c>
      <c r="J107" s="27" t="str">
        <f ca="1">IF(Pólizas48[[#This Row],[Fecha de vencimiento '[RTV']]]="","",IF(Pólizas48[[#This Row],[Fecha de vencimiento '[RTV']]]&lt;TODAY(),"Vencido","Vigente"))</f>
        <v>Vigente</v>
      </c>
      <c r="K107" s="27">
        <f>IFERROR(MONTH(Pólizas48[[#This Row],[Fecha de Emision '[RTV']]]),"")</f>
        <v>2</v>
      </c>
      <c r="L107" s="27">
        <f>IFERROR(YEAR(Pólizas48[[#This Row],[Fecha de Emision '[RTV']]]),"")</f>
        <v>2023</v>
      </c>
      <c r="M107" s="27" t="s">
        <v>37</v>
      </c>
      <c r="N107" s="27" t="s">
        <v>58</v>
      </c>
      <c r="O107" s="27" t="s">
        <v>989</v>
      </c>
      <c r="P107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107" s="27">
        <f>VLOOKUP(Pólizas48[[#This Row],[Categoría]],$BD$4:$BG$8,4,0)</f>
        <v>90</v>
      </c>
      <c r="R107" s="27">
        <f>IF(Pólizas48[[#This Row],[Inspección]]=2024,2025,Pólizas48[[#This Row],[Inspección]])</f>
        <v>2026</v>
      </c>
      <c r="AL107" s="147" t="s">
        <v>1113</v>
      </c>
      <c r="AM107" s="139" t="s">
        <v>1038</v>
      </c>
      <c r="AN107" s="139" t="s">
        <v>970</v>
      </c>
      <c r="AO107" s="139" t="s">
        <v>971</v>
      </c>
      <c r="AP107" s="139" t="s">
        <v>972</v>
      </c>
      <c r="AQ107" s="139" t="s">
        <v>973</v>
      </c>
      <c r="AR107" s="139" t="s">
        <v>974</v>
      </c>
      <c r="AS107" s="12">
        <v>45542</v>
      </c>
      <c r="AT107" s="148">
        <v>45907</v>
      </c>
      <c r="AU107" s="140">
        <v>-25</v>
      </c>
      <c r="AV107" s="149" t="s">
        <v>1164</v>
      </c>
      <c r="AW107" s="12">
        <v>45912</v>
      </c>
      <c r="AX107" s="140">
        <v>-20</v>
      </c>
      <c r="AY107" s="149" t="s">
        <v>1164</v>
      </c>
      <c r="AZ107" s="11"/>
      <c r="BA107" s="11" t="s">
        <v>575</v>
      </c>
    </row>
    <row r="108" spans="3:53" x14ac:dyDescent="0.3">
      <c r="C108" s="7">
        <v>104</v>
      </c>
      <c r="D108" s="24" t="s">
        <v>68</v>
      </c>
      <c r="E108" s="8" t="s">
        <v>61</v>
      </c>
      <c r="F108" s="13"/>
      <c r="G108" s="128">
        <f>IFERROR(VLOOKUP(Pólizas48[[#This Row],[PLACA]],ITV_LA[#All],8,0),"")</f>
        <v>44982</v>
      </c>
      <c r="H108" s="128">
        <f>IFERROR(VLOOKUP(Pólizas48[[#This Row],[PLACA]],ITV_LA[#All],9,0),"")</f>
        <v>46078</v>
      </c>
      <c r="I108" s="133">
        <f ca="1">IFERROR(Pólizas48[[#This Row],[Fecha de vencimiento '[RTV']]]-$I$3,"")</f>
        <v>110</v>
      </c>
      <c r="J108" s="27" t="str">
        <f ca="1">IF(Pólizas48[[#This Row],[Fecha de vencimiento '[RTV']]]="","",IF(Pólizas48[[#This Row],[Fecha de vencimiento '[RTV']]]&lt;TODAY(),"Vencido","Vigente"))</f>
        <v>Vigente</v>
      </c>
      <c r="K108" s="27">
        <f>IFERROR(MONTH(Pólizas48[[#This Row],[Fecha de Emision '[RTV']]]),"")</f>
        <v>2</v>
      </c>
      <c r="L108" s="27">
        <f>IFERROR(YEAR(Pólizas48[[#This Row],[Fecha de Emision '[RTV']]]),"")</f>
        <v>2023</v>
      </c>
      <c r="M108" s="27" t="s">
        <v>37</v>
      </c>
      <c r="N108" s="27" t="s">
        <v>58</v>
      </c>
      <c r="O108" s="27" t="s">
        <v>989</v>
      </c>
      <c r="P108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108" s="27">
        <f>VLOOKUP(Pólizas48[[#This Row],[Categoría]],$BD$4:$BG$8,4,0)</f>
        <v>90</v>
      </c>
      <c r="R108" s="27">
        <f>IF(Pólizas48[[#This Row],[Inspección]]=2024,2025,Pólizas48[[#This Row],[Inspección]])</f>
        <v>2026</v>
      </c>
      <c r="AL108" s="147" t="s">
        <v>1114</v>
      </c>
      <c r="AM108" s="139" t="s">
        <v>1038</v>
      </c>
      <c r="AN108" s="139" t="s">
        <v>979</v>
      </c>
      <c r="AO108" s="139" t="s">
        <v>971</v>
      </c>
      <c r="AP108" s="139" t="s">
        <v>972</v>
      </c>
      <c r="AQ108" s="139" t="s">
        <v>973</v>
      </c>
      <c r="AR108" s="139" t="s">
        <v>974</v>
      </c>
      <c r="AS108" s="12">
        <v>45476</v>
      </c>
      <c r="AT108" s="148">
        <v>45841</v>
      </c>
      <c r="AU108" s="140">
        <v>-91</v>
      </c>
      <c r="AV108" s="149" t="s">
        <v>1164</v>
      </c>
      <c r="AW108" s="12">
        <v>45914</v>
      </c>
      <c r="AX108" s="140">
        <v>-18</v>
      </c>
      <c r="AY108" s="149" t="s">
        <v>1164</v>
      </c>
      <c r="AZ108" s="11"/>
      <c r="BA108" s="11" t="s">
        <v>575</v>
      </c>
    </row>
    <row r="109" spans="3:53" x14ac:dyDescent="0.3">
      <c r="C109" s="7">
        <v>105</v>
      </c>
      <c r="D109" s="24" t="s">
        <v>8</v>
      </c>
      <c r="E109" s="8" t="s">
        <v>61</v>
      </c>
      <c r="F109" s="13"/>
      <c r="G109" s="128">
        <f>IFERROR(VLOOKUP(Pólizas48[[#This Row],[PLACA]],ITV_LA[#All],8,0),"")</f>
        <v>44982</v>
      </c>
      <c r="H109" s="128">
        <f>IFERROR(VLOOKUP(Pólizas48[[#This Row],[PLACA]],ITV_LA[#All],9,0),"")</f>
        <v>46078</v>
      </c>
      <c r="I109" s="133">
        <f ca="1">IFERROR(Pólizas48[[#This Row],[Fecha de vencimiento '[RTV']]]-$I$3,"")</f>
        <v>110</v>
      </c>
      <c r="J109" s="27" t="str">
        <f ca="1">IF(Pólizas48[[#This Row],[Fecha de vencimiento '[RTV']]]="","",IF(Pólizas48[[#This Row],[Fecha de vencimiento '[RTV']]]&lt;TODAY(),"Vencido","Vigente"))</f>
        <v>Vigente</v>
      </c>
      <c r="K109" s="27">
        <f>IFERROR(MONTH(Pólizas48[[#This Row],[Fecha de Emision '[RTV']]]),"")</f>
        <v>2</v>
      </c>
      <c r="L109" s="27">
        <f>IFERROR(YEAR(Pólizas48[[#This Row],[Fecha de Emision '[RTV']]]),"")</f>
        <v>2023</v>
      </c>
      <c r="M109" s="27" t="s">
        <v>37</v>
      </c>
      <c r="N109" s="27" t="s">
        <v>58</v>
      </c>
      <c r="O109" s="27" t="s">
        <v>989</v>
      </c>
      <c r="P109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2026</v>
      </c>
      <c r="Q109" s="27">
        <f>VLOOKUP(Pólizas48[[#This Row],[Categoría]],$BD$4:$BG$8,4,0)</f>
        <v>90</v>
      </c>
      <c r="R109" s="27">
        <f>IF(Pólizas48[[#This Row],[Inspección]]=2024,2025,Pólizas48[[#This Row],[Inspección]])</f>
        <v>2026</v>
      </c>
      <c r="AL109" s="147" t="s">
        <v>1115</v>
      </c>
      <c r="AM109" s="139" t="s">
        <v>1038</v>
      </c>
      <c r="AN109" s="139" t="s">
        <v>979</v>
      </c>
      <c r="AO109" s="139" t="s">
        <v>971</v>
      </c>
      <c r="AP109" s="139" t="s">
        <v>972</v>
      </c>
      <c r="AQ109" s="139" t="s">
        <v>980</v>
      </c>
      <c r="AR109" s="139" t="s">
        <v>981</v>
      </c>
      <c r="AS109" s="12">
        <v>45489</v>
      </c>
      <c r="AT109" s="148">
        <v>45854</v>
      </c>
      <c r="AU109" s="140">
        <v>-78</v>
      </c>
      <c r="AV109" s="149" t="s">
        <v>1164</v>
      </c>
      <c r="AW109" s="12">
        <v>45905</v>
      </c>
      <c r="AX109" s="140">
        <v>-27</v>
      </c>
      <c r="AY109" s="149" t="s">
        <v>1164</v>
      </c>
      <c r="AZ109" s="11"/>
      <c r="BA109" s="11" t="s">
        <v>575</v>
      </c>
    </row>
    <row r="110" spans="3:53" x14ac:dyDescent="0.3">
      <c r="C110" s="7">
        <v>106</v>
      </c>
      <c r="D110" s="24" t="s">
        <v>69</v>
      </c>
      <c r="E110" s="8" t="s">
        <v>71</v>
      </c>
      <c r="F110" s="13"/>
      <c r="G110" s="128">
        <f>IFERROR(VLOOKUP(Pólizas48[[#This Row],[PLACA]],ITV_LA[#All],8,0),"")</f>
        <v>45713</v>
      </c>
      <c r="H110" s="128">
        <f>IFERROR(VLOOKUP(Pólizas48[[#This Row],[PLACA]],ITV_LA[#All],9,0),"")</f>
        <v>47174</v>
      </c>
      <c r="I110" s="133">
        <f ca="1">IFERROR(Pólizas48[[#This Row],[Fecha de vencimiento '[RTV']]]-$I$3,"")</f>
        <v>1206</v>
      </c>
      <c r="J110" s="27" t="str">
        <f ca="1">IF(Pólizas48[[#This Row],[Fecha de vencimiento '[RTV']]]="","",IF(Pólizas48[[#This Row],[Fecha de vencimiento '[RTV']]]&lt;TODAY(),"Vencido","Vigente"))</f>
        <v>Vigente</v>
      </c>
      <c r="K110" s="27">
        <f>IFERROR(MONTH(Pólizas48[[#This Row],[Fecha de Emision '[RTV']]]),"")</f>
        <v>2</v>
      </c>
      <c r="L110" s="27">
        <f>IFERROR(YEAR(Pólizas48[[#This Row],[Fecha de Emision '[RTV']]]),"")</f>
        <v>2025</v>
      </c>
      <c r="M110" s="27" t="s">
        <v>37</v>
      </c>
      <c r="N110" s="27" t="s">
        <v>52</v>
      </c>
      <c r="O110" s="27" t="s">
        <v>976</v>
      </c>
      <c r="P110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2029</v>
      </c>
      <c r="Q110" s="27">
        <f>VLOOKUP(Pólizas48[[#This Row],[Categoría]],$BD$4:$BG$8,4,0)</f>
        <v>40</v>
      </c>
      <c r="R110" s="27">
        <f>IF(Pólizas48[[#This Row],[Inspección]]=2024,2025,Pólizas48[[#This Row],[Inspección]])</f>
        <v>2029</v>
      </c>
      <c r="AL110" s="147" t="s">
        <v>1116</v>
      </c>
      <c r="AM110" s="139" t="s">
        <v>978</v>
      </c>
      <c r="AN110" s="139" t="s">
        <v>979</v>
      </c>
      <c r="AO110" s="139" t="s">
        <v>985</v>
      </c>
      <c r="AP110" s="139" t="s">
        <v>992</v>
      </c>
      <c r="AQ110" s="139" t="s">
        <v>1016</v>
      </c>
      <c r="AR110" s="139" t="s">
        <v>994</v>
      </c>
      <c r="AS110" s="12">
        <v>45465</v>
      </c>
      <c r="AT110" s="148">
        <v>45830</v>
      </c>
      <c r="AU110" s="140">
        <v>-102</v>
      </c>
      <c r="AV110" s="149" t="s">
        <v>1164</v>
      </c>
      <c r="AW110" s="12">
        <v>46001</v>
      </c>
      <c r="AX110" s="140">
        <v>69</v>
      </c>
      <c r="AY110" s="149" t="s">
        <v>1163</v>
      </c>
      <c r="AZ110" s="11"/>
      <c r="BA110" s="11" t="s">
        <v>575</v>
      </c>
    </row>
    <row r="111" spans="3:53" x14ac:dyDescent="0.3">
      <c r="C111" s="7">
        <v>107</v>
      </c>
      <c r="D111" s="24" t="s">
        <v>109</v>
      </c>
      <c r="E111" s="8" t="s">
        <v>71</v>
      </c>
      <c r="F111" s="13"/>
      <c r="G111" s="128">
        <f>IFERROR(VLOOKUP(Pólizas48[[#This Row],[PLACA]],ITV_LA[#All],8,0),"")</f>
        <v>45713</v>
      </c>
      <c r="H111" s="128">
        <f>IFERROR(VLOOKUP(Pólizas48[[#This Row],[PLACA]],ITV_LA[#All],9,0),"")</f>
        <v>47174</v>
      </c>
      <c r="I111" s="133">
        <f ca="1">IFERROR(Pólizas48[[#This Row],[Fecha de vencimiento '[RTV']]]-$I$3,"")</f>
        <v>1206</v>
      </c>
      <c r="J111" s="27" t="str">
        <f ca="1">IF(Pólizas48[[#This Row],[Fecha de vencimiento '[RTV']]]="","",IF(Pólizas48[[#This Row],[Fecha de vencimiento '[RTV']]]&lt;TODAY(),"Vencido","Vigente"))</f>
        <v>Vigente</v>
      </c>
      <c r="K111" s="27">
        <f>IFERROR(MONTH(Pólizas48[[#This Row],[Fecha de Emision '[RTV']]]),"")</f>
        <v>2</v>
      </c>
      <c r="L111" s="27">
        <f>IFERROR(YEAR(Pólizas48[[#This Row],[Fecha de Emision '[RTV']]]),"")</f>
        <v>2025</v>
      </c>
      <c r="M111" s="27" t="s">
        <v>37</v>
      </c>
      <c r="N111" s="27" t="s">
        <v>54</v>
      </c>
      <c r="O111" s="27" t="s">
        <v>976</v>
      </c>
      <c r="P111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2029</v>
      </c>
      <c r="Q111" s="27">
        <f>VLOOKUP(Pólizas48[[#This Row],[Categoría]],$BD$4:$BG$8,4,0)</f>
        <v>40</v>
      </c>
      <c r="R111" s="27">
        <f>IF(Pólizas48[[#This Row],[Inspección]]=2024,2025,Pólizas48[[#This Row],[Inspección]])</f>
        <v>2029</v>
      </c>
      <c r="AL111" s="147" t="s">
        <v>1117</v>
      </c>
      <c r="AM111" s="139" t="s">
        <v>1038</v>
      </c>
      <c r="AN111" s="139" t="s">
        <v>979</v>
      </c>
      <c r="AO111" s="139" t="s">
        <v>971</v>
      </c>
      <c r="AP111" s="139" t="s">
        <v>972</v>
      </c>
      <c r="AQ111" s="139" t="s">
        <v>980</v>
      </c>
      <c r="AR111" s="139" t="s">
        <v>981</v>
      </c>
      <c r="AS111" s="12">
        <v>45516</v>
      </c>
      <c r="AT111" s="148">
        <v>45881</v>
      </c>
      <c r="AU111" s="140">
        <v>-51</v>
      </c>
      <c r="AV111" s="149" t="s">
        <v>1164</v>
      </c>
      <c r="AW111" s="12">
        <v>45893</v>
      </c>
      <c r="AX111" s="140">
        <v>-39</v>
      </c>
      <c r="AY111" s="149" t="s">
        <v>1164</v>
      </c>
      <c r="AZ111" s="11"/>
      <c r="BA111" s="11" t="s">
        <v>575</v>
      </c>
    </row>
    <row r="112" spans="3:53" x14ac:dyDescent="0.3">
      <c r="C112" s="7">
        <v>108</v>
      </c>
      <c r="D112" s="24" t="s">
        <v>115</v>
      </c>
      <c r="E112" s="8" t="s">
        <v>117</v>
      </c>
      <c r="F112" s="13" t="s">
        <v>966</v>
      </c>
      <c r="G112" s="128">
        <f>IFERROR(VLOOKUP(Pólizas48[[#This Row],[PLACA]],ITV_LA[#All],8,0),"")</f>
        <v>45748</v>
      </c>
      <c r="H112" s="128">
        <f>IFERROR(VLOOKUP(Pólizas48[[#This Row],[PLACA]],ITV_LA[#All],9,0),"")</f>
        <v>46113</v>
      </c>
      <c r="I112" s="133">
        <f ca="1">IFERROR(Pólizas48[[#This Row],[Fecha de vencimiento '[RTV']]]-$I$3,"")</f>
        <v>145</v>
      </c>
      <c r="J112" s="27" t="str">
        <f ca="1">IF(Pólizas48[[#This Row],[Fecha de vencimiento '[RTV']]]="","",IF(Pólizas48[[#This Row],[Fecha de vencimiento '[RTV']]]&lt;TODAY(),"Vencido","Vigente"))</f>
        <v>Vigente</v>
      </c>
      <c r="K112" s="27">
        <f>IFERROR(MONTH(Pólizas48[[#This Row],[Fecha de Emision '[RTV']]]),"")</f>
        <v>4</v>
      </c>
      <c r="L112" s="27">
        <f>IFERROR(YEAR(Pólizas48[[#This Row],[Fecha de Emision '[RTV']]]),"")</f>
        <v>2025</v>
      </c>
      <c r="M112" s="27" t="s">
        <v>37</v>
      </c>
      <c r="N112" s="27" t="s">
        <v>46</v>
      </c>
      <c r="O112" s="27" t="s">
        <v>967</v>
      </c>
      <c r="P112" s="27">
        <f>IF(Pólizas48[[#This Row],[Categoría]]="M1",Pólizas48[[#This Row],[Año que Inicia Pagos]]+4,IF(Pólizas48[[#This Row],[Categoría]]="M3",Pólizas48[[#This Row],[Año que Inicia Pagos]]+0,IF(Pólizas48[[#This Row],[Categoría]]="N1",Pólizas48[[#This Row],[Año que Inicia Pagos]]+3,IF(Pólizas48[[#This Row],[Categoría]]="N2",Pólizas48[[#This Row],[Año que Inicia Pagos]]+0,""))))</f>
        <v>2025</v>
      </c>
      <c r="Q112" s="27">
        <f>VLOOKUP(Pólizas48[[#This Row],[Categoría]],$BD$4:$BG$8,4,0)</f>
        <v>100</v>
      </c>
      <c r="R112" s="27">
        <f>IF(Pólizas48[[#This Row],[Inspección]]=2024,2025,Pólizas48[[#This Row],[Inspección]])</f>
        <v>2025</v>
      </c>
      <c r="AL112" s="147" t="s">
        <v>64</v>
      </c>
      <c r="AM112" s="139" t="s">
        <v>1118</v>
      </c>
      <c r="AN112" s="139" t="s">
        <v>966</v>
      </c>
      <c r="AO112" s="139" t="s">
        <v>971</v>
      </c>
      <c r="AP112" s="139" t="s">
        <v>972</v>
      </c>
      <c r="AQ112" s="139" t="s">
        <v>973</v>
      </c>
      <c r="AR112" s="139" t="s">
        <v>974</v>
      </c>
      <c r="AS112" s="12">
        <v>45363</v>
      </c>
      <c r="AT112" s="148">
        <v>46458</v>
      </c>
      <c r="AU112" s="140">
        <v>526</v>
      </c>
      <c r="AV112" s="149" t="s">
        <v>1163</v>
      </c>
      <c r="AW112" s="12">
        <v>45924</v>
      </c>
      <c r="AX112" s="140">
        <v>-8</v>
      </c>
      <c r="AY112" s="149" t="s">
        <v>1164</v>
      </c>
      <c r="AZ112" s="11"/>
      <c r="BA112" s="11" t="s">
        <v>58</v>
      </c>
    </row>
    <row r="113" spans="38:53" x14ac:dyDescent="0.3">
      <c r="AL113" s="147" t="s">
        <v>1165</v>
      </c>
      <c r="AM113" s="139" t="s">
        <v>978</v>
      </c>
      <c r="AN113" s="139" t="s">
        <v>979</v>
      </c>
      <c r="AO113" s="139" t="s">
        <v>996</v>
      </c>
      <c r="AP113" s="139" t="s">
        <v>997</v>
      </c>
      <c r="AQ113" s="139" t="s">
        <v>998</v>
      </c>
      <c r="AR113" s="139" t="s">
        <v>1004</v>
      </c>
      <c r="AS113" s="12">
        <v>45508</v>
      </c>
      <c r="AT113" s="148">
        <v>45873</v>
      </c>
      <c r="AU113" s="140">
        <v>-59</v>
      </c>
      <c r="AV113" s="149" t="s">
        <v>1164</v>
      </c>
      <c r="AW113" s="12">
        <v>45935</v>
      </c>
      <c r="AX113" s="140">
        <v>3</v>
      </c>
      <c r="AY113" s="149" t="s">
        <v>1164</v>
      </c>
      <c r="AZ113" s="11"/>
      <c r="BA113" s="11" t="s">
        <v>575</v>
      </c>
    </row>
    <row r="114" spans="38:53" x14ac:dyDescent="0.3">
      <c r="AL114" s="147" t="s">
        <v>63</v>
      </c>
      <c r="AM114" s="139" t="s">
        <v>1118</v>
      </c>
      <c r="AN114" s="139" t="s">
        <v>966</v>
      </c>
      <c r="AO114" s="139" t="s">
        <v>971</v>
      </c>
      <c r="AP114" s="139" t="s">
        <v>972</v>
      </c>
      <c r="AQ114" s="139" t="s">
        <v>973</v>
      </c>
      <c r="AR114" s="139" t="s">
        <v>974</v>
      </c>
      <c r="AS114" s="12">
        <v>45363</v>
      </c>
      <c r="AT114" s="148">
        <v>46458</v>
      </c>
      <c r="AU114" s="140">
        <v>526</v>
      </c>
      <c r="AV114" s="149" t="s">
        <v>1163</v>
      </c>
      <c r="AW114" s="12">
        <v>45924</v>
      </c>
      <c r="AX114" s="140">
        <v>-8</v>
      </c>
      <c r="AY114" s="149" t="s">
        <v>1164</v>
      </c>
      <c r="AZ114" s="11"/>
      <c r="BA114" s="11" t="s">
        <v>58</v>
      </c>
    </row>
    <row r="115" spans="38:53" x14ac:dyDescent="0.3">
      <c r="AL115" s="147" t="s">
        <v>1166</v>
      </c>
      <c r="AM115" s="139" t="s">
        <v>1006</v>
      </c>
      <c r="AN115" s="139" t="s">
        <v>979</v>
      </c>
      <c r="AO115" s="139" t="s">
        <v>985</v>
      </c>
      <c r="AP115" s="139" t="s">
        <v>1002</v>
      </c>
      <c r="AQ115" s="139" t="s">
        <v>1007</v>
      </c>
      <c r="AR115" s="139" t="s">
        <v>1004</v>
      </c>
      <c r="AS115" s="12">
        <v>45542</v>
      </c>
      <c r="AT115" s="148">
        <v>45907</v>
      </c>
      <c r="AU115" s="140">
        <v>-25</v>
      </c>
      <c r="AV115" s="149" t="s">
        <v>1164</v>
      </c>
      <c r="AW115" s="12">
        <v>45935</v>
      </c>
      <c r="AX115" s="140">
        <v>3</v>
      </c>
      <c r="AY115" s="149" t="s">
        <v>1164</v>
      </c>
      <c r="AZ115" s="11"/>
      <c r="BA115" s="11" t="s">
        <v>575</v>
      </c>
    </row>
    <row r="116" spans="38:53" x14ac:dyDescent="0.3">
      <c r="AL116" s="147" t="s">
        <v>1167</v>
      </c>
      <c r="AM116" s="139" t="s">
        <v>1006</v>
      </c>
      <c r="AN116" s="139" t="s">
        <v>979</v>
      </c>
      <c r="AO116" s="139" t="s">
        <v>985</v>
      </c>
      <c r="AP116" s="139" t="s">
        <v>986</v>
      </c>
      <c r="AQ116" s="139" t="s">
        <v>987</v>
      </c>
      <c r="AR116" s="139" t="s">
        <v>994</v>
      </c>
      <c r="AS116" s="148">
        <v>45465</v>
      </c>
      <c r="AT116" s="148">
        <v>45830</v>
      </c>
      <c r="AU116" s="140">
        <v>-102</v>
      </c>
      <c r="AV116" s="149" t="s">
        <v>1164</v>
      </c>
      <c r="AW116" s="148">
        <v>46159</v>
      </c>
      <c r="AX116" s="140">
        <v>227</v>
      </c>
      <c r="AY116" s="149" t="s">
        <v>1163</v>
      </c>
      <c r="AZ116" s="11"/>
      <c r="BA116" s="11" t="s">
        <v>575</v>
      </c>
    </row>
    <row r="117" spans="38:53" x14ac:dyDescent="0.3">
      <c r="AL117" s="147" t="s">
        <v>1168</v>
      </c>
      <c r="AM117" s="139" t="s">
        <v>1006</v>
      </c>
      <c r="AN117" s="139" t="s">
        <v>979</v>
      </c>
      <c r="AO117" s="139" t="s">
        <v>985</v>
      </c>
      <c r="AP117" s="139" t="s">
        <v>992</v>
      </c>
      <c r="AQ117" s="139" t="s">
        <v>1016</v>
      </c>
      <c r="AR117" s="139" t="s">
        <v>1004</v>
      </c>
      <c r="AS117" s="12">
        <v>45545</v>
      </c>
      <c r="AT117" s="148">
        <v>45910</v>
      </c>
      <c r="AU117" s="140">
        <v>-22</v>
      </c>
      <c r="AV117" s="149" t="s">
        <v>1164</v>
      </c>
      <c r="AW117" s="12">
        <v>45981</v>
      </c>
      <c r="AX117" s="140">
        <v>49</v>
      </c>
      <c r="AY117" s="149" t="s">
        <v>1163</v>
      </c>
      <c r="AZ117" s="11"/>
      <c r="BA117" s="11" t="s">
        <v>575</v>
      </c>
    </row>
    <row r="118" spans="38:53" x14ac:dyDescent="0.3">
      <c r="AL118" s="147" t="s">
        <v>1169</v>
      </c>
      <c r="AM118" s="139" t="s">
        <v>1038</v>
      </c>
      <c r="AN118" s="139" t="s">
        <v>979</v>
      </c>
      <c r="AO118" s="139" t="s">
        <v>966</v>
      </c>
      <c r="AP118" s="139" t="s">
        <v>972</v>
      </c>
      <c r="AQ118" s="139" t="s">
        <v>1026</v>
      </c>
      <c r="AR118" s="139" t="s">
        <v>994</v>
      </c>
      <c r="AS118" s="12">
        <v>45471</v>
      </c>
      <c r="AT118" s="148">
        <v>45836</v>
      </c>
      <c r="AU118" s="140">
        <v>-96</v>
      </c>
      <c r="AV118" s="149" t="s">
        <v>1164</v>
      </c>
      <c r="AW118" s="12">
        <v>45897</v>
      </c>
      <c r="AX118" s="140">
        <v>-35</v>
      </c>
      <c r="AY118" s="149" t="s">
        <v>1164</v>
      </c>
      <c r="AZ118" s="11"/>
      <c r="BA118" s="11" t="s">
        <v>575</v>
      </c>
    </row>
    <row r="119" spans="38:53" x14ac:dyDescent="0.3">
      <c r="AL119" s="147" t="s">
        <v>1170</v>
      </c>
      <c r="AM119" s="139" t="s">
        <v>1025</v>
      </c>
      <c r="AN119" s="139" t="s">
        <v>970</v>
      </c>
      <c r="AO119" s="139" t="s">
        <v>966</v>
      </c>
      <c r="AP119" s="139" t="s">
        <v>972</v>
      </c>
      <c r="AQ119" s="139" t="s">
        <v>1026</v>
      </c>
      <c r="AR119" s="139" t="s">
        <v>994</v>
      </c>
      <c r="AS119" s="12">
        <v>45656</v>
      </c>
      <c r="AT119" s="148">
        <v>45838</v>
      </c>
      <c r="AU119" s="140">
        <v>-94</v>
      </c>
      <c r="AV119" s="149" t="s">
        <v>1164</v>
      </c>
      <c r="AW119" s="12">
        <v>45925</v>
      </c>
      <c r="AX119" s="140">
        <v>-7</v>
      </c>
      <c r="AY119" s="149" t="s">
        <v>1164</v>
      </c>
      <c r="AZ119" s="11"/>
      <c r="BA119" s="11" t="s">
        <v>575</v>
      </c>
    </row>
    <row r="120" spans="38:53" x14ac:dyDescent="0.3">
      <c r="AL120" s="147" t="s">
        <v>1171</v>
      </c>
      <c r="AM120" s="139" t="s">
        <v>1006</v>
      </c>
      <c r="AN120" s="139" t="s">
        <v>979</v>
      </c>
      <c r="AO120" s="139" t="s">
        <v>985</v>
      </c>
      <c r="AP120" s="139" t="s">
        <v>992</v>
      </c>
      <c r="AQ120" s="139" t="s">
        <v>1172</v>
      </c>
      <c r="AR120" s="139" t="s">
        <v>1004</v>
      </c>
      <c r="AS120" s="12">
        <v>45549</v>
      </c>
      <c r="AT120" s="148">
        <v>45914</v>
      </c>
      <c r="AU120" s="140">
        <v>-18</v>
      </c>
      <c r="AV120" s="149" t="s">
        <v>1164</v>
      </c>
      <c r="AW120" s="12">
        <v>45981</v>
      </c>
      <c r="AX120" s="140">
        <v>49</v>
      </c>
      <c r="AY120" s="149" t="s">
        <v>1163</v>
      </c>
      <c r="AZ120" s="11"/>
      <c r="BA120" s="11" t="s">
        <v>575</v>
      </c>
    </row>
    <row r="121" spans="38:53" x14ac:dyDescent="0.3">
      <c r="AL121" s="147" t="s">
        <v>101</v>
      </c>
      <c r="AM121" s="139" t="s">
        <v>1173</v>
      </c>
      <c r="AN121" s="139" t="s">
        <v>966</v>
      </c>
      <c r="AO121" s="139" t="s">
        <v>971</v>
      </c>
      <c r="AP121" s="139" t="s">
        <v>972</v>
      </c>
      <c r="AQ121" s="139" t="s">
        <v>1018</v>
      </c>
      <c r="AR121" s="139" t="s">
        <v>974</v>
      </c>
      <c r="AS121" s="12">
        <v>45370</v>
      </c>
      <c r="AT121" s="148">
        <v>46461</v>
      </c>
      <c r="AU121" s="140">
        <v>529</v>
      </c>
      <c r="AV121" s="149" t="s">
        <v>1163</v>
      </c>
      <c r="AW121" s="12">
        <v>45924</v>
      </c>
      <c r="AX121" s="140">
        <v>-8</v>
      </c>
      <c r="AY121" s="149" t="s">
        <v>1164</v>
      </c>
      <c r="AZ121" s="11"/>
      <c r="BA121" s="11" t="s">
        <v>54</v>
      </c>
    </row>
    <row r="122" spans="38:53" x14ac:dyDescent="0.3">
      <c r="AL122" s="147" t="s">
        <v>1174</v>
      </c>
      <c r="AM122" s="139" t="s">
        <v>1006</v>
      </c>
      <c r="AN122" s="139" t="s">
        <v>979</v>
      </c>
      <c r="AO122" s="139" t="s">
        <v>985</v>
      </c>
      <c r="AP122" s="139" t="s">
        <v>992</v>
      </c>
      <c r="AQ122" s="139" t="s">
        <v>1175</v>
      </c>
      <c r="AR122" s="139" t="s">
        <v>1004</v>
      </c>
      <c r="AS122" s="12">
        <v>45570</v>
      </c>
      <c r="AT122" s="148">
        <v>45935</v>
      </c>
      <c r="AU122" s="140">
        <v>3</v>
      </c>
      <c r="AV122" s="149" t="s">
        <v>975</v>
      </c>
      <c r="AW122" s="12">
        <v>45981</v>
      </c>
      <c r="AX122" s="140">
        <v>49</v>
      </c>
      <c r="AY122" s="149" t="s">
        <v>1163</v>
      </c>
      <c r="AZ122" s="11"/>
      <c r="BA122" s="11" t="s">
        <v>575</v>
      </c>
    </row>
    <row r="123" spans="38:53" x14ac:dyDescent="0.3">
      <c r="AL123" s="147" t="s">
        <v>1176</v>
      </c>
      <c r="AM123" s="139" t="s">
        <v>1038</v>
      </c>
      <c r="AN123" s="139" t="s">
        <v>979</v>
      </c>
      <c r="AO123" s="139" t="s">
        <v>966</v>
      </c>
      <c r="AP123" s="139" t="s">
        <v>972</v>
      </c>
      <c r="AQ123" s="139" t="s">
        <v>1026</v>
      </c>
      <c r="AR123" s="139" t="s">
        <v>994</v>
      </c>
      <c r="AS123" s="12">
        <v>45474</v>
      </c>
      <c r="AT123" s="148">
        <v>45839</v>
      </c>
      <c r="AU123" s="140">
        <v>-93</v>
      </c>
      <c r="AV123" s="149" t="s">
        <v>1164</v>
      </c>
      <c r="AW123" s="12">
        <v>45940</v>
      </c>
      <c r="AX123" s="140">
        <v>8</v>
      </c>
      <c r="AY123" s="149" t="s">
        <v>975</v>
      </c>
      <c r="AZ123" s="11"/>
      <c r="BA123" s="11" t="s">
        <v>575</v>
      </c>
    </row>
    <row r="124" spans="38:53" x14ac:dyDescent="0.3">
      <c r="AL124" s="147" t="s">
        <v>1177</v>
      </c>
      <c r="AM124" s="139" t="s">
        <v>978</v>
      </c>
      <c r="AN124" s="139" t="s">
        <v>979</v>
      </c>
      <c r="AO124" s="139" t="s">
        <v>971</v>
      </c>
      <c r="AP124" s="139" t="s">
        <v>972</v>
      </c>
      <c r="AQ124" s="139" t="s">
        <v>1018</v>
      </c>
      <c r="AR124" s="139" t="s">
        <v>1004</v>
      </c>
      <c r="AS124" s="12">
        <v>45571</v>
      </c>
      <c r="AT124" s="148">
        <v>45936</v>
      </c>
      <c r="AU124" s="140">
        <v>4</v>
      </c>
      <c r="AV124" s="149" t="s">
        <v>975</v>
      </c>
      <c r="AW124" s="12">
        <v>46001</v>
      </c>
      <c r="AX124" s="140">
        <v>69</v>
      </c>
      <c r="AY124" s="149" t="s">
        <v>1163</v>
      </c>
      <c r="AZ124" s="11"/>
      <c r="BA124" s="11" t="s">
        <v>575</v>
      </c>
    </row>
    <row r="125" spans="38:53" x14ac:dyDescent="0.3">
      <c r="AL125" s="147" t="s">
        <v>1178</v>
      </c>
      <c r="AM125" s="139" t="s">
        <v>1038</v>
      </c>
      <c r="AN125" s="139" t="s">
        <v>979</v>
      </c>
      <c r="AO125" s="139" t="s">
        <v>966</v>
      </c>
      <c r="AP125" s="139" t="s">
        <v>972</v>
      </c>
      <c r="AQ125" s="139" t="s">
        <v>1026</v>
      </c>
      <c r="AR125" s="139" t="s">
        <v>994</v>
      </c>
      <c r="AS125" s="12">
        <v>45477</v>
      </c>
      <c r="AT125" s="148">
        <v>45842</v>
      </c>
      <c r="AU125" s="140">
        <v>-90</v>
      </c>
      <c r="AV125" s="149" t="s">
        <v>1164</v>
      </c>
      <c r="AW125" s="12">
        <v>45856</v>
      </c>
      <c r="AX125" s="140">
        <v>-76</v>
      </c>
      <c r="AY125" s="149" t="s">
        <v>1164</v>
      </c>
      <c r="AZ125" s="11"/>
      <c r="BA125" s="11" t="s">
        <v>575</v>
      </c>
    </row>
    <row r="126" spans="38:53" x14ac:dyDescent="0.3">
      <c r="AL126" s="147" t="s">
        <v>1179</v>
      </c>
      <c r="AM126" s="139" t="s">
        <v>1006</v>
      </c>
      <c r="AN126" s="139" t="s">
        <v>979</v>
      </c>
      <c r="AO126" s="139" t="s">
        <v>985</v>
      </c>
      <c r="AP126" s="139" t="s">
        <v>992</v>
      </c>
      <c r="AQ126" s="139" t="s">
        <v>1180</v>
      </c>
      <c r="AR126" s="139" t="s">
        <v>1004</v>
      </c>
      <c r="AS126" s="12">
        <v>45577</v>
      </c>
      <c r="AT126" s="148">
        <v>45942</v>
      </c>
      <c r="AU126" s="140">
        <v>10</v>
      </c>
      <c r="AV126" s="149" t="s">
        <v>1163</v>
      </c>
      <c r="AW126" s="12">
        <v>45981</v>
      </c>
      <c r="AX126" s="140">
        <v>49</v>
      </c>
      <c r="AY126" s="149" t="s">
        <v>1163</v>
      </c>
      <c r="AZ126" s="11"/>
      <c r="BA126" s="11" t="s">
        <v>575</v>
      </c>
    </row>
    <row r="127" spans="38:53" x14ac:dyDescent="0.3">
      <c r="AL127" s="147" t="s">
        <v>1181</v>
      </c>
      <c r="AM127" s="139" t="s">
        <v>978</v>
      </c>
      <c r="AN127" s="139" t="s">
        <v>979</v>
      </c>
      <c r="AO127" s="139" t="s">
        <v>985</v>
      </c>
      <c r="AP127" s="139" t="s">
        <v>986</v>
      </c>
      <c r="AQ127" s="139" t="s">
        <v>987</v>
      </c>
      <c r="AR127" s="139" t="s">
        <v>994</v>
      </c>
      <c r="AS127" s="12">
        <v>45478</v>
      </c>
      <c r="AT127" s="148">
        <v>45843</v>
      </c>
      <c r="AU127" s="140">
        <v>-89</v>
      </c>
      <c r="AV127" s="149" t="s">
        <v>1164</v>
      </c>
      <c r="AW127" s="12">
        <v>46137</v>
      </c>
      <c r="AX127" s="140">
        <v>205</v>
      </c>
      <c r="AY127" s="149" t="s">
        <v>1163</v>
      </c>
      <c r="AZ127" s="11"/>
      <c r="BA127" s="11" t="s">
        <v>575</v>
      </c>
    </row>
    <row r="128" spans="38:53" x14ac:dyDescent="0.3">
      <c r="AL128" s="147" t="s">
        <v>1182</v>
      </c>
      <c r="AM128" s="139" t="s">
        <v>978</v>
      </c>
      <c r="AN128" s="139" t="s">
        <v>979</v>
      </c>
      <c r="AO128" s="139" t="s">
        <v>996</v>
      </c>
      <c r="AP128" s="139" t="s">
        <v>997</v>
      </c>
      <c r="AQ128" s="139" t="s">
        <v>998</v>
      </c>
      <c r="AR128" s="139" t="s">
        <v>994</v>
      </c>
      <c r="AS128" s="12">
        <v>45478</v>
      </c>
      <c r="AT128" s="148">
        <v>45843</v>
      </c>
      <c r="AU128" s="140">
        <v>-89</v>
      </c>
      <c r="AV128" s="149" t="s">
        <v>1164</v>
      </c>
      <c r="AW128" s="12">
        <v>46137</v>
      </c>
      <c r="AX128" s="140">
        <v>205</v>
      </c>
      <c r="AY128" s="149" t="s">
        <v>1163</v>
      </c>
      <c r="AZ128" s="11"/>
      <c r="BA128" s="11" t="s">
        <v>575</v>
      </c>
    </row>
    <row r="129" spans="38:53" x14ac:dyDescent="0.3">
      <c r="AL129" s="147" t="s">
        <v>1183</v>
      </c>
      <c r="AM129" s="139" t="s">
        <v>978</v>
      </c>
      <c r="AN129" s="139" t="s">
        <v>979</v>
      </c>
      <c r="AO129" s="139" t="s">
        <v>966</v>
      </c>
      <c r="AP129" s="139" t="s">
        <v>972</v>
      </c>
      <c r="AQ129" s="139" t="s">
        <v>1034</v>
      </c>
      <c r="AR129" s="139" t="s">
        <v>994</v>
      </c>
      <c r="AS129" s="12">
        <v>45479</v>
      </c>
      <c r="AT129" s="148">
        <v>45844</v>
      </c>
      <c r="AU129" s="140">
        <v>-88</v>
      </c>
      <c r="AV129" s="149" t="s">
        <v>1164</v>
      </c>
      <c r="AW129" s="12">
        <v>46029</v>
      </c>
      <c r="AX129" s="140">
        <v>97</v>
      </c>
      <c r="AY129" s="149" t="s">
        <v>1163</v>
      </c>
      <c r="AZ129" s="11"/>
      <c r="BA129" s="11" t="s">
        <v>575</v>
      </c>
    </row>
    <row r="130" spans="38:53" x14ac:dyDescent="0.3">
      <c r="AL130" s="147" t="s">
        <v>1184</v>
      </c>
      <c r="AM130" s="139" t="s">
        <v>978</v>
      </c>
      <c r="AN130" s="139" t="s">
        <v>979</v>
      </c>
      <c r="AO130" s="139" t="s">
        <v>971</v>
      </c>
      <c r="AP130" s="139" t="s">
        <v>972</v>
      </c>
      <c r="AQ130" s="139" t="s">
        <v>1018</v>
      </c>
      <c r="AR130" s="139" t="s">
        <v>1004</v>
      </c>
      <c r="AS130" s="12">
        <v>45587</v>
      </c>
      <c r="AT130" s="148">
        <v>45952</v>
      </c>
      <c r="AU130" s="140">
        <v>20</v>
      </c>
      <c r="AV130" s="149" t="s">
        <v>1163</v>
      </c>
      <c r="AW130" s="148">
        <v>45840</v>
      </c>
      <c r="AX130" s="140">
        <v>-92</v>
      </c>
      <c r="AY130" s="149" t="s">
        <v>1164</v>
      </c>
      <c r="AZ130" s="11"/>
      <c r="BA130" s="11" t="s">
        <v>575</v>
      </c>
    </row>
    <row r="131" spans="38:53" x14ac:dyDescent="0.3">
      <c r="AL131" s="147" t="s">
        <v>1185</v>
      </c>
      <c r="AM131" s="139" t="s">
        <v>1006</v>
      </c>
      <c r="AN131" s="139" t="s">
        <v>979</v>
      </c>
      <c r="AO131" s="139" t="s">
        <v>985</v>
      </c>
      <c r="AP131" s="139" t="s">
        <v>1002</v>
      </c>
      <c r="AQ131" s="139" t="s">
        <v>1186</v>
      </c>
      <c r="AR131" s="139" t="s">
        <v>1004</v>
      </c>
      <c r="AS131" s="12">
        <v>45598</v>
      </c>
      <c r="AT131" s="148">
        <v>45963</v>
      </c>
      <c r="AU131" s="140">
        <v>31</v>
      </c>
      <c r="AV131" s="149" t="s">
        <v>1163</v>
      </c>
      <c r="AW131" s="12">
        <v>45981</v>
      </c>
      <c r="AX131" s="140">
        <v>49</v>
      </c>
      <c r="AY131" s="149" t="s">
        <v>1163</v>
      </c>
      <c r="AZ131" s="11"/>
      <c r="BA131" s="11" t="s">
        <v>575</v>
      </c>
    </row>
    <row r="132" spans="38:53" x14ac:dyDescent="0.3">
      <c r="AL132" s="147" t="s">
        <v>1187</v>
      </c>
      <c r="AM132" s="139" t="s">
        <v>1038</v>
      </c>
      <c r="AN132" s="139" t="s">
        <v>970</v>
      </c>
      <c r="AO132" s="139" t="s">
        <v>966</v>
      </c>
      <c r="AP132" s="139" t="s">
        <v>972</v>
      </c>
      <c r="AQ132" s="139" t="s">
        <v>1026</v>
      </c>
      <c r="AR132" s="139" t="s">
        <v>994</v>
      </c>
      <c r="AS132" s="148">
        <v>45486</v>
      </c>
      <c r="AT132" s="148">
        <v>45851</v>
      </c>
      <c r="AU132" s="140">
        <v>-81</v>
      </c>
      <c r="AV132" s="149" t="s">
        <v>1164</v>
      </c>
      <c r="AW132" s="148">
        <v>46032</v>
      </c>
      <c r="AX132" s="140">
        <v>100</v>
      </c>
      <c r="AY132" s="149" t="s">
        <v>1163</v>
      </c>
      <c r="AZ132" s="11"/>
      <c r="BA132" s="11" t="s">
        <v>575</v>
      </c>
    </row>
    <row r="133" spans="38:53" x14ac:dyDescent="0.3">
      <c r="AL133" s="147" t="s">
        <v>1188</v>
      </c>
      <c r="AM133" s="139" t="s">
        <v>978</v>
      </c>
      <c r="AN133" s="139" t="s">
        <v>979</v>
      </c>
      <c r="AO133" s="139" t="s">
        <v>985</v>
      </c>
      <c r="AP133" s="139" t="s">
        <v>992</v>
      </c>
      <c r="AQ133" s="139" t="s">
        <v>1027</v>
      </c>
      <c r="AR133" s="139" t="s">
        <v>1004</v>
      </c>
      <c r="AS133" s="12">
        <v>45598</v>
      </c>
      <c r="AT133" s="148">
        <v>45963</v>
      </c>
      <c r="AU133" s="140">
        <v>31</v>
      </c>
      <c r="AV133" s="149" t="s">
        <v>1163</v>
      </c>
      <c r="AW133" s="12">
        <v>46001</v>
      </c>
      <c r="AX133" s="140">
        <v>69</v>
      </c>
      <c r="AY133" s="149" t="s">
        <v>1163</v>
      </c>
      <c r="AZ133" s="11"/>
      <c r="BA133" s="11" t="s">
        <v>575</v>
      </c>
    </row>
    <row r="134" spans="38:53" x14ac:dyDescent="0.3">
      <c r="AL134" s="147" t="s">
        <v>1189</v>
      </c>
      <c r="AM134" s="139" t="s">
        <v>978</v>
      </c>
      <c r="AN134" s="139" t="s">
        <v>979</v>
      </c>
      <c r="AO134" s="139" t="s">
        <v>985</v>
      </c>
      <c r="AP134" s="139" t="s">
        <v>1002</v>
      </c>
      <c r="AQ134" s="139" t="s">
        <v>1003</v>
      </c>
      <c r="AR134" s="139" t="s">
        <v>1004</v>
      </c>
      <c r="AS134" s="12">
        <v>45617</v>
      </c>
      <c r="AT134" s="148">
        <v>45982</v>
      </c>
      <c r="AU134" s="140">
        <v>50</v>
      </c>
      <c r="AV134" s="149" t="s">
        <v>1163</v>
      </c>
      <c r="AW134" s="12">
        <v>46004</v>
      </c>
      <c r="AX134" s="140">
        <v>72</v>
      </c>
      <c r="AY134" s="149" t="s">
        <v>1163</v>
      </c>
      <c r="AZ134" s="11"/>
      <c r="BA134" s="11" t="s">
        <v>575</v>
      </c>
    </row>
    <row r="135" spans="38:53" x14ac:dyDescent="0.3">
      <c r="AL135" s="147" t="s">
        <v>1190</v>
      </c>
      <c r="AM135" s="139" t="s">
        <v>978</v>
      </c>
      <c r="AN135" s="139" t="s">
        <v>979</v>
      </c>
      <c r="AO135" s="139" t="s">
        <v>985</v>
      </c>
      <c r="AP135" s="139" t="s">
        <v>1002</v>
      </c>
      <c r="AQ135" s="139" t="s">
        <v>1191</v>
      </c>
      <c r="AR135" s="139" t="s">
        <v>1004</v>
      </c>
      <c r="AS135" s="12">
        <v>45694</v>
      </c>
      <c r="AT135" s="148">
        <v>46059</v>
      </c>
      <c r="AU135" s="140">
        <v>127</v>
      </c>
      <c r="AV135" s="149" t="s">
        <v>1163</v>
      </c>
      <c r="AW135" s="12">
        <v>46001</v>
      </c>
      <c r="AX135" s="140">
        <v>69</v>
      </c>
      <c r="AY135" s="149" t="s">
        <v>1163</v>
      </c>
      <c r="AZ135" s="11"/>
      <c r="BA135" s="11" t="s">
        <v>575</v>
      </c>
    </row>
    <row r="136" spans="38:53" x14ac:dyDescent="0.3">
      <c r="AL136" s="147" t="s">
        <v>1192</v>
      </c>
      <c r="AM136" s="139" t="s">
        <v>1006</v>
      </c>
      <c r="AN136" s="139" t="s">
        <v>979</v>
      </c>
      <c r="AO136" s="139" t="s">
        <v>985</v>
      </c>
      <c r="AP136" s="139" t="s">
        <v>992</v>
      </c>
      <c r="AQ136" s="139" t="s">
        <v>1193</v>
      </c>
      <c r="AR136" s="139" t="s">
        <v>994</v>
      </c>
      <c r="AS136" s="12">
        <v>45493</v>
      </c>
      <c r="AT136" s="148">
        <v>45858</v>
      </c>
      <c r="AU136" s="140">
        <v>-74</v>
      </c>
      <c r="AV136" s="149" t="s">
        <v>1164</v>
      </c>
      <c r="AW136" s="12">
        <v>45981</v>
      </c>
      <c r="AX136" s="140">
        <v>49</v>
      </c>
      <c r="AY136" s="149" t="s">
        <v>1163</v>
      </c>
      <c r="AZ136" s="11"/>
      <c r="BA136" s="11" t="s">
        <v>575</v>
      </c>
    </row>
    <row r="137" spans="38:53" x14ac:dyDescent="0.3">
      <c r="AL137" s="147" t="s">
        <v>1194</v>
      </c>
      <c r="AM137" s="139" t="s">
        <v>978</v>
      </c>
      <c r="AN137" s="139" t="s">
        <v>979</v>
      </c>
      <c r="AO137" s="139" t="s">
        <v>985</v>
      </c>
      <c r="AP137" s="139" t="s">
        <v>1002</v>
      </c>
      <c r="AQ137" s="139" t="s">
        <v>1195</v>
      </c>
      <c r="AR137" s="139" t="s">
        <v>1004</v>
      </c>
      <c r="AS137" s="12">
        <v>45703</v>
      </c>
      <c r="AT137" s="148">
        <v>46068</v>
      </c>
      <c r="AU137" s="140">
        <v>136</v>
      </c>
      <c r="AV137" s="149" t="s">
        <v>1163</v>
      </c>
      <c r="AW137" s="12">
        <v>45972</v>
      </c>
      <c r="AX137" s="140">
        <v>40</v>
      </c>
      <c r="AY137" s="149" t="s">
        <v>1163</v>
      </c>
      <c r="AZ137" s="11"/>
      <c r="BA137" s="11" t="s">
        <v>575</v>
      </c>
    </row>
    <row r="138" spans="38:53" x14ac:dyDescent="0.3">
      <c r="AL138" s="147" t="s">
        <v>1196</v>
      </c>
      <c r="AM138" s="139" t="s">
        <v>1006</v>
      </c>
      <c r="AN138" s="139" t="s">
        <v>979</v>
      </c>
      <c r="AO138" s="139" t="s">
        <v>985</v>
      </c>
      <c r="AP138" s="139" t="s">
        <v>992</v>
      </c>
      <c r="AQ138" s="139" t="s">
        <v>1197</v>
      </c>
      <c r="AR138" s="139" t="s">
        <v>994</v>
      </c>
      <c r="AS138" s="12">
        <v>45493</v>
      </c>
      <c r="AT138" s="148">
        <v>45858</v>
      </c>
      <c r="AU138" s="140">
        <v>-74</v>
      </c>
      <c r="AV138" s="149" t="s">
        <v>1164</v>
      </c>
      <c r="AW138" s="12">
        <v>45981</v>
      </c>
      <c r="AX138" s="140">
        <v>49</v>
      </c>
      <c r="AY138" s="149" t="s">
        <v>1163</v>
      </c>
      <c r="AZ138" s="11"/>
      <c r="BA138" s="11" t="s">
        <v>575</v>
      </c>
    </row>
    <row r="139" spans="38:53" x14ac:dyDescent="0.3">
      <c r="AL139" s="147" t="s">
        <v>1198</v>
      </c>
      <c r="AM139" s="139" t="s">
        <v>1038</v>
      </c>
      <c r="AN139" s="139" t="s">
        <v>970</v>
      </c>
      <c r="AO139" s="139" t="s">
        <v>966</v>
      </c>
      <c r="AP139" s="139" t="s">
        <v>972</v>
      </c>
      <c r="AQ139" s="139" t="s">
        <v>1026</v>
      </c>
      <c r="AR139" s="139" t="s">
        <v>994</v>
      </c>
      <c r="AS139" s="12">
        <v>45500</v>
      </c>
      <c r="AT139" s="148">
        <v>45865</v>
      </c>
      <c r="AU139" s="140">
        <v>-67</v>
      </c>
      <c r="AV139" s="149" t="s">
        <v>1164</v>
      </c>
      <c r="AW139" s="12">
        <v>45940</v>
      </c>
      <c r="AX139" s="140">
        <v>8</v>
      </c>
      <c r="AY139" s="149" t="s">
        <v>975</v>
      </c>
      <c r="AZ139" s="11"/>
      <c r="BA139" s="11" t="s">
        <v>575</v>
      </c>
    </row>
    <row r="140" spans="38:53" x14ac:dyDescent="0.3">
      <c r="AL140" s="147" t="s">
        <v>1199</v>
      </c>
      <c r="AM140" s="139" t="s">
        <v>1006</v>
      </c>
      <c r="AN140" s="139" t="s">
        <v>979</v>
      </c>
      <c r="AO140" s="139" t="s">
        <v>985</v>
      </c>
      <c r="AP140" s="139" t="s">
        <v>1002</v>
      </c>
      <c r="AQ140" s="139" t="s">
        <v>1057</v>
      </c>
      <c r="AR140" s="139" t="s">
        <v>1004</v>
      </c>
      <c r="AS140" s="12">
        <v>45704</v>
      </c>
      <c r="AT140" s="148">
        <v>46069</v>
      </c>
      <c r="AU140" s="140">
        <v>137</v>
      </c>
      <c r="AV140" s="149" t="s">
        <v>1163</v>
      </c>
      <c r="AW140" s="12">
        <v>46140</v>
      </c>
      <c r="AX140" s="140">
        <v>208</v>
      </c>
      <c r="AY140" s="149" t="s">
        <v>1163</v>
      </c>
      <c r="AZ140" s="11"/>
      <c r="BA140" s="11" t="s">
        <v>575</v>
      </c>
    </row>
    <row r="141" spans="38:53" x14ac:dyDescent="0.3">
      <c r="AL141" s="147" t="s">
        <v>1200</v>
      </c>
      <c r="AM141" s="139" t="s">
        <v>1038</v>
      </c>
      <c r="AN141" s="139" t="s">
        <v>979</v>
      </c>
      <c r="AO141" s="139" t="s">
        <v>966</v>
      </c>
      <c r="AP141" s="139" t="s">
        <v>972</v>
      </c>
      <c r="AQ141" s="139" t="s">
        <v>1026</v>
      </c>
      <c r="AR141" s="139" t="s">
        <v>994</v>
      </c>
      <c r="AS141" s="12">
        <v>45509</v>
      </c>
      <c r="AT141" s="148">
        <v>45874</v>
      </c>
      <c r="AU141" s="140">
        <v>-58</v>
      </c>
      <c r="AV141" s="149" t="s">
        <v>1164</v>
      </c>
      <c r="AW141" s="12">
        <v>45918</v>
      </c>
      <c r="AX141" s="140">
        <v>-14</v>
      </c>
      <c r="AY141" s="149" t="s">
        <v>1164</v>
      </c>
      <c r="AZ141" s="11"/>
      <c r="BA141" s="11" t="s">
        <v>575</v>
      </c>
    </row>
    <row r="142" spans="38:53" x14ac:dyDescent="0.3">
      <c r="AL142" s="147" t="s">
        <v>1201</v>
      </c>
      <c r="AM142" s="139" t="s">
        <v>1006</v>
      </c>
      <c r="AN142" s="139" t="s">
        <v>979</v>
      </c>
      <c r="AO142" s="139" t="s">
        <v>985</v>
      </c>
      <c r="AP142" s="139" t="s">
        <v>1002</v>
      </c>
      <c r="AQ142" s="139" t="s">
        <v>1003</v>
      </c>
      <c r="AR142" s="139" t="s">
        <v>1004</v>
      </c>
      <c r="AS142" s="12">
        <v>45716</v>
      </c>
      <c r="AT142" s="148">
        <v>46081</v>
      </c>
      <c r="AU142" s="140">
        <v>149</v>
      </c>
      <c r="AV142" s="149" t="s">
        <v>1163</v>
      </c>
      <c r="AW142" s="12">
        <v>46140</v>
      </c>
      <c r="AX142" s="140">
        <v>208</v>
      </c>
      <c r="AY142" s="149" t="s">
        <v>1163</v>
      </c>
      <c r="AZ142" s="11"/>
      <c r="BA142" s="11" t="s">
        <v>575</v>
      </c>
    </row>
    <row r="143" spans="38:53" x14ac:dyDescent="0.3">
      <c r="AL143" s="147" t="s">
        <v>1202</v>
      </c>
      <c r="AM143" s="139" t="s">
        <v>1006</v>
      </c>
      <c r="AN143" s="139" t="s">
        <v>979</v>
      </c>
      <c r="AO143" s="139" t="s">
        <v>985</v>
      </c>
      <c r="AP143" s="139" t="s">
        <v>1002</v>
      </c>
      <c r="AQ143" s="139" t="s">
        <v>1007</v>
      </c>
      <c r="AR143" s="139" t="s">
        <v>1004</v>
      </c>
      <c r="AS143" s="12">
        <v>45717</v>
      </c>
      <c r="AT143" s="148">
        <v>46082</v>
      </c>
      <c r="AU143" s="140">
        <v>150</v>
      </c>
      <c r="AV143" s="149" t="s">
        <v>1163</v>
      </c>
      <c r="AW143" s="12">
        <v>45842</v>
      </c>
      <c r="AX143" s="140">
        <v>-90</v>
      </c>
      <c r="AY143" s="149" t="s">
        <v>1164</v>
      </c>
      <c r="AZ143" s="11"/>
      <c r="BA143" s="11" t="s">
        <v>575</v>
      </c>
    </row>
    <row r="144" spans="38:53" x14ac:dyDescent="0.3">
      <c r="AL144" s="147" t="s">
        <v>114</v>
      </c>
      <c r="AM144" s="139" t="s">
        <v>1173</v>
      </c>
      <c r="AN144" s="139" t="s">
        <v>966</v>
      </c>
      <c r="AO144" s="139" t="s">
        <v>985</v>
      </c>
      <c r="AP144" s="139" t="s">
        <v>1203</v>
      </c>
      <c r="AQ144" s="139" t="s">
        <v>1204</v>
      </c>
      <c r="AR144" s="139" t="s">
        <v>1004</v>
      </c>
      <c r="AS144" s="12">
        <v>45004</v>
      </c>
      <c r="AT144" s="148">
        <v>46100</v>
      </c>
      <c r="AU144" s="140">
        <v>168</v>
      </c>
      <c r="AV144" s="149" t="s">
        <v>1163</v>
      </c>
      <c r="AW144" s="12">
        <v>45810</v>
      </c>
      <c r="AX144" s="140">
        <v>-122</v>
      </c>
      <c r="AY144" s="149" t="s">
        <v>1164</v>
      </c>
      <c r="AZ144" s="11"/>
      <c r="BA144" s="11" t="s">
        <v>56</v>
      </c>
    </row>
    <row r="145" spans="38:53" x14ac:dyDescent="0.3">
      <c r="AL145" s="147" t="s">
        <v>110</v>
      </c>
      <c r="AM145" s="139" t="s">
        <v>1173</v>
      </c>
      <c r="AN145" s="139" t="s">
        <v>966</v>
      </c>
      <c r="AO145" s="139" t="s">
        <v>985</v>
      </c>
      <c r="AP145" s="139" t="s">
        <v>1205</v>
      </c>
      <c r="AQ145" s="139" t="s">
        <v>1206</v>
      </c>
      <c r="AR145" s="139" t="s">
        <v>1004</v>
      </c>
      <c r="AS145" s="12">
        <v>45004</v>
      </c>
      <c r="AT145" s="148">
        <v>46100</v>
      </c>
      <c r="AU145" s="140">
        <v>168</v>
      </c>
      <c r="AV145" s="149" t="s">
        <v>1163</v>
      </c>
      <c r="AW145" s="12">
        <v>45810</v>
      </c>
      <c r="AX145" s="140">
        <v>-122</v>
      </c>
      <c r="AY145" s="149" t="s">
        <v>1164</v>
      </c>
      <c r="AZ145" s="11"/>
      <c r="BA145" s="11" t="s">
        <v>56</v>
      </c>
    </row>
    <row r="146" spans="38:53" x14ac:dyDescent="0.3">
      <c r="AL146" s="147" t="s">
        <v>1207</v>
      </c>
      <c r="AM146" s="139" t="s">
        <v>1006</v>
      </c>
      <c r="AN146" s="139" t="s">
        <v>979</v>
      </c>
      <c r="AO146" s="139" t="s">
        <v>985</v>
      </c>
      <c r="AP146" s="139" t="s">
        <v>992</v>
      </c>
      <c r="AQ146" s="139" t="s">
        <v>1193</v>
      </c>
      <c r="AR146" s="139" t="s">
        <v>994</v>
      </c>
      <c r="AS146" s="12">
        <v>45511</v>
      </c>
      <c r="AT146" s="148">
        <v>45876</v>
      </c>
      <c r="AU146" s="140">
        <v>-56</v>
      </c>
      <c r="AV146" s="149" t="s">
        <v>1164</v>
      </c>
      <c r="AW146" s="12">
        <v>45840</v>
      </c>
      <c r="AX146" s="140">
        <v>-92</v>
      </c>
      <c r="AY146" s="149" t="s">
        <v>1164</v>
      </c>
      <c r="AZ146" s="11"/>
      <c r="BA146" s="11" t="s">
        <v>575</v>
      </c>
    </row>
    <row r="147" spans="38:53" x14ac:dyDescent="0.3">
      <c r="AL147" s="147" t="s">
        <v>1208</v>
      </c>
      <c r="AM147" s="139" t="s">
        <v>978</v>
      </c>
      <c r="AN147" s="139" t="s">
        <v>979</v>
      </c>
      <c r="AO147" s="139" t="s">
        <v>996</v>
      </c>
      <c r="AP147" s="139" t="s">
        <v>997</v>
      </c>
      <c r="AQ147" s="139" t="s">
        <v>998</v>
      </c>
      <c r="AR147" s="139" t="s">
        <v>994</v>
      </c>
      <c r="AS147" s="12">
        <v>45511</v>
      </c>
      <c r="AT147" s="148">
        <v>45876</v>
      </c>
      <c r="AU147" s="140">
        <v>-56</v>
      </c>
      <c r="AV147" s="149" t="s">
        <v>1164</v>
      </c>
      <c r="AW147" s="12">
        <v>45840</v>
      </c>
      <c r="AX147" s="140">
        <v>-92</v>
      </c>
      <c r="AY147" s="149" t="s">
        <v>1164</v>
      </c>
      <c r="AZ147" s="11"/>
      <c r="BA147" s="11" t="s">
        <v>575</v>
      </c>
    </row>
    <row r="148" spans="38:53" x14ac:dyDescent="0.3">
      <c r="AL148" s="147" t="s">
        <v>1209</v>
      </c>
      <c r="AM148" s="139" t="s">
        <v>1006</v>
      </c>
      <c r="AN148" s="139" t="s">
        <v>979</v>
      </c>
      <c r="AO148" s="139" t="s">
        <v>985</v>
      </c>
      <c r="AP148" s="139" t="s">
        <v>992</v>
      </c>
      <c r="AQ148" s="139" t="s">
        <v>1013</v>
      </c>
      <c r="AR148" s="139" t="s">
        <v>1004</v>
      </c>
      <c r="AS148" s="12">
        <v>45738</v>
      </c>
      <c r="AT148" s="148">
        <v>46103</v>
      </c>
      <c r="AU148" s="140">
        <v>171</v>
      </c>
      <c r="AV148" s="149" t="s">
        <v>1163</v>
      </c>
      <c r="AW148" s="12">
        <v>45981</v>
      </c>
      <c r="AX148" s="140">
        <v>49</v>
      </c>
      <c r="AY148" s="149" t="s">
        <v>1163</v>
      </c>
      <c r="AZ148" s="11"/>
      <c r="BA148" s="11" t="s">
        <v>575</v>
      </c>
    </row>
    <row r="149" spans="38:53" x14ac:dyDescent="0.3">
      <c r="AL149" s="147" t="s">
        <v>1210</v>
      </c>
      <c r="AM149" s="139" t="s">
        <v>969</v>
      </c>
      <c r="AN149" s="139" t="s">
        <v>979</v>
      </c>
      <c r="AO149" s="139" t="s">
        <v>985</v>
      </c>
      <c r="AP149" s="139" t="s">
        <v>992</v>
      </c>
      <c r="AQ149" s="139" t="s">
        <v>1016</v>
      </c>
      <c r="AR149" s="139" t="s">
        <v>994</v>
      </c>
      <c r="AS149" s="12">
        <v>45511</v>
      </c>
      <c r="AT149" s="148">
        <v>45876</v>
      </c>
      <c r="AU149" s="140">
        <v>-56</v>
      </c>
      <c r="AV149" s="149" t="s">
        <v>1164</v>
      </c>
      <c r="AW149" s="12">
        <v>45893</v>
      </c>
      <c r="AX149" s="140">
        <v>-39</v>
      </c>
      <c r="AY149" s="149" t="s">
        <v>1164</v>
      </c>
      <c r="AZ149" s="11"/>
      <c r="BA149" s="11" t="s">
        <v>575</v>
      </c>
    </row>
    <row r="150" spans="38:53" x14ac:dyDescent="0.3">
      <c r="AL150" s="147" t="s">
        <v>1211</v>
      </c>
      <c r="AM150" s="139" t="s">
        <v>969</v>
      </c>
      <c r="AN150" s="139" t="s">
        <v>979</v>
      </c>
      <c r="AO150" s="139" t="s">
        <v>985</v>
      </c>
      <c r="AP150" s="139" t="s">
        <v>992</v>
      </c>
      <c r="AQ150" s="139" t="s">
        <v>1016</v>
      </c>
      <c r="AR150" s="139" t="s">
        <v>994</v>
      </c>
      <c r="AS150" s="12">
        <v>45511</v>
      </c>
      <c r="AT150" s="148">
        <v>45876</v>
      </c>
      <c r="AU150" s="140">
        <v>-56</v>
      </c>
      <c r="AV150" s="149" t="s">
        <v>1164</v>
      </c>
      <c r="AW150" s="12">
        <v>45893</v>
      </c>
      <c r="AX150" s="140">
        <v>-39</v>
      </c>
      <c r="AY150" s="149" t="s">
        <v>1164</v>
      </c>
      <c r="AZ150" s="11"/>
      <c r="BA150" s="11" t="s">
        <v>575</v>
      </c>
    </row>
    <row r="151" spans="38:53" x14ac:dyDescent="0.3">
      <c r="AL151" s="147" t="s">
        <v>1212</v>
      </c>
      <c r="AM151" s="139" t="s">
        <v>1038</v>
      </c>
      <c r="AN151" s="139" t="s">
        <v>979</v>
      </c>
      <c r="AO151" s="139" t="s">
        <v>966</v>
      </c>
      <c r="AP151" s="139" t="s">
        <v>972</v>
      </c>
      <c r="AQ151" s="139" t="s">
        <v>1026</v>
      </c>
      <c r="AR151" s="139" t="s">
        <v>994</v>
      </c>
      <c r="AS151" s="12">
        <v>45512</v>
      </c>
      <c r="AT151" s="148">
        <v>45877</v>
      </c>
      <c r="AU151" s="140">
        <v>-55</v>
      </c>
      <c r="AV151" s="149" t="s">
        <v>1164</v>
      </c>
      <c r="AW151" s="12">
        <v>45890</v>
      </c>
      <c r="AX151" s="140">
        <v>-42</v>
      </c>
      <c r="AY151" s="149" t="s">
        <v>1164</v>
      </c>
      <c r="AZ151" s="11"/>
      <c r="BA151" s="11" t="s">
        <v>575</v>
      </c>
    </row>
    <row r="152" spans="38:53" x14ac:dyDescent="0.3">
      <c r="AL152" s="147" t="s">
        <v>1213</v>
      </c>
      <c r="AM152" s="139" t="s">
        <v>1214</v>
      </c>
      <c r="AN152" s="139" t="s">
        <v>979</v>
      </c>
      <c r="AO152" s="139" t="s">
        <v>966</v>
      </c>
      <c r="AP152" s="139" t="s">
        <v>972</v>
      </c>
      <c r="AQ152" s="139" t="s">
        <v>1026</v>
      </c>
      <c r="AR152" s="139" t="s">
        <v>994</v>
      </c>
      <c r="AS152" s="12">
        <v>45696</v>
      </c>
      <c r="AT152" s="148">
        <v>45877</v>
      </c>
      <c r="AU152" s="140">
        <v>-55</v>
      </c>
      <c r="AV152" s="149" t="s">
        <v>1164</v>
      </c>
      <c r="AW152" s="12">
        <v>46041</v>
      </c>
      <c r="AX152" s="140">
        <v>109</v>
      </c>
      <c r="AY152" s="149" t="s">
        <v>1163</v>
      </c>
      <c r="AZ152" s="11"/>
      <c r="BA152" s="11" t="s">
        <v>575</v>
      </c>
    </row>
    <row r="153" spans="38:53" x14ac:dyDescent="0.3">
      <c r="AL153" s="147" t="s">
        <v>1215</v>
      </c>
      <c r="AM153" s="139" t="s">
        <v>1006</v>
      </c>
      <c r="AN153" s="139" t="s">
        <v>979</v>
      </c>
      <c r="AO153" s="139" t="s">
        <v>985</v>
      </c>
      <c r="AP153" s="139" t="s">
        <v>992</v>
      </c>
      <c r="AQ153" s="139" t="s">
        <v>1088</v>
      </c>
      <c r="AR153" s="139" t="s">
        <v>994</v>
      </c>
      <c r="AS153" s="12">
        <v>45513</v>
      </c>
      <c r="AT153" s="148">
        <v>45878</v>
      </c>
      <c r="AU153" s="140">
        <v>-54</v>
      </c>
      <c r="AV153" s="149" t="s">
        <v>1164</v>
      </c>
      <c r="AW153" s="12">
        <v>45936</v>
      </c>
      <c r="AX153" s="140">
        <v>4</v>
      </c>
      <c r="AY153" s="149" t="s">
        <v>1164</v>
      </c>
      <c r="AZ153" s="11"/>
      <c r="BA153" s="11" t="s">
        <v>575</v>
      </c>
    </row>
    <row r="154" spans="38:53" x14ac:dyDescent="0.3">
      <c r="AL154" s="147" t="s">
        <v>1216</v>
      </c>
      <c r="AM154" s="139" t="s">
        <v>1217</v>
      </c>
      <c r="AN154" s="139" t="s">
        <v>979</v>
      </c>
      <c r="AO154" s="139" t="s">
        <v>966</v>
      </c>
      <c r="AP154" s="139" t="s">
        <v>972</v>
      </c>
      <c r="AQ154" s="139" t="s">
        <v>1026</v>
      </c>
      <c r="AR154" s="139" t="s">
        <v>994</v>
      </c>
      <c r="AS154" s="12">
        <v>45703</v>
      </c>
      <c r="AT154" s="148">
        <v>45884</v>
      </c>
      <c r="AU154" s="140">
        <v>-48</v>
      </c>
      <c r="AV154" s="149" t="s">
        <v>1164</v>
      </c>
      <c r="AW154" s="12">
        <v>45905</v>
      </c>
      <c r="AX154" s="140">
        <v>-27</v>
      </c>
      <c r="AY154" s="149" t="s">
        <v>1164</v>
      </c>
      <c r="AZ154" s="11"/>
      <c r="BA154" s="11" t="s">
        <v>575</v>
      </c>
    </row>
    <row r="155" spans="38:53" x14ac:dyDescent="0.3">
      <c r="AL155" s="147" t="s">
        <v>1218</v>
      </c>
      <c r="AM155" s="139" t="s">
        <v>1038</v>
      </c>
      <c r="AN155" s="139" t="s">
        <v>979</v>
      </c>
      <c r="AO155" s="139" t="s">
        <v>971</v>
      </c>
      <c r="AP155" s="139" t="s">
        <v>972</v>
      </c>
      <c r="AQ155" s="139" t="s">
        <v>980</v>
      </c>
      <c r="AR155" s="139" t="s">
        <v>981</v>
      </c>
      <c r="AS155" s="12">
        <v>45517</v>
      </c>
      <c r="AT155" s="148">
        <v>45882</v>
      </c>
      <c r="AU155" s="140">
        <v>-50</v>
      </c>
      <c r="AV155" s="149" t="s">
        <v>1164</v>
      </c>
      <c r="AW155" s="12">
        <v>45856</v>
      </c>
      <c r="AX155" s="140">
        <v>-76</v>
      </c>
      <c r="AY155" s="149" t="s">
        <v>1164</v>
      </c>
      <c r="AZ155" s="11"/>
      <c r="BA155" s="11" t="s">
        <v>575</v>
      </c>
    </row>
    <row r="156" spans="38:53" x14ac:dyDescent="0.3">
      <c r="AL156" s="147" t="s">
        <v>1219</v>
      </c>
      <c r="AM156" s="139" t="s">
        <v>1038</v>
      </c>
      <c r="AN156" s="139" t="s">
        <v>979</v>
      </c>
      <c r="AO156" s="139" t="s">
        <v>971</v>
      </c>
      <c r="AP156" s="139" t="s">
        <v>972</v>
      </c>
      <c r="AQ156" s="139" t="s">
        <v>973</v>
      </c>
      <c r="AR156" s="139" t="s">
        <v>974</v>
      </c>
      <c r="AS156" s="12">
        <v>45530</v>
      </c>
      <c r="AT156" s="148">
        <v>45895</v>
      </c>
      <c r="AU156" s="140">
        <v>-37</v>
      </c>
      <c r="AV156" s="149" t="s">
        <v>1164</v>
      </c>
      <c r="AW156" s="12">
        <v>45928</v>
      </c>
      <c r="AX156" s="140">
        <v>-4</v>
      </c>
      <c r="AY156" s="149" t="s">
        <v>1164</v>
      </c>
      <c r="AZ156" s="11"/>
      <c r="BA156" s="11" t="s">
        <v>575</v>
      </c>
    </row>
    <row r="157" spans="38:53" x14ac:dyDescent="0.3">
      <c r="AL157" s="147" t="s">
        <v>1220</v>
      </c>
      <c r="AM157" s="139" t="s">
        <v>1006</v>
      </c>
      <c r="AN157" s="139" t="s">
        <v>979</v>
      </c>
      <c r="AO157" s="139" t="s">
        <v>971</v>
      </c>
      <c r="AP157" s="139" t="s">
        <v>972</v>
      </c>
      <c r="AQ157" s="139" t="s">
        <v>1018</v>
      </c>
      <c r="AR157" s="139" t="s">
        <v>988</v>
      </c>
      <c r="AS157" s="148">
        <v>45461</v>
      </c>
      <c r="AT157" s="148">
        <v>45826</v>
      </c>
      <c r="AU157" s="140">
        <v>-106</v>
      </c>
      <c r="AV157" s="149" t="s">
        <v>1164</v>
      </c>
      <c r="AW157" s="148">
        <v>46154</v>
      </c>
      <c r="AX157" s="140">
        <v>222</v>
      </c>
      <c r="AY157" s="149" t="s">
        <v>1163</v>
      </c>
      <c r="AZ157" s="11"/>
      <c r="BA157" s="11" t="s">
        <v>575</v>
      </c>
    </row>
    <row r="158" spans="38:53" x14ac:dyDescent="0.3">
      <c r="AL158" s="147" t="s">
        <v>1221</v>
      </c>
      <c r="AM158" s="139" t="s">
        <v>1038</v>
      </c>
      <c r="AN158" s="139" t="s">
        <v>979</v>
      </c>
      <c r="AO158" s="139" t="s">
        <v>971</v>
      </c>
      <c r="AP158" s="139" t="s">
        <v>972</v>
      </c>
      <c r="AQ158" s="139" t="s">
        <v>973</v>
      </c>
      <c r="AR158" s="139" t="s">
        <v>974</v>
      </c>
      <c r="AS158" s="12">
        <v>45482</v>
      </c>
      <c r="AT158" s="148">
        <v>45847</v>
      </c>
      <c r="AU158" s="140">
        <v>-85</v>
      </c>
      <c r="AV158" s="149" t="s">
        <v>1164</v>
      </c>
      <c r="AW158" s="12">
        <v>45933</v>
      </c>
      <c r="AX158" s="140">
        <v>1</v>
      </c>
      <c r="AY158" s="149" t="s">
        <v>1164</v>
      </c>
      <c r="AZ158" s="11"/>
      <c r="BA158" s="11" t="s">
        <v>575</v>
      </c>
    </row>
    <row r="159" spans="38:53" x14ac:dyDescent="0.3">
      <c r="AL159" s="147" t="s">
        <v>1222</v>
      </c>
      <c r="AM159" s="139" t="s">
        <v>1038</v>
      </c>
      <c r="AN159" s="139" t="s">
        <v>979</v>
      </c>
      <c r="AO159" s="139" t="s">
        <v>971</v>
      </c>
      <c r="AP159" s="139" t="s">
        <v>972</v>
      </c>
      <c r="AQ159" s="139" t="s">
        <v>980</v>
      </c>
      <c r="AR159" s="139" t="s">
        <v>981</v>
      </c>
      <c r="AS159" s="12">
        <v>45520</v>
      </c>
      <c r="AT159" s="148">
        <v>45885</v>
      </c>
      <c r="AU159" s="140">
        <v>-47</v>
      </c>
      <c r="AV159" s="149" t="s">
        <v>1164</v>
      </c>
      <c r="AW159" s="12">
        <v>45918</v>
      </c>
      <c r="AX159" s="140">
        <v>-14</v>
      </c>
      <c r="AY159" s="149" t="s">
        <v>1164</v>
      </c>
      <c r="AZ159" s="11"/>
      <c r="BA159" s="11" t="s">
        <v>575</v>
      </c>
    </row>
    <row r="160" spans="38:53" x14ac:dyDescent="0.3">
      <c r="AL160" s="147" t="s">
        <v>1223</v>
      </c>
      <c r="AM160" s="139" t="s">
        <v>1038</v>
      </c>
      <c r="AN160" s="139" t="s">
        <v>979</v>
      </c>
      <c r="AO160" s="139" t="s">
        <v>971</v>
      </c>
      <c r="AP160" s="139" t="s">
        <v>972</v>
      </c>
      <c r="AQ160" s="139" t="s">
        <v>1052</v>
      </c>
      <c r="AR160" s="139" t="s">
        <v>974</v>
      </c>
      <c r="AS160" s="12">
        <v>45541</v>
      </c>
      <c r="AT160" s="148">
        <v>45906</v>
      </c>
      <c r="AU160" s="140">
        <v>-26</v>
      </c>
      <c r="AV160" s="149" t="s">
        <v>1164</v>
      </c>
      <c r="AW160" s="12">
        <v>45933</v>
      </c>
      <c r="AX160" s="140">
        <v>1</v>
      </c>
      <c r="AY160" s="149" t="s">
        <v>1164</v>
      </c>
      <c r="AZ160" s="11"/>
      <c r="BA160" s="11" t="s">
        <v>575</v>
      </c>
    </row>
    <row r="161" spans="38:53" x14ac:dyDescent="0.3">
      <c r="AL161" s="147" t="s">
        <v>1224</v>
      </c>
      <c r="AM161" s="139" t="s">
        <v>1038</v>
      </c>
      <c r="AN161" s="139" t="s">
        <v>979</v>
      </c>
      <c r="AO161" s="139" t="s">
        <v>971</v>
      </c>
      <c r="AP161" s="139" t="s">
        <v>972</v>
      </c>
      <c r="AQ161" s="139" t="s">
        <v>980</v>
      </c>
      <c r="AR161" s="139" t="s">
        <v>981</v>
      </c>
      <c r="AS161" s="12">
        <v>45525</v>
      </c>
      <c r="AT161" s="148">
        <v>45890</v>
      </c>
      <c r="AU161" s="140">
        <v>-42</v>
      </c>
      <c r="AV161" s="149" t="s">
        <v>1164</v>
      </c>
      <c r="AW161" s="12">
        <v>45856</v>
      </c>
      <c r="AX161" s="140">
        <v>-76</v>
      </c>
      <c r="AY161" s="149" t="s">
        <v>1164</v>
      </c>
      <c r="AZ161" s="11"/>
      <c r="BA161" s="11" t="s">
        <v>575</v>
      </c>
    </row>
    <row r="162" spans="38:53" x14ac:dyDescent="0.3">
      <c r="AL162" s="147" t="s">
        <v>1225</v>
      </c>
      <c r="AM162" s="139" t="s">
        <v>1038</v>
      </c>
      <c r="AN162" s="139" t="s">
        <v>979</v>
      </c>
      <c r="AO162" s="139" t="s">
        <v>971</v>
      </c>
      <c r="AP162" s="139" t="s">
        <v>972</v>
      </c>
      <c r="AQ162" s="139" t="s">
        <v>980</v>
      </c>
      <c r="AR162" s="139" t="s">
        <v>981</v>
      </c>
      <c r="AS162" s="12">
        <v>45527</v>
      </c>
      <c r="AT162" s="148">
        <v>45892</v>
      </c>
      <c r="AU162" s="140">
        <v>-40</v>
      </c>
      <c r="AV162" s="149" t="s">
        <v>1164</v>
      </c>
      <c r="AW162" s="12">
        <v>45925</v>
      </c>
      <c r="AX162" s="140">
        <v>-7</v>
      </c>
      <c r="AY162" s="149" t="s">
        <v>1164</v>
      </c>
      <c r="AZ162" s="11"/>
      <c r="BA162" s="11" t="s">
        <v>575</v>
      </c>
    </row>
    <row r="163" spans="38:53" x14ac:dyDescent="0.3">
      <c r="AL163" s="147" t="s">
        <v>1226</v>
      </c>
      <c r="AM163" s="139" t="s">
        <v>1038</v>
      </c>
      <c r="AN163" s="139" t="s">
        <v>979</v>
      </c>
      <c r="AO163" s="139" t="s">
        <v>971</v>
      </c>
      <c r="AP163" s="139" t="s">
        <v>1043</v>
      </c>
      <c r="AQ163" s="139" t="s">
        <v>1044</v>
      </c>
      <c r="AR163" s="139" t="s">
        <v>974</v>
      </c>
      <c r="AS163" s="12">
        <v>45537</v>
      </c>
      <c r="AT163" s="148">
        <v>45902</v>
      </c>
      <c r="AU163" s="140">
        <v>-30</v>
      </c>
      <c r="AV163" s="149" t="s">
        <v>1164</v>
      </c>
      <c r="AW163" s="12">
        <v>45933</v>
      </c>
      <c r="AX163" s="140">
        <v>1</v>
      </c>
      <c r="AY163" s="149" t="s">
        <v>1164</v>
      </c>
      <c r="AZ163" s="11"/>
      <c r="BA163" s="11" t="s">
        <v>575</v>
      </c>
    </row>
    <row r="164" spans="38:53" x14ac:dyDescent="0.3">
      <c r="AL164" s="147" t="s">
        <v>1227</v>
      </c>
      <c r="AM164" s="139" t="s">
        <v>1038</v>
      </c>
      <c r="AN164" s="139" t="s">
        <v>979</v>
      </c>
      <c r="AO164" s="139" t="s">
        <v>971</v>
      </c>
      <c r="AP164" s="139" t="s">
        <v>972</v>
      </c>
      <c r="AQ164" s="139" t="s">
        <v>1055</v>
      </c>
      <c r="AR164" s="139" t="s">
        <v>974</v>
      </c>
      <c r="AS164" s="12">
        <v>45569</v>
      </c>
      <c r="AT164" s="148">
        <v>45934</v>
      </c>
      <c r="AU164" s="140">
        <v>2</v>
      </c>
      <c r="AV164" s="149" t="s">
        <v>975</v>
      </c>
      <c r="AW164" s="12">
        <v>45933</v>
      </c>
      <c r="AX164" s="140">
        <v>1</v>
      </c>
      <c r="AY164" s="149" t="s">
        <v>1164</v>
      </c>
      <c r="AZ164" s="11"/>
      <c r="BA164" s="11" t="s">
        <v>575</v>
      </c>
    </row>
    <row r="165" spans="38:53" x14ac:dyDescent="0.3">
      <c r="AL165" s="147" t="s">
        <v>1228</v>
      </c>
      <c r="AM165" s="139" t="s">
        <v>1038</v>
      </c>
      <c r="AN165" s="139" t="s">
        <v>979</v>
      </c>
      <c r="AO165" s="139" t="s">
        <v>971</v>
      </c>
      <c r="AP165" s="139" t="s">
        <v>972</v>
      </c>
      <c r="AQ165" s="139" t="s">
        <v>980</v>
      </c>
      <c r="AR165" s="139" t="s">
        <v>981</v>
      </c>
      <c r="AS165" s="12">
        <v>45531</v>
      </c>
      <c r="AT165" s="148">
        <v>45896</v>
      </c>
      <c r="AU165" s="140">
        <v>-36</v>
      </c>
      <c r="AV165" s="149" t="s">
        <v>1164</v>
      </c>
      <c r="AW165" s="12">
        <v>45890</v>
      </c>
      <c r="AX165" s="140">
        <v>-42</v>
      </c>
      <c r="AY165" s="149" t="s">
        <v>1164</v>
      </c>
      <c r="AZ165" s="11"/>
      <c r="BA165" s="11" t="s">
        <v>575</v>
      </c>
    </row>
    <row r="166" spans="38:53" x14ac:dyDescent="0.3">
      <c r="AL166" s="147" t="s">
        <v>1229</v>
      </c>
      <c r="AM166" s="139" t="s">
        <v>1038</v>
      </c>
      <c r="AN166" s="139" t="s">
        <v>979</v>
      </c>
      <c r="AO166" s="139" t="s">
        <v>971</v>
      </c>
      <c r="AP166" s="139" t="s">
        <v>972</v>
      </c>
      <c r="AQ166" s="139" t="s">
        <v>973</v>
      </c>
      <c r="AR166" s="139" t="s">
        <v>974</v>
      </c>
      <c r="AS166" s="12">
        <v>45482</v>
      </c>
      <c r="AT166" s="148">
        <v>45847</v>
      </c>
      <c r="AU166" s="140">
        <v>-85</v>
      </c>
      <c r="AV166" s="149" t="s">
        <v>1164</v>
      </c>
      <c r="AW166" s="12">
        <v>45933</v>
      </c>
      <c r="AX166" s="140">
        <v>1</v>
      </c>
      <c r="AY166" s="149" t="s">
        <v>1164</v>
      </c>
      <c r="AZ166" s="11"/>
      <c r="BA166" s="11" t="s">
        <v>575</v>
      </c>
    </row>
    <row r="167" spans="38:53" x14ac:dyDescent="0.3">
      <c r="AL167" s="147" t="s">
        <v>1230</v>
      </c>
      <c r="AM167" s="139" t="s">
        <v>1038</v>
      </c>
      <c r="AN167" s="139" t="s">
        <v>979</v>
      </c>
      <c r="AO167" s="139" t="s">
        <v>971</v>
      </c>
      <c r="AP167" s="139" t="s">
        <v>972</v>
      </c>
      <c r="AQ167" s="139" t="s">
        <v>980</v>
      </c>
      <c r="AR167" s="139" t="s">
        <v>981</v>
      </c>
      <c r="AS167" s="12">
        <v>45535</v>
      </c>
      <c r="AT167" s="148">
        <v>45900</v>
      </c>
      <c r="AU167" s="140">
        <v>-32</v>
      </c>
      <c r="AV167" s="149" t="s">
        <v>1164</v>
      </c>
      <c r="AW167" s="12">
        <v>45955</v>
      </c>
      <c r="AX167" s="140">
        <v>23</v>
      </c>
      <c r="AY167" s="149" t="s">
        <v>1163</v>
      </c>
      <c r="AZ167" s="11"/>
      <c r="BA167" s="11" t="s">
        <v>575</v>
      </c>
    </row>
    <row r="168" spans="38:53" x14ac:dyDescent="0.3">
      <c r="AL168" s="147" t="s">
        <v>1231</v>
      </c>
      <c r="AM168" s="139" t="s">
        <v>978</v>
      </c>
      <c r="AN168" s="139" t="s">
        <v>979</v>
      </c>
      <c r="AO168" s="139" t="s">
        <v>971</v>
      </c>
      <c r="AP168" s="139" t="s">
        <v>972</v>
      </c>
      <c r="AQ168" s="139" t="s">
        <v>1018</v>
      </c>
      <c r="AR168" s="139" t="s">
        <v>1004</v>
      </c>
      <c r="AS168" s="12">
        <v>45745</v>
      </c>
      <c r="AT168" s="148">
        <v>46110</v>
      </c>
      <c r="AU168" s="140">
        <v>178</v>
      </c>
      <c r="AV168" s="149" t="s">
        <v>1163</v>
      </c>
      <c r="AW168" s="12">
        <v>46001</v>
      </c>
      <c r="AX168" s="140">
        <v>69</v>
      </c>
      <c r="AY168" s="149" t="s">
        <v>1163</v>
      </c>
      <c r="AZ168" s="11"/>
      <c r="BA168" s="11" t="s">
        <v>575</v>
      </c>
    </row>
    <row r="169" spans="38:53" x14ac:dyDescent="0.3">
      <c r="AL169" s="147" t="s">
        <v>1232</v>
      </c>
      <c r="AM169" s="139" t="s">
        <v>1025</v>
      </c>
      <c r="AN169" s="139" t="s">
        <v>970</v>
      </c>
      <c r="AO169" s="139" t="s">
        <v>966</v>
      </c>
      <c r="AP169" s="139" t="s">
        <v>972</v>
      </c>
      <c r="AQ169" s="139" t="s">
        <v>1026</v>
      </c>
      <c r="AR169" s="139" t="s">
        <v>994</v>
      </c>
      <c r="AS169" s="12">
        <v>45703</v>
      </c>
      <c r="AT169" s="148">
        <v>45884</v>
      </c>
      <c r="AU169" s="140">
        <v>-48</v>
      </c>
      <c r="AV169" s="149" t="s">
        <v>1164</v>
      </c>
      <c r="AW169" s="12">
        <v>46103</v>
      </c>
      <c r="AX169" s="140">
        <v>171</v>
      </c>
      <c r="AY169" s="149" t="s">
        <v>1163</v>
      </c>
      <c r="AZ169" s="11"/>
      <c r="BA169" s="11" t="s">
        <v>575</v>
      </c>
    </row>
    <row r="170" spans="38:53" x14ac:dyDescent="0.3">
      <c r="AL170" s="147" t="s">
        <v>1233</v>
      </c>
      <c r="AM170" s="139" t="s">
        <v>978</v>
      </c>
      <c r="AN170" s="139" t="s">
        <v>979</v>
      </c>
      <c r="AO170" s="139" t="s">
        <v>985</v>
      </c>
      <c r="AP170" s="139" t="s">
        <v>992</v>
      </c>
      <c r="AQ170" s="139" t="s">
        <v>1234</v>
      </c>
      <c r="AR170" s="139" t="s">
        <v>994</v>
      </c>
      <c r="AS170" s="12">
        <v>45521</v>
      </c>
      <c r="AT170" s="148">
        <v>45886</v>
      </c>
      <c r="AU170" s="140">
        <v>-46</v>
      </c>
      <c r="AV170" s="149" t="s">
        <v>1164</v>
      </c>
      <c r="AW170" s="12">
        <v>45935</v>
      </c>
      <c r="AX170" s="140">
        <v>3</v>
      </c>
      <c r="AY170" s="149" t="s">
        <v>1164</v>
      </c>
      <c r="AZ170" s="11"/>
      <c r="BA170" s="11" t="s">
        <v>575</v>
      </c>
    </row>
    <row r="171" spans="38:53" x14ac:dyDescent="0.3">
      <c r="AL171" s="147" t="s">
        <v>1235</v>
      </c>
      <c r="AM171" s="139" t="s">
        <v>978</v>
      </c>
      <c r="AN171" s="139" t="s">
        <v>979</v>
      </c>
      <c r="AO171" s="139" t="s">
        <v>971</v>
      </c>
      <c r="AP171" s="139" t="s">
        <v>972</v>
      </c>
      <c r="AQ171" s="139" t="s">
        <v>973</v>
      </c>
      <c r="AR171" s="139" t="s">
        <v>974</v>
      </c>
      <c r="AS171" s="12">
        <v>45464</v>
      </c>
      <c r="AT171" s="148">
        <v>45829</v>
      </c>
      <c r="AU171" s="140">
        <v>-103</v>
      </c>
      <c r="AV171" s="149" t="s">
        <v>1164</v>
      </c>
      <c r="AW171" s="12">
        <v>45935</v>
      </c>
      <c r="AX171" s="140">
        <v>3</v>
      </c>
      <c r="AY171" s="149" t="s">
        <v>1164</v>
      </c>
      <c r="AZ171" s="11"/>
      <c r="BA171" s="11" t="s">
        <v>575</v>
      </c>
    </row>
    <row r="172" spans="38:53" x14ac:dyDescent="0.3">
      <c r="AL172" s="147" t="s">
        <v>1236</v>
      </c>
      <c r="AM172" s="139" t="s">
        <v>978</v>
      </c>
      <c r="AN172" s="139" t="s">
        <v>979</v>
      </c>
      <c r="AO172" s="139" t="s">
        <v>985</v>
      </c>
      <c r="AP172" s="139" t="s">
        <v>1002</v>
      </c>
      <c r="AQ172" s="139" t="s">
        <v>1237</v>
      </c>
      <c r="AR172" s="139" t="s">
        <v>1004</v>
      </c>
      <c r="AS172" s="12">
        <v>45758</v>
      </c>
      <c r="AT172" s="148">
        <v>46123</v>
      </c>
      <c r="AU172" s="140">
        <v>191</v>
      </c>
      <c r="AV172" s="149" t="s">
        <v>1163</v>
      </c>
      <c r="AW172" s="12">
        <v>45972</v>
      </c>
      <c r="AX172" s="140">
        <v>40</v>
      </c>
      <c r="AY172" s="149" t="s">
        <v>1163</v>
      </c>
      <c r="AZ172" s="11" t="s">
        <v>1238</v>
      </c>
      <c r="BA172" s="11" t="s">
        <v>575</v>
      </c>
    </row>
    <row r="173" spans="38:53" x14ac:dyDescent="0.3">
      <c r="AL173" s="147" t="s">
        <v>1239</v>
      </c>
      <c r="AM173" s="139" t="s">
        <v>978</v>
      </c>
      <c r="AN173" s="139" t="s">
        <v>979</v>
      </c>
      <c r="AO173" s="139" t="s">
        <v>971</v>
      </c>
      <c r="AP173" s="139" t="s">
        <v>972</v>
      </c>
      <c r="AQ173" s="139" t="s">
        <v>1018</v>
      </c>
      <c r="AR173" s="139" t="s">
        <v>1004</v>
      </c>
      <c r="AS173" s="12">
        <v>45758</v>
      </c>
      <c r="AT173" s="148">
        <v>46123</v>
      </c>
      <c r="AU173" s="140">
        <v>191</v>
      </c>
      <c r="AV173" s="149" t="s">
        <v>1163</v>
      </c>
      <c r="AW173" s="12">
        <v>46001</v>
      </c>
      <c r="AX173" s="140">
        <v>69</v>
      </c>
      <c r="AY173" s="149" t="s">
        <v>1163</v>
      </c>
      <c r="AZ173" s="11"/>
      <c r="BA173" s="11" t="s">
        <v>575</v>
      </c>
    </row>
    <row r="174" spans="38:53" x14ac:dyDescent="0.3">
      <c r="AL174" s="147" t="s">
        <v>251</v>
      </c>
      <c r="AM174" s="139" t="s">
        <v>991</v>
      </c>
      <c r="AN174" s="139" t="s">
        <v>966</v>
      </c>
      <c r="AO174" s="139" t="s">
        <v>985</v>
      </c>
      <c r="AP174" s="139" t="s">
        <v>992</v>
      </c>
      <c r="AQ174" s="139" t="s">
        <v>993</v>
      </c>
      <c r="AR174" s="139" t="s">
        <v>994</v>
      </c>
      <c r="AS174" s="12">
        <v>45708</v>
      </c>
      <c r="AT174" s="148">
        <v>45889</v>
      </c>
      <c r="AU174" s="140">
        <v>-43</v>
      </c>
      <c r="AV174" s="149" t="s">
        <v>1164</v>
      </c>
      <c r="AW174" s="12">
        <v>46013</v>
      </c>
      <c r="AX174" s="140">
        <v>81</v>
      </c>
      <c r="AY174" s="149" t="s">
        <v>1163</v>
      </c>
      <c r="AZ174" s="11"/>
      <c r="BA174" s="11" t="s">
        <v>250</v>
      </c>
    </row>
    <row r="175" spans="38:53" x14ac:dyDescent="0.3">
      <c r="AL175" s="147" t="s">
        <v>196</v>
      </c>
      <c r="AM175" s="139" t="s">
        <v>1006</v>
      </c>
      <c r="AN175" s="139" t="s">
        <v>966</v>
      </c>
      <c r="AO175" s="139" t="s">
        <v>985</v>
      </c>
      <c r="AP175" s="139" t="s">
        <v>1205</v>
      </c>
      <c r="AQ175" s="139" t="s">
        <v>1240</v>
      </c>
      <c r="AR175" s="139" t="s">
        <v>1004</v>
      </c>
      <c r="AS175" s="12">
        <v>45033</v>
      </c>
      <c r="AT175" s="148">
        <v>46129</v>
      </c>
      <c r="AU175" s="140">
        <v>197</v>
      </c>
      <c r="AV175" s="149" t="s">
        <v>1163</v>
      </c>
      <c r="AW175" s="12">
        <v>45978</v>
      </c>
      <c r="AX175" s="140">
        <v>46</v>
      </c>
      <c r="AY175" s="149" t="s">
        <v>1163</v>
      </c>
      <c r="AZ175" s="11"/>
      <c r="BA175" s="11" t="s">
        <v>184</v>
      </c>
    </row>
    <row r="176" spans="38:53" x14ac:dyDescent="0.3">
      <c r="AL176" s="147" t="s">
        <v>1241</v>
      </c>
      <c r="AM176" s="139" t="s">
        <v>978</v>
      </c>
      <c r="AN176" s="139" t="s">
        <v>979</v>
      </c>
      <c r="AO176" s="139" t="s">
        <v>971</v>
      </c>
      <c r="AP176" s="139" t="s">
        <v>972</v>
      </c>
      <c r="AQ176" s="139" t="s">
        <v>1018</v>
      </c>
      <c r="AR176" s="139" t="s">
        <v>974</v>
      </c>
      <c r="AS176" s="12">
        <v>45533</v>
      </c>
      <c r="AT176" s="148">
        <v>45898</v>
      </c>
      <c r="AU176" s="140">
        <v>-34</v>
      </c>
      <c r="AV176" s="149" t="s">
        <v>1164</v>
      </c>
      <c r="AW176" s="12">
        <v>45935</v>
      </c>
      <c r="AX176" s="140">
        <v>3</v>
      </c>
      <c r="AY176" s="149" t="s">
        <v>1164</v>
      </c>
      <c r="AZ176" s="11"/>
      <c r="BA176" s="11" t="s">
        <v>575</v>
      </c>
    </row>
    <row r="177" spans="38:53" x14ac:dyDescent="0.3">
      <c r="AL177" s="147" t="s">
        <v>1242</v>
      </c>
      <c r="AM177" s="139" t="s">
        <v>969</v>
      </c>
      <c r="AN177" s="139" t="s">
        <v>979</v>
      </c>
      <c r="AO177" s="139" t="s">
        <v>985</v>
      </c>
      <c r="AP177" s="139" t="s">
        <v>992</v>
      </c>
      <c r="AQ177" s="139" t="s">
        <v>1016</v>
      </c>
      <c r="AR177" s="139" t="s">
        <v>994</v>
      </c>
      <c r="AS177" s="12">
        <v>45527</v>
      </c>
      <c r="AT177" s="148">
        <v>45892</v>
      </c>
      <c r="AU177" s="140">
        <v>-40</v>
      </c>
      <c r="AV177" s="149" t="s">
        <v>1164</v>
      </c>
      <c r="AW177" s="12">
        <v>45893</v>
      </c>
      <c r="AX177" s="140">
        <v>-39</v>
      </c>
      <c r="AY177" s="149" t="s">
        <v>1164</v>
      </c>
      <c r="AZ177" s="11"/>
      <c r="BA177" s="11" t="s">
        <v>575</v>
      </c>
    </row>
    <row r="178" spans="38:53" x14ac:dyDescent="0.3">
      <c r="AL178" s="147" t="s">
        <v>247</v>
      </c>
      <c r="AM178" s="139" t="s">
        <v>991</v>
      </c>
      <c r="AN178" s="139" t="s">
        <v>966</v>
      </c>
      <c r="AO178" s="139" t="s">
        <v>985</v>
      </c>
      <c r="AP178" s="139" t="s">
        <v>992</v>
      </c>
      <c r="AQ178" s="139" t="s">
        <v>1087</v>
      </c>
      <c r="AR178" s="139" t="s">
        <v>994</v>
      </c>
      <c r="AS178" s="12">
        <v>45715</v>
      </c>
      <c r="AT178" s="148">
        <v>45896</v>
      </c>
      <c r="AU178" s="140">
        <v>-36</v>
      </c>
      <c r="AV178" s="149" t="s">
        <v>1164</v>
      </c>
      <c r="AW178" s="12">
        <v>46013</v>
      </c>
      <c r="AX178" s="140">
        <v>81</v>
      </c>
      <c r="AY178" s="149" t="s">
        <v>1163</v>
      </c>
      <c r="AZ178" s="11"/>
      <c r="BA178" s="11" t="s">
        <v>250</v>
      </c>
    </row>
    <row r="179" spans="38:53" x14ac:dyDescent="0.3">
      <c r="AL179" s="147" t="s">
        <v>1243</v>
      </c>
      <c r="AM179" s="139" t="s">
        <v>1038</v>
      </c>
      <c r="AN179" s="139" t="s">
        <v>979</v>
      </c>
      <c r="AO179" s="139" t="s">
        <v>971</v>
      </c>
      <c r="AP179" s="139" t="s">
        <v>972</v>
      </c>
      <c r="AQ179" s="139" t="s">
        <v>973</v>
      </c>
      <c r="AR179" s="139" t="s">
        <v>988</v>
      </c>
      <c r="AS179" s="12">
        <v>45472</v>
      </c>
      <c r="AT179" s="148">
        <v>45837</v>
      </c>
      <c r="AU179" s="140">
        <v>-95</v>
      </c>
      <c r="AV179" s="149" t="s">
        <v>1164</v>
      </c>
      <c r="AW179" s="12">
        <v>45897</v>
      </c>
      <c r="AX179" s="140">
        <v>-35</v>
      </c>
      <c r="AY179" s="149" t="s">
        <v>1164</v>
      </c>
      <c r="AZ179" s="11"/>
      <c r="BA179" s="11" t="s">
        <v>575</v>
      </c>
    </row>
    <row r="180" spans="38:53" x14ac:dyDescent="0.3">
      <c r="AL180" s="147" t="s">
        <v>1244</v>
      </c>
      <c r="AM180" s="139" t="s">
        <v>1006</v>
      </c>
      <c r="AN180" s="139" t="s">
        <v>979</v>
      </c>
      <c r="AO180" s="139" t="s">
        <v>985</v>
      </c>
      <c r="AP180" s="139" t="s">
        <v>992</v>
      </c>
      <c r="AQ180" s="139" t="s">
        <v>1197</v>
      </c>
      <c r="AR180" s="139" t="s">
        <v>994</v>
      </c>
      <c r="AS180" s="148">
        <v>45531</v>
      </c>
      <c r="AT180" s="148">
        <v>45896</v>
      </c>
      <c r="AU180" s="140">
        <v>-36</v>
      </c>
      <c r="AV180" s="149" t="s">
        <v>1164</v>
      </c>
      <c r="AW180" s="148">
        <v>46082</v>
      </c>
      <c r="AX180" s="140">
        <v>150</v>
      </c>
      <c r="AY180" s="149" t="s">
        <v>1163</v>
      </c>
      <c r="AZ180" s="11"/>
      <c r="BA180" s="11" t="s">
        <v>575</v>
      </c>
    </row>
    <row r="181" spans="38:53" x14ac:dyDescent="0.3">
      <c r="AL181" s="147" t="s">
        <v>1245</v>
      </c>
      <c r="AM181" s="139" t="s">
        <v>1038</v>
      </c>
      <c r="AN181" s="139" t="s">
        <v>979</v>
      </c>
      <c r="AO181" s="139" t="s">
        <v>971</v>
      </c>
      <c r="AP181" s="139" t="s">
        <v>972</v>
      </c>
      <c r="AQ181" s="139" t="s">
        <v>973</v>
      </c>
      <c r="AR181" s="139" t="s">
        <v>974</v>
      </c>
      <c r="AS181" s="12">
        <v>45481</v>
      </c>
      <c r="AT181" s="148">
        <v>45846</v>
      </c>
      <c r="AU181" s="140">
        <v>-86</v>
      </c>
      <c r="AV181" s="149" t="s">
        <v>1164</v>
      </c>
      <c r="AW181" s="12">
        <v>45940</v>
      </c>
      <c r="AX181" s="140">
        <v>8</v>
      </c>
      <c r="AY181" s="149" t="s">
        <v>975</v>
      </c>
      <c r="AZ181" s="11"/>
      <c r="BA181" s="11" t="s">
        <v>575</v>
      </c>
    </row>
    <row r="182" spans="38:53" x14ac:dyDescent="0.3">
      <c r="AL182" s="147" t="s">
        <v>1246</v>
      </c>
      <c r="AM182" s="139" t="s">
        <v>1038</v>
      </c>
      <c r="AN182" s="139" t="s">
        <v>979</v>
      </c>
      <c r="AO182" s="139" t="s">
        <v>971</v>
      </c>
      <c r="AP182" s="139" t="s">
        <v>972</v>
      </c>
      <c r="AQ182" s="139" t="s">
        <v>973</v>
      </c>
      <c r="AR182" s="139" t="s">
        <v>974</v>
      </c>
      <c r="AS182" s="12">
        <v>45481</v>
      </c>
      <c r="AT182" s="148">
        <v>45846</v>
      </c>
      <c r="AU182" s="140">
        <v>-86</v>
      </c>
      <c r="AV182" s="149" t="s">
        <v>1164</v>
      </c>
      <c r="AW182" s="12">
        <v>45940</v>
      </c>
      <c r="AX182" s="140">
        <v>8</v>
      </c>
      <c r="AY182" s="149" t="s">
        <v>975</v>
      </c>
      <c r="AZ182" s="11"/>
      <c r="BA182" s="11" t="s">
        <v>575</v>
      </c>
    </row>
    <row r="183" spans="38:53" x14ac:dyDescent="0.3">
      <c r="AL183" s="147" t="s">
        <v>1247</v>
      </c>
      <c r="AM183" s="139" t="s">
        <v>1038</v>
      </c>
      <c r="AN183" s="139" t="s">
        <v>979</v>
      </c>
      <c r="AO183" s="139" t="s">
        <v>971</v>
      </c>
      <c r="AP183" s="139" t="s">
        <v>972</v>
      </c>
      <c r="AQ183" s="139" t="s">
        <v>973</v>
      </c>
      <c r="AR183" s="139" t="s">
        <v>974</v>
      </c>
      <c r="AS183" s="12">
        <v>45531</v>
      </c>
      <c r="AT183" s="148">
        <v>45896</v>
      </c>
      <c r="AU183" s="140">
        <v>-36</v>
      </c>
      <c r="AV183" s="149" t="s">
        <v>1164</v>
      </c>
      <c r="AW183" s="12">
        <v>45940</v>
      </c>
      <c r="AX183" s="140">
        <v>8</v>
      </c>
      <c r="AY183" s="149" t="s">
        <v>975</v>
      </c>
      <c r="AZ183" s="11"/>
      <c r="BA183" s="11" t="s">
        <v>575</v>
      </c>
    </row>
    <row r="184" spans="38:53" x14ac:dyDescent="0.3">
      <c r="AL184" s="147" t="s">
        <v>1248</v>
      </c>
      <c r="AM184" s="139" t="s">
        <v>969</v>
      </c>
      <c r="AN184" s="139" t="s">
        <v>979</v>
      </c>
      <c r="AO184" s="139" t="s">
        <v>985</v>
      </c>
      <c r="AP184" s="139" t="s">
        <v>992</v>
      </c>
      <c r="AQ184" s="139" t="s">
        <v>1016</v>
      </c>
      <c r="AR184" s="139" t="s">
        <v>994</v>
      </c>
      <c r="AS184" s="12">
        <v>45535</v>
      </c>
      <c r="AT184" s="148">
        <v>45900</v>
      </c>
      <c r="AU184" s="140">
        <v>-32</v>
      </c>
      <c r="AV184" s="149" t="s">
        <v>1164</v>
      </c>
      <c r="AW184" s="12">
        <v>45893</v>
      </c>
      <c r="AX184" s="140">
        <v>-39</v>
      </c>
      <c r="AY184" s="149" t="s">
        <v>1164</v>
      </c>
      <c r="AZ184" s="11"/>
      <c r="BA184" s="11" t="s">
        <v>575</v>
      </c>
    </row>
    <row r="185" spans="38:53" x14ac:dyDescent="0.3">
      <c r="AL185" s="147" t="s">
        <v>1249</v>
      </c>
      <c r="AM185" s="139" t="s">
        <v>978</v>
      </c>
      <c r="AN185" s="139" t="s">
        <v>979</v>
      </c>
      <c r="AO185" s="139" t="s">
        <v>966</v>
      </c>
      <c r="AP185" s="139" t="s">
        <v>972</v>
      </c>
      <c r="AQ185" s="139" t="s">
        <v>1250</v>
      </c>
      <c r="AR185" s="139" t="s">
        <v>994</v>
      </c>
      <c r="AS185" s="12">
        <v>45535</v>
      </c>
      <c r="AT185" s="148">
        <v>45900</v>
      </c>
      <c r="AU185" s="140">
        <v>-32</v>
      </c>
      <c r="AV185" s="149" t="s">
        <v>1164</v>
      </c>
      <c r="AW185" s="12">
        <v>45935</v>
      </c>
      <c r="AX185" s="140">
        <v>3</v>
      </c>
      <c r="AY185" s="149" t="s">
        <v>1164</v>
      </c>
      <c r="AZ185" s="11"/>
      <c r="BA185" s="11" t="s">
        <v>575</v>
      </c>
    </row>
    <row r="186" spans="38:53" x14ac:dyDescent="0.3">
      <c r="AL186" s="147" t="s">
        <v>1251</v>
      </c>
      <c r="AM186" s="139" t="s">
        <v>1038</v>
      </c>
      <c r="AN186" s="139" t="s">
        <v>979</v>
      </c>
      <c r="AO186" s="139" t="s">
        <v>971</v>
      </c>
      <c r="AP186" s="139" t="s">
        <v>972</v>
      </c>
      <c r="AQ186" s="139" t="s">
        <v>1055</v>
      </c>
      <c r="AR186" s="139" t="s">
        <v>974</v>
      </c>
      <c r="AS186" s="12">
        <v>45568</v>
      </c>
      <c r="AT186" s="148">
        <v>45933</v>
      </c>
      <c r="AU186" s="140">
        <v>1</v>
      </c>
      <c r="AV186" s="149" t="s">
        <v>975</v>
      </c>
      <c r="AW186" s="12">
        <v>45940</v>
      </c>
      <c r="AX186" s="140">
        <v>8</v>
      </c>
      <c r="AY186" s="149" t="s">
        <v>975</v>
      </c>
      <c r="AZ186" s="11"/>
      <c r="BA186" s="11" t="s">
        <v>575</v>
      </c>
    </row>
    <row r="187" spans="38:53" x14ac:dyDescent="0.3">
      <c r="AL187" s="147" t="s">
        <v>1252</v>
      </c>
      <c r="AM187" s="139" t="s">
        <v>1038</v>
      </c>
      <c r="AN187" s="139" t="s">
        <v>979</v>
      </c>
      <c r="AO187" s="139" t="s">
        <v>971</v>
      </c>
      <c r="AP187" s="139" t="s">
        <v>972</v>
      </c>
      <c r="AQ187" s="139" t="s">
        <v>973</v>
      </c>
      <c r="AR187" s="139" t="s">
        <v>974</v>
      </c>
      <c r="AS187" s="12">
        <v>45523</v>
      </c>
      <c r="AT187" s="148">
        <v>45888</v>
      </c>
      <c r="AU187" s="140">
        <v>-44</v>
      </c>
      <c r="AV187" s="149" t="s">
        <v>1164</v>
      </c>
      <c r="AW187" s="12">
        <v>45940</v>
      </c>
      <c r="AX187" s="140">
        <v>8</v>
      </c>
      <c r="AY187" s="149" t="s">
        <v>975</v>
      </c>
      <c r="AZ187" s="11"/>
      <c r="BA187" s="11" t="s">
        <v>575</v>
      </c>
    </row>
    <row r="188" spans="38:53" x14ac:dyDescent="0.3">
      <c r="AL188" s="147" t="s">
        <v>1253</v>
      </c>
      <c r="AM188" s="139" t="s">
        <v>1038</v>
      </c>
      <c r="AN188" s="139" t="s">
        <v>979</v>
      </c>
      <c r="AO188" s="139" t="s">
        <v>996</v>
      </c>
      <c r="AP188" s="139" t="s">
        <v>997</v>
      </c>
      <c r="AQ188" s="139" t="s">
        <v>998</v>
      </c>
      <c r="AR188" s="139" t="s">
        <v>974</v>
      </c>
      <c r="AS188" s="12">
        <v>45476</v>
      </c>
      <c r="AT188" s="148">
        <v>45841</v>
      </c>
      <c r="AU188" s="140">
        <v>-91</v>
      </c>
      <c r="AV188" s="149" t="s">
        <v>1164</v>
      </c>
      <c r="AW188" s="12">
        <v>45940</v>
      </c>
      <c r="AX188" s="140">
        <v>8</v>
      </c>
      <c r="AY188" s="149" t="s">
        <v>975</v>
      </c>
      <c r="AZ188" s="11"/>
      <c r="BA188" s="11" t="s">
        <v>575</v>
      </c>
    </row>
    <row r="189" spans="38:53" x14ac:dyDescent="0.3">
      <c r="AL189" s="147" t="s">
        <v>1254</v>
      </c>
      <c r="AM189" s="139" t="s">
        <v>1038</v>
      </c>
      <c r="AN189" s="139" t="s">
        <v>979</v>
      </c>
      <c r="AO189" s="139" t="s">
        <v>971</v>
      </c>
      <c r="AP189" s="139" t="s">
        <v>972</v>
      </c>
      <c r="AQ189" s="139" t="s">
        <v>1055</v>
      </c>
      <c r="AR189" s="139" t="s">
        <v>974</v>
      </c>
      <c r="AS189" s="12">
        <v>45577</v>
      </c>
      <c r="AT189" s="148">
        <v>45942</v>
      </c>
      <c r="AU189" s="140">
        <v>10</v>
      </c>
      <c r="AV189" s="149" t="s">
        <v>1163</v>
      </c>
      <c r="AW189" s="12">
        <v>45946</v>
      </c>
      <c r="AX189" s="140">
        <v>14</v>
      </c>
      <c r="AY189" s="149" t="s">
        <v>975</v>
      </c>
      <c r="AZ189" s="11"/>
      <c r="BA189" s="11" t="s">
        <v>575</v>
      </c>
    </row>
    <row r="190" spans="38:53" x14ac:dyDescent="0.3">
      <c r="AL190" s="147" t="s">
        <v>1255</v>
      </c>
      <c r="AM190" s="139" t="s">
        <v>1038</v>
      </c>
      <c r="AN190" s="139" t="s">
        <v>979</v>
      </c>
      <c r="AO190" s="139" t="s">
        <v>971</v>
      </c>
      <c r="AP190" s="139" t="s">
        <v>972</v>
      </c>
      <c r="AQ190" s="139" t="s">
        <v>973</v>
      </c>
      <c r="AR190" s="139" t="s">
        <v>974</v>
      </c>
      <c r="AS190" s="12">
        <v>45536</v>
      </c>
      <c r="AT190" s="148">
        <v>45901</v>
      </c>
      <c r="AU190" s="140">
        <v>-31</v>
      </c>
      <c r="AV190" s="149" t="s">
        <v>1164</v>
      </c>
      <c r="AW190" s="12">
        <v>45950</v>
      </c>
      <c r="AX190" s="140">
        <v>18</v>
      </c>
      <c r="AY190" s="149" t="s">
        <v>975</v>
      </c>
      <c r="AZ190" s="11"/>
      <c r="BA190" s="11" t="s">
        <v>575</v>
      </c>
    </row>
    <row r="191" spans="38:53" x14ac:dyDescent="0.3">
      <c r="AL191" s="147" t="s">
        <v>1256</v>
      </c>
      <c r="AM191" s="139" t="s">
        <v>1038</v>
      </c>
      <c r="AN191" s="139" t="s">
        <v>979</v>
      </c>
      <c r="AO191" s="139" t="s">
        <v>971</v>
      </c>
      <c r="AP191" s="139" t="s">
        <v>972</v>
      </c>
      <c r="AQ191" s="139" t="s">
        <v>973</v>
      </c>
      <c r="AR191" s="139" t="s">
        <v>974</v>
      </c>
      <c r="AS191" s="12">
        <v>45535</v>
      </c>
      <c r="AT191" s="148">
        <v>45900</v>
      </c>
      <c r="AU191" s="140">
        <v>-32</v>
      </c>
      <c r="AV191" s="149" t="s">
        <v>1164</v>
      </c>
      <c r="AW191" s="12">
        <v>45950</v>
      </c>
      <c r="AX191" s="140">
        <v>18</v>
      </c>
      <c r="AY191" s="149" t="s">
        <v>975</v>
      </c>
      <c r="AZ191" s="11"/>
      <c r="BA191" s="11" t="s">
        <v>575</v>
      </c>
    </row>
    <row r="192" spans="38:53" x14ac:dyDescent="0.3">
      <c r="AL192" s="147" t="s">
        <v>1257</v>
      </c>
      <c r="AM192" s="139" t="s">
        <v>1038</v>
      </c>
      <c r="AN192" s="139" t="s">
        <v>979</v>
      </c>
      <c r="AO192" s="139" t="s">
        <v>971</v>
      </c>
      <c r="AP192" s="139" t="s">
        <v>972</v>
      </c>
      <c r="AQ192" s="139" t="s">
        <v>973</v>
      </c>
      <c r="AR192" s="139" t="s">
        <v>974</v>
      </c>
      <c r="AS192" s="12">
        <v>45541</v>
      </c>
      <c r="AT192" s="148">
        <v>45906</v>
      </c>
      <c r="AU192" s="140">
        <v>-26</v>
      </c>
      <c r="AV192" s="149" t="s">
        <v>1164</v>
      </c>
      <c r="AW192" s="12">
        <v>45950</v>
      </c>
      <c r="AX192" s="140">
        <v>18</v>
      </c>
      <c r="AY192" s="149" t="s">
        <v>975</v>
      </c>
      <c r="AZ192" s="11"/>
      <c r="BA192" s="11" t="s">
        <v>575</v>
      </c>
    </row>
    <row r="193" spans="38:53" x14ac:dyDescent="0.3">
      <c r="AL193" s="147" t="s">
        <v>1258</v>
      </c>
      <c r="AM193" s="139" t="s">
        <v>1038</v>
      </c>
      <c r="AN193" s="139" t="s">
        <v>979</v>
      </c>
      <c r="AO193" s="139" t="s">
        <v>971</v>
      </c>
      <c r="AP193" s="139" t="s">
        <v>972</v>
      </c>
      <c r="AQ193" s="139" t="s">
        <v>973</v>
      </c>
      <c r="AR193" s="139" t="s">
        <v>974</v>
      </c>
      <c r="AS193" s="12">
        <v>45539</v>
      </c>
      <c r="AT193" s="148">
        <v>45904</v>
      </c>
      <c r="AU193" s="140">
        <v>-28</v>
      </c>
      <c r="AV193" s="149" t="s">
        <v>1164</v>
      </c>
      <c r="AW193" s="12">
        <v>45950</v>
      </c>
      <c r="AX193" s="140">
        <v>18</v>
      </c>
      <c r="AY193" s="149" t="s">
        <v>975</v>
      </c>
      <c r="AZ193" s="11"/>
      <c r="BA193" s="11" t="s">
        <v>575</v>
      </c>
    </row>
    <row r="194" spans="38:53" x14ac:dyDescent="0.3">
      <c r="AL194" s="147" t="s">
        <v>1259</v>
      </c>
      <c r="AM194" s="139" t="s">
        <v>1038</v>
      </c>
      <c r="AN194" s="139" t="s">
        <v>979</v>
      </c>
      <c r="AO194" s="139" t="s">
        <v>971</v>
      </c>
      <c r="AP194" s="139" t="s">
        <v>972</v>
      </c>
      <c r="AQ194" s="139" t="s">
        <v>973</v>
      </c>
      <c r="AR194" s="139" t="s">
        <v>974</v>
      </c>
      <c r="AS194" s="12">
        <v>45541</v>
      </c>
      <c r="AT194" s="148">
        <v>45906</v>
      </c>
      <c r="AU194" s="140">
        <v>-26</v>
      </c>
      <c r="AV194" s="149" t="s">
        <v>1164</v>
      </c>
      <c r="AW194" s="12">
        <v>45950</v>
      </c>
      <c r="AX194" s="140">
        <v>18</v>
      </c>
      <c r="AY194" s="149" t="s">
        <v>975</v>
      </c>
      <c r="AZ194" s="11"/>
      <c r="BA194" s="11" t="s">
        <v>575</v>
      </c>
    </row>
    <row r="195" spans="38:53" x14ac:dyDescent="0.3">
      <c r="AL195" s="147" t="s">
        <v>1260</v>
      </c>
      <c r="AM195" s="139" t="s">
        <v>1038</v>
      </c>
      <c r="AN195" s="139" t="s">
        <v>979</v>
      </c>
      <c r="AO195" s="139" t="s">
        <v>971</v>
      </c>
      <c r="AP195" s="139" t="s">
        <v>972</v>
      </c>
      <c r="AQ195" s="139" t="s">
        <v>1052</v>
      </c>
      <c r="AR195" s="139" t="s">
        <v>974</v>
      </c>
      <c r="AS195" s="12">
        <v>45540</v>
      </c>
      <c r="AT195" s="148">
        <v>45905</v>
      </c>
      <c r="AU195" s="140">
        <v>-27</v>
      </c>
      <c r="AV195" s="149" t="s">
        <v>1164</v>
      </c>
      <c r="AW195" s="12">
        <v>45950</v>
      </c>
      <c r="AX195" s="140">
        <v>18</v>
      </c>
      <c r="AY195" s="149" t="s">
        <v>975</v>
      </c>
      <c r="AZ195" s="11"/>
      <c r="BA195" s="11" t="s">
        <v>575</v>
      </c>
    </row>
    <row r="196" spans="38:53" x14ac:dyDescent="0.3">
      <c r="AL196" s="147" t="s">
        <v>1261</v>
      </c>
      <c r="AM196" s="139" t="s">
        <v>1038</v>
      </c>
      <c r="AN196" s="139" t="s">
        <v>979</v>
      </c>
      <c r="AO196" s="139" t="s">
        <v>971</v>
      </c>
      <c r="AP196" s="139" t="s">
        <v>972</v>
      </c>
      <c r="AQ196" s="139" t="s">
        <v>1055</v>
      </c>
      <c r="AR196" s="139" t="s">
        <v>974</v>
      </c>
      <c r="AS196" s="12">
        <v>45535</v>
      </c>
      <c r="AT196" s="148">
        <v>45900</v>
      </c>
      <c r="AU196" s="140">
        <v>-32</v>
      </c>
      <c r="AV196" s="149" t="s">
        <v>1164</v>
      </c>
      <c r="AW196" s="12">
        <v>45950</v>
      </c>
      <c r="AX196" s="140">
        <v>18</v>
      </c>
      <c r="AY196" s="149" t="s">
        <v>975</v>
      </c>
      <c r="AZ196" s="11"/>
      <c r="BA196" s="11" t="s">
        <v>575</v>
      </c>
    </row>
    <row r="197" spans="38:53" x14ac:dyDescent="0.3">
      <c r="AL197" s="147" t="s">
        <v>1262</v>
      </c>
      <c r="AM197" s="139" t="s">
        <v>1038</v>
      </c>
      <c r="AN197" s="139" t="s">
        <v>979</v>
      </c>
      <c r="AO197" s="139" t="s">
        <v>971</v>
      </c>
      <c r="AP197" s="139" t="s">
        <v>972</v>
      </c>
      <c r="AQ197" s="139" t="s">
        <v>973</v>
      </c>
      <c r="AR197" s="139" t="s">
        <v>974</v>
      </c>
      <c r="AS197" s="12">
        <v>45539</v>
      </c>
      <c r="AT197" s="148">
        <v>45904</v>
      </c>
      <c r="AU197" s="140">
        <v>-28</v>
      </c>
      <c r="AV197" s="149" t="s">
        <v>1164</v>
      </c>
      <c r="AW197" s="12">
        <v>45950</v>
      </c>
      <c r="AX197" s="140">
        <v>18</v>
      </c>
      <c r="AY197" s="149" t="s">
        <v>975</v>
      </c>
      <c r="AZ197" s="11"/>
      <c r="BA197" s="11" t="s">
        <v>575</v>
      </c>
    </row>
    <row r="198" spans="38:53" x14ac:dyDescent="0.3">
      <c r="AL198" s="147" t="s">
        <v>1263</v>
      </c>
      <c r="AM198" s="139" t="s">
        <v>1038</v>
      </c>
      <c r="AN198" s="139" t="s">
        <v>979</v>
      </c>
      <c r="AO198" s="139" t="s">
        <v>971</v>
      </c>
      <c r="AP198" s="139" t="s">
        <v>972</v>
      </c>
      <c r="AQ198" s="139" t="s">
        <v>973</v>
      </c>
      <c r="AR198" s="139" t="s">
        <v>974</v>
      </c>
      <c r="AS198" s="12">
        <v>45542</v>
      </c>
      <c r="AT198" s="148">
        <v>45907</v>
      </c>
      <c r="AU198" s="140">
        <v>-25</v>
      </c>
      <c r="AV198" s="149" t="s">
        <v>1164</v>
      </c>
      <c r="AW198" s="12">
        <v>45950</v>
      </c>
      <c r="AX198" s="140">
        <v>18</v>
      </c>
      <c r="AY198" s="149" t="s">
        <v>975</v>
      </c>
      <c r="AZ198" s="11"/>
      <c r="BA198" s="11" t="s">
        <v>575</v>
      </c>
    </row>
    <row r="199" spans="38:53" x14ac:dyDescent="0.3">
      <c r="AL199" s="147" t="s">
        <v>193</v>
      </c>
      <c r="AM199" s="139" t="s">
        <v>1006</v>
      </c>
      <c r="AN199" s="139" t="s">
        <v>966</v>
      </c>
      <c r="AO199" s="139" t="s">
        <v>985</v>
      </c>
      <c r="AP199" s="139" t="s">
        <v>992</v>
      </c>
      <c r="AQ199" s="139" t="s">
        <v>1016</v>
      </c>
      <c r="AR199" s="139" t="s">
        <v>1004</v>
      </c>
      <c r="AS199" s="12">
        <v>45033</v>
      </c>
      <c r="AT199" s="148">
        <v>46129</v>
      </c>
      <c r="AU199" s="140">
        <v>197</v>
      </c>
      <c r="AV199" s="149" t="s">
        <v>1163</v>
      </c>
      <c r="AW199" s="12">
        <v>45978</v>
      </c>
      <c r="AX199" s="140">
        <v>46</v>
      </c>
      <c r="AY199" s="149" t="s">
        <v>1163</v>
      </c>
      <c r="AZ199" s="11"/>
      <c r="BA199" s="11" t="s">
        <v>184</v>
      </c>
    </row>
    <row r="200" spans="38:53" x14ac:dyDescent="0.3">
      <c r="AL200" s="147" t="s">
        <v>1264</v>
      </c>
      <c r="AM200" s="139" t="s">
        <v>1038</v>
      </c>
      <c r="AN200" s="139" t="s">
        <v>979</v>
      </c>
      <c r="AO200" s="139" t="s">
        <v>971</v>
      </c>
      <c r="AP200" s="139" t="s">
        <v>972</v>
      </c>
      <c r="AQ200" s="139" t="s">
        <v>973</v>
      </c>
      <c r="AR200" s="139" t="s">
        <v>974</v>
      </c>
      <c r="AS200" s="12">
        <v>45471</v>
      </c>
      <c r="AT200" s="148">
        <v>45836</v>
      </c>
      <c r="AU200" s="140">
        <v>-96</v>
      </c>
      <c r="AV200" s="149" t="s">
        <v>1164</v>
      </c>
      <c r="AW200" s="12">
        <v>45955</v>
      </c>
      <c r="AX200" s="140">
        <v>23</v>
      </c>
      <c r="AY200" s="149" t="s">
        <v>1163</v>
      </c>
      <c r="AZ200" s="11"/>
      <c r="BA200" s="11" t="s">
        <v>575</v>
      </c>
    </row>
    <row r="201" spans="38:53" x14ac:dyDescent="0.3">
      <c r="AL201" s="147" t="s">
        <v>1265</v>
      </c>
      <c r="AM201" s="139" t="s">
        <v>1038</v>
      </c>
      <c r="AN201" s="139" t="s">
        <v>979</v>
      </c>
      <c r="AO201" s="139" t="s">
        <v>971</v>
      </c>
      <c r="AP201" s="139" t="s">
        <v>972</v>
      </c>
      <c r="AQ201" s="139" t="s">
        <v>973</v>
      </c>
      <c r="AR201" s="139" t="s">
        <v>974</v>
      </c>
      <c r="AS201" s="12">
        <v>45514</v>
      </c>
      <c r="AT201" s="148">
        <v>45879</v>
      </c>
      <c r="AU201" s="140">
        <v>-53</v>
      </c>
      <c r="AV201" s="149" t="s">
        <v>1164</v>
      </c>
      <c r="AW201" s="12">
        <v>45955</v>
      </c>
      <c r="AX201" s="140">
        <v>23</v>
      </c>
      <c r="AY201" s="149" t="s">
        <v>1163</v>
      </c>
      <c r="AZ201" s="11"/>
      <c r="BA201" s="11" t="s">
        <v>575</v>
      </c>
    </row>
    <row r="202" spans="38:53" x14ac:dyDescent="0.3">
      <c r="AL202" s="147" t="s">
        <v>1266</v>
      </c>
      <c r="AM202" s="139" t="s">
        <v>1038</v>
      </c>
      <c r="AN202" s="139" t="s">
        <v>979</v>
      </c>
      <c r="AO202" s="139" t="s">
        <v>971</v>
      </c>
      <c r="AP202" s="139" t="s">
        <v>972</v>
      </c>
      <c r="AQ202" s="139" t="s">
        <v>980</v>
      </c>
      <c r="AR202" s="139" t="s">
        <v>981</v>
      </c>
      <c r="AS202" s="12">
        <v>45537</v>
      </c>
      <c r="AT202" s="148">
        <v>45902</v>
      </c>
      <c r="AU202" s="140">
        <v>-30</v>
      </c>
      <c r="AV202" s="149" t="s">
        <v>1164</v>
      </c>
      <c r="AW202" s="12">
        <v>45933</v>
      </c>
      <c r="AX202" s="140">
        <v>1</v>
      </c>
      <c r="AY202" s="149" t="s">
        <v>1164</v>
      </c>
      <c r="AZ202" s="11"/>
      <c r="BA202" s="11" t="s">
        <v>575</v>
      </c>
    </row>
    <row r="203" spans="38:53" x14ac:dyDescent="0.3">
      <c r="AL203" s="147" t="s">
        <v>1267</v>
      </c>
      <c r="AM203" s="139" t="s">
        <v>978</v>
      </c>
      <c r="AN203" s="139" t="s">
        <v>979</v>
      </c>
      <c r="AO203" s="139" t="s">
        <v>966</v>
      </c>
      <c r="AP203" s="139" t="s">
        <v>972</v>
      </c>
      <c r="AQ203" s="139" t="s">
        <v>1250</v>
      </c>
      <c r="AR203" s="139" t="s">
        <v>994</v>
      </c>
      <c r="AS203" s="12">
        <v>45535</v>
      </c>
      <c r="AT203" s="148">
        <v>45900</v>
      </c>
      <c r="AU203" s="140">
        <v>-32</v>
      </c>
      <c r="AV203" s="149" t="s">
        <v>1164</v>
      </c>
      <c r="AW203" s="12">
        <v>46001</v>
      </c>
      <c r="AX203" s="140">
        <v>69</v>
      </c>
      <c r="AY203" s="149" t="s">
        <v>1163</v>
      </c>
      <c r="AZ203" s="11"/>
      <c r="BA203" s="11" t="s">
        <v>575</v>
      </c>
    </row>
    <row r="204" spans="38:53" x14ac:dyDescent="0.3">
      <c r="AL204" s="147" t="s">
        <v>1268</v>
      </c>
      <c r="AM204" s="139" t="s">
        <v>1006</v>
      </c>
      <c r="AN204" s="139" t="s">
        <v>979</v>
      </c>
      <c r="AO204" s="139" t="s">
        <v>985</v>
      </c>
      <c r="AP204" s="139" t="s">
        <v>992</v>
      </c>
      <c r="AQ204" s="139" t="s">
        <v>993</v>
      </c>
      <c r="AR204" s="139" t="s">
        <v>994</v>
      </c>
      <c r="AS204" s="12">
        <v>45538</v>
      </c>
      <c r="AT204" s="148">
        <v>45903</v>
      </c>
      <c r="AU204" s="140">
        <v>-29</v>
      </c>
      <c r="AV204" s="149" t="s">
        <v>1164</v>
      </c>
      <c r="AW204" s="12">
        <v>45981</v>
      </c>
      <c r="AX204" s="140">
        <v>49</v>
      </c>
      <c r="AY204" s="149" t="s">
        <v>1163</v>
      </c>
      <c r="AZ204" s="11"/>
      <c r="BA204" s="11" t="s">
        <v>575</v>
      </c>
    </row>
    <row r="205" spans="38:53" x14ac:dyDescent="0.3">
      <c r="AL205" s="147" t="s">
        <v>197</v>
      </c>
      <c r="AM205" s="139" t="s">
        <v>991</v>
      </c>
      <c r="AN205" s="139" t="s">
        <v>966</v>
      </c>
      <c r="AO205" s="139" t="s">
        <v>985</v>
      </c>
      <c r="AP205" s="139" t="s">
        <v>992</v>
      </c>
      <c r="AQ205" s="139" t="s">
        <v>993</v>
      </c>
      <c r="AR205" s="139" t="s">
        <v>994</v>
      </c>
      <c r="AS205" s="12">
        <v>45719</v>
      </c>
      <c r="AT205" s="148">
        <v>45903</v>
      </c>
      <c r="AU205" s="140">
        <v>-29</v>
      </c>
      <c r="AV205" s="149" t="s">
        <v>1164</v>
      </c>
      <c r="AW205" s="12">
        <v>46061</v>
      </c>
      <c r="AX205" s="140">
        <v>129</v>
      </c>
      <c r="AY205" s="149" t="s">
        <v>1163</v>
      </c>
      <c r="AZ205" s="11"/>
      <c r="BA205" s="11" t="s">
        <v>200</v>
      </c>
    </row>
    <row r="206" spans="38:53" x14ac:dyDescent="0.3">
      <c r="AL206" s="147" t="s">
        <v>1269</v>
      </c>
      <c r="AM206" s="139" t="s">
        <v>978</v>
      </c>
      <c r="AN206" s="139" t="s">
        <v>979</v>
      </c>
      <c r="AO206" s="139" t="s">
        <v>996</v>
      </c>
      <c r="AP206" s="139" t="s">
        <v>997</v>
      </c>
      <c r="AQ206" s="139" t="s">
        <v>998</v>
      </c>
      <c r="AR206" s="139" t="s">
        <v>994</v>
      </c>
      <c r="AS206" s="12">
        <v>45542</v>
      </c>
      <c r="AT206" s="148">
        <v>45907</v>
      </c>
      <c r="AU206" s="140">
        <v>-25</v>
      </c>
      <c r="AV206" s="149" t="s">
        <v>1164</v>
      </c>
      <c r="AW206" s="12">
        <v>45935</v>
      </c>
      <c r="AX206" s="140">
        <v>3</v>
      </c>
      <c r="AY206" s="149" t="s">
        <v>1164</v>
      </c>
      <c r="AZ206" s="11"/>
      <c r="BA206" s="11" t="s">
        <v>575</v>
      </c>
    </row>
    <row r="207" spans="38:53" x14ac:dyDescent="0.3">
      <c r="AL207" s="147" t="s">
        <v>191</v>
      </c>
      <c r="AM207" s="139" t="s">
        <v>1006</v>
      </c>
      <c r="AN207" s="139" t="s">
        <v>966</v>
      </c>
      <c r="AO207" s="139" t="s">
        <v>985</v>
      </c>
      <c r="AP207" s="139" t="s">
        <v>992</v>
      </c>
      <c r="AQ207" s="139" t="s">
        <v>1172</v>
      </c>
      <c r="AR207" s="139" t="s">
        <v>1004</v>
      </c>
      <c r="AS207" s="12">
        <v>45033</v>
      </c>
      <c r="AT207" s="148">
        <v>46129</v>
      </c>
      <c r="AU207" s="140">
        <v>197</v>
      </c>
      <c r="AV207" s="149" t="s">
        <v>1163</v>
      </c>
      <c r="AW207" s="12">
        <v>45978</v>
      </c>
      <c r="AX207" s="140">
        <v>46</v>
      </c>
      <c r="AY207" s="149" t="s">
        <v>1163</v>
      </c>
      <c r="AZ207" s="11"/>
      <c r="BA207" s="11" t="s">
        <v>184</v>
      </c>
    </row>
    <row r="208" spans="38:53" x14ac:dyDescent="0.3">
      <c r="AL208" s="147" t="s">
        <v>1270</v>
      </c>
      <c r="AM208" s="139" t="s">
        <v>978</v>
      </c>
      <c r="AN208" s="139" t="s">
        <v>979</v>
      </c>
      <c r="AO208" s="139" t="s">
        <v>985</v>
      </c>
      <c r="AP208" s="139" t="s">
        <v>992</v>
      </c>
      <c r="AQ208" s="139" t="s">
        <v>1087</v>
      </c>
      <c r="AR208" s="139" t="s">
        <v>988</v>
      </c>
      <c r="AS208" s="12">
        <v>45474</v>
      </c>
      <c r="AT208" s="148">
        <v>45839</v>
      </c>
      <c r="AU208" s="140">
        <v>-93</v>
      </c>
      <c r="AV208" s="149" t="s">
        <v>1164</v>
      </c>
      <c r="AW208" s="12">
        <v>45970</v>
      </c>
      <c r="AX208" s="140">
        <v>38</v>
      </c>
      <c r="AY208" s="149" t="s">
        <v>1163</v>
      </c>
      <c r="AZ208" s="11"/>
      <c r="BA208" s="11" t="s">
        <v>575</v>
      </c>
    </row>
    <row r="209" spans="38:53" x14ac:dyDescent="0.3">
      <c r="AL209" s="147" t="s">
        <v>1271</v>
      </c>
      <c r="AM209" s="139" t="s">
        <v>978</v>
      </c>
      <c r="AN209" s="139" t="s">
        <v>979</v>
      </c>
      <c r="AO209" s="139" t="s">
        <v>996</v>
      </c>
      <c r="AP209" s="139" t="s">
        <v>997</v>
      </c>
      <c r="AQ209" s="139" t="s">
        <v>998</v>
      </c>
      <c r="AR209" s="139" t="s">
        <v>988</v>
      </c>
      <c r="AS209" s="12">
        <v>45476</v>
      </c>
      <c r="AT209" s="148">
        <v>45841</v>
      </c>
      <c r="AU209" s="140">
        <v>-91</v>
      </c>
      <c r="AV209" s="149" t="s">
        <v>1164</v>
      </c>
      <c r="AW209" s="12">
        <v>46154</v>
      </c>
      <c r="AX209" s="140">
        <v>222</v>
      </c>
      <c r="AY209" s="149" t="s">
        <v>1163</v>
      </c>
      <c r="AZ209" s="11"/>
      <c r="BA209" s="11" t="s">
        <v>575</v>
      </c>
    </row>
    <row r="210" spans="38:53" x14ac:dyDescent="0.3">
      <c r="AL210" s="147" t="s">
        <v>1272</v>
      </c>
      <c r="AM210" s="139" t="s">
        <v>1217</v>
      </c>
      <c r="AN210" s="139" t="s">
        <v>979</v>
      </c>
      <c r="AO210" s="139" t="s">
        <v>966</v>
      </c>
      <c r="AP210" s="139" t="s">
        <v>1060</v>
      </c>
      <c r="AQ210" s="139" t="s">
        <v>1061</v>
      </c>
      <c r="AR210" s="139" t="s">
        <v>994</v>
      </c>
      <c r="AS210" s="12">
        <v>45731</v>
      </c>
      <c r="AT210" s="148">
        <v>45915</v>
      </c>
      <c r="AU210" s="140">
        <v>-17</v>
      </c>
      <c r="AV210" s="149" t="s">
        <v>1164</v>
      </c>
      <c r="AW210" s="12">
        <v>45905</v>
      </c>
      <c r="AX210" s="140">
        <v>-27</v>
      </c>
      <c r="AY210" s="149" t="s">
        <v>1164</v>
      </c>
      <c r="AZ210" s="11"/>
      <c r="BA210" s="11" t="s">
        <v>575</v>
      </c>
    </row>
    <row r="211" spans="38:53" x14ac:dyDescent="0.3">
      <c r="AL211" s="147" t="s">
        <v>1273</v>
      </c>
      <c r="AM211" s="139" t="s">
        <v>1038</v>
      </c>
      <c r="AN211" s="139" t="s">
        <v>979</v>
      </c>
      <c r="AO211" s="139" t="s">
        <v>971</v>
      </c>
      <c r="AP211" s="139" t="s">
        <v>972</v>
      </c>
      <c r="AQ211" s="139" t="s">
        <v>973</v>
      </c>
      <c r="AR211" s="139" t="s">
        <v>988</v>
      </c>
      <c r="AS211" s="12">
        <v>45513</v>
      </c>
      <c r="AT211" s="148">
        <v>45878</v>
      </c>
      <c r="AU211" s="140">
        <v>-54</v>
      </c>
      <c r="AV211" s="149" t="s">
        <v>1164</v>
      </c>
      <c r="AW211" s="12">
        <v>45893</v>
      </c>
      <c r="AX211" s="140">
        <v>-39</v>
      </c>
      <c r="AY211" s="149" t="s">
        <v>1164</v>
      </c>
      <c r="AZ211" s="11"/>
      <c r="BA211" s="11" t="s">
        <v>575</v>
      </c>
    </row>
    <row r="212" spans="38:53" x14ac:dyDescent="0.3">
      <c r="AL212" s="147" t="s">
        <v>1274</v>
      </c>
      <c r="AM212" s="139" t="s">
        <v>978</v>
      </c>
      <c r="AN212" s="139" t="s">
        <v>979</v>
      </c>
      <c r="AO212" s="139" t="s">
        <v>971</v>
      </c>
      <c r="AP212" s="139" t="s">
        <v>972</v>
      </c>
      <c r="AQ212" s="139" t="s">
        <v>1018</v>
      </c>
      <c r="AR212" s="139" t="s">
        <v>988</v>
      </c>
      <c r="AS212" s="12">
        <v>45515</v>
      </c>
      <c r="AT212" s="148">
        <v>45880</v>
      </c>
      <c r="AU212" s="140">
        <v>-52</v>
      </c>
      <c r="AV212" s="149" t="s">
        <v>1164</v>
      </c>
      <c r="AW212" s="148">
        <v>45840</v>
      </c>
      <c r="AX212" s="140">
        <v>-92</v>
      </c>
      <c r="AY212" s="149" t="s">
        <v>1164</v>
      </c>
      <c r="AZ212" s="11"/>
      <c r="BA212" s="11" t="s">
        <v>575</v>
      </c>
    </row>
    <row r="213" spans="38:53" x14ac:dyDescent="0.3">
      <c r="AL213" s="147" t="s">
        <v>195</v>
      </c>
      <c r="AM213" s="139" t="s">
        <v>1006</v>
      </c>
      <c r="AN213" s="139" t="s">
        <v>966</v>
      </c>
      <c r="AO213" s="139" t="s">
        <v>985</v>
      </c>
      <c r="AP213" s="139" t="s">
        <v>992</v>
      </c>
      <c r="AQ213" s="139" t="s">
        <v>1175</v>
      </c>
      <c r="AR213" s="139" t="s">
        <v>1004</v>
      </c>
      <c r="AS213" s="12">
        <v>45033</v>
      </c>
      <c r="AT213" s="148">
        <v>46129</v>
      </c>
      <c r="AU213" s="140">
        <v>197</v>
      </c>
      <c r="AV213" s="149" t="s">
        <v>1163</v>
      </c>
      <c r="AW213" s="12">
        <v>45978</v>
      </c>
      <c r="AX213" s="140">
        <v>46</v>
      </c>
      <c r="AY213" s="149" t="s">
        <v>1163</v>
      </c>
      <c r="AZ213" s="11"/>
      <c r="BA213" s="11" t="s">
        <v>184</v>
      </c>
    </row>
    <row r="214" spans="38:53" x14ac:dyDescent="0.3">
      <c r="AL214" s="147" t="s">
        <v>1275</v>
      </c>
      <c r="AM214" s="139" t="s">
        <v>1109</v>
      </c>
      <c r="AN214" s="139" t="s">
        <v>979</v>
      </c>
      <c r="AO214" s="139" t="s">
        <v>971</v>
      </c>
      <c r="AP214" s="139" t="s">
        <v>972</v>
      </c>
      <c r="AQ214" s="139" t="s">
        <v>973</v>
      </c>
      <c r="AR214" s="139" t="s">
        <v>994</v>
      </c>
      <c r="AS214" s="12">
        <v>45731</v>
      </c>
      <c r="AT214" s="148">
        <v>45915</v>
      </c>
      <c r="AU214" s="140">
        <v>-17</v>
      </c>
      <c r="AV214" s="149" t="s">
        <v>1164</v>
      </c>
      <c r="AW214" s="12">
        <v>46081</v>
      </c>
      <c r="AX214" s="140">
        <v>149</v>
      </c>
      <c r="AY214" s="149" t="s">
        <v>1163</v>
      </c>
      <c r="AZ214" s="11"/>
      <c r="BA214" s="11" t="s">
        <v>575</v>
      </c>
    </row>
    <row r="215" spans="38:53" x14ac:dyDescent="0.3">
      <c r="AL215" s="147" t="s">
        <v>138</v>
      </c>
      <c r="AM215" s="139" t="s">
        <v>1276</v>
      </c>
      <c r="AN215" s="139" t="s">
        <v>966</v>
      </c>
      <c r="AO215" s="139" t="s">
        <v>985</v>
      </c>
      <c r="AP215" s="139" t="s">
        <v>992</v>
      </c>
      <c r="AQ215" s="139" t="s">
        <v>1000</v>
      </c>
      <c r="AR215" s="139" t="s">
        <v>1004</v>
      </c>
      <c r="AS215" s="12">
        <v>45033</v>
      </c>
      <c r="AT215" s="148">
        <v>46129</v>
      </c>
      <c r="AU215" s="140">
        <v>197</v>
      </c>
      <c r="AV215" s="149" t="s">
        <v>1163</v>
      </c>
      <c r="AW215" s="12">
        <v>46145</v>
      </c>
      <c r="AX215" s="140">
        <v>213</v>
      </c>
      <c r="AY215" s="149" t="s">
        <v>1163</v>
      </c>
      <c r="AZ215" s="11"/>
      <c r="BA215" s="11" t="s">
        <v>48</v>
      </c>
    </row>
    <row r="216" spans="38:53" x14ac:dyDescent="0.3">
      <c r="AL216" s="147" t="s">
        <v>1277</v>
      </c>
      <c r="AM216" s="139" t="s">
        <v>978</v>
      </c>
      <c r="AN216" s="139" t="s">
        <v>979</v>
      </c>
      <c r="AO216" s="139" t="s">
        <v>996</v>
      </c>
      <c r="AP216" s="139" t="s">
        <v>997</v>
      </c>
      <c r="AQ216" s="139" t="s">
        <v>998</v>
      </c>
      <c r="AR216" s="139" t="s">
        <v>994</v>
      </c>
      <c r="AS216" s="12">
        <v>45553</v>
      </c>
      <c r="AT216" s="148">
        <v>45918</v>
      </c>
      <c r="AU216" s="140">
        <v>-14</v>
      </c>
      <c r="AV216" s="149" t="s">
        <v>1164</v>
      </c>
      <c r="AW216" s="12">
        <v>45840</v>
      </c>
      <c r="AX216" s="140">
        <v>-92</v>
      </c>
      <c r="AY216" s="149" t="s">
        <v>1164</v>
      </c>
      <c r="AZ216" s="11"/>
      <c r="BA216" s="11" t="s">
        <v>575</v>
      </c>
    </row>
    <row r="217" spans="38:53" x14ac:dyDescent="0.3">
      <c r="AL217" s="147" t="s">
        <v>1278</v>
      </c>
      <c r="AM217" s="139" t="s">
        <v>1214</v>
      </c>
      <c r="AN217" s="139" t="s">
        <v>979</v>
      </c>
      <c r="AO217" s="139" t="s">
        <v>966</v>
      </c>
      <c r="AP217" s="139" t="s">
        <v>972</v>
      </c>
      <c r="AQ217" s="139" t="s">
        <v>1026</v>
      </c>
      <c r="AR217" s="139" t="s">
        <v>994</v>
      </c>
      <c r="AS217" s="12">
        <v>45738</v>
      </c>
      <c r="AT217" s="148">
        <v>45922</v>
      </c>
      <c r="AU217" s="140">
        <v>-10</v>
      </c>
      <c r="AV217" s="149" t="s">
        <v>1164</v>
      </c>
      <c r="AW217" s="12">
        <v>46041</v>
      </c>
      <c r="AX217" s="140">
        <v>109</v>
      </c>
      <c r="AY217" s="149" t="s">
        <v>1163</v>
      </c>
      <c r="AZ217" s="11"/>
      <c r="BA217" s="11" t="s">
        <v>575</v>
      </c>
    </row>
    <row r="218" spans="38:53" x14ac:dyDescent="0.3">
      <c r="AL218" s="147" t="s">
        <v>1279</v>
      </c>
      <c r="AM218" s="139" t="s">
        <v>978</v>
      </c>
      <c r="AN218" s="139" t="s">
        <v>979</v>
      </c>
      <c r="AO218" s="139" t="s">
        <v>971</v>
      </c>
      <c r="AP218" s="139" t="s">
        <v>972</v>
      </c>
      <c r="AQ218" s="139" t="s">
        <v>980</v>
      </c>
      <c r="AR218" s="139" t="s">
        <v>981</v>
      </c>
      <c r="AS218" s="12">
        <v>45542</v>
      </c>
      <c r="AT218" s="148">
        <v>45907</v>
      </c>
      <c r="AU218" s="140">
        <v>-25</v>
      </c>
      <c r="AV218" s="149" t="s">
        <v>1164</v>
      </c>
      <c r="AW218" s="12">
        <v>46029</v>
      </c>
      <c r="AX218" s="140">
        <v>97</v>
      </c>
      <c r="AY218" s="149" t="s">
        <v>1163</v>
      </c>
      <c r="AZ218" s="11"/>
      <c r="BA218" s="11" t="s">
        <v>575</v>
      </c>
    </row>
    <row r="219" spans="38:53" x14ac:dyDescent="0.3">
      <c r="AL219" s="147" t="s">
        <v>134</v>
      </c>
      <c r="AM219" s="139" t="s">
        <v>1276</v>
      </c>
      <c r="AN219" s="139" t="s">
        <v>966</v>
      </c>
      <c r="AO219" s="139" t="s">
        <v>985</v>
      </c>
      <c r="AP219" s="139" t="s">
        <v>992</v>
      </c>
      <c r="AQ219" s="139" t="s">
        <v>1175</v>
      </c>
      <c r="AR219" s="139" t="s">
        <v>1004</v>
      </c>
      <c r="AS219" s="12">
        <v>45033</v>
      </c>
      <c r="AT219" s="148">
        <v>46129</v>
      </c>
      <c r="AU219" s="140">
        <v>197</v>
      </c>
      <c r="AV219" s="149" t="s">
        <v>1163</v>
      </c>
      <c r="AW219" s="12">
        <v>46145</v>
      </c>
      <c r="AX219" s="140">
        <v>213</v>
      </c>
      <c r="AY219" s="149" t="s">
        <v>1163</v>
      </c>
      <c r="AZ219" s="11"/>
      <c r="BA219" s="11" t="s">
        <v>48</v>
      </c>
    </row>
    <row r="220" spans="38:53" x14ac:dyDescent="0.3">
      <c r="AL220" s="147" t="s">
        <v>1280</v>
      </c>
      <c r="AM220" s="139" t="s">
        <v>1038</v>
      </c>
      <c r="AN220" s="139" t="s">
        <v>979</v>
      </c>
      <c r="AO220" s="139" t="s">
        <v>971</v>
      </c>
      <c r="AP220" s="139" t="s">
        <v>972</v>
      </c>
      <c r="AQ220" s="139" t="s">
        <v>973</v>
      </c>
      <c r="AR220" s="139" t="s">
        <v>988</v>
      </c>
      <c r="AS220" s="12">
        <v>45521</v>
      </c>
      <c r="AT220" s="148">
        <v>45886</v>
      </c>
      <c r="AU220" s="140">
        <v>-46</v>
      </c>
      <c r="AV220" s="149" t="s">
        <v>1164</v>
      </c>
      <c r="AW220" s="12">
        <v>45890</v>
      </c>
      <c r="AX220" s="140">
        <v>-42</v>
      </c>
      <c r="AY220" s="149" t="s">
        <v>1164</v>
      </c>
      <c r="AZ220" s="11"/>
      <c r="BA220" s="11" t="s">
        <v>575</v>
      </c>
    </row>
    <row r="221" spans="38:53" x14ac:dyDescent="0.3">
      <c r="AL221" s="147" t="s">
        <v>144</v>
      </c>
      <c r="AM221" s="139" t="s">
        <v>1276</v>
      </c>
      <c r="AN221" s="139" t="s">
        <v>966</v>
      </c>
      <c r="AO221" s="139" t="s">
        <v>985</v>
      </c>
      <c r="AP221" s="139" t="s">
        <v>1002</v>
      </c>
      <c r="AQ221" s="139" t="s">
        <v>1191</v>
      </c>
      <c r="AR221" s="139" t="s">
        <v>1004</v>
      </c>
      <c r="AS221" s="12">
        <v>45033</v>
      </c>
      <c r="AT221" s="148">
        <v>46129</v>
      </c>
      <c r="AU221" s="140">
        <v>197</v>
      </c>
      <c r="AV221" s="149" t="s">
        <v>1163</v>
      </c>
      <c r="AW221" s="12">
        <v>46145</v>
      </c>
      <c r="AX221" s="140">
        <v>213</v>
      </c>
      <c r="AY221" s="149" t="s">
        <v>1163</v>
      </c>
      <c r="AZ221" s="11"/>
      <c r="BA221" s="11" t="s">
        <v>48</v>
      </c>
    </row>
    <row r="222" spans="38:53" x14ac:dyDescent="0.3">
      <c r="AL222" s="147" t="s">
        <v>1281</v>
      </c>
      <c r="AM222" s="139" t="s">
        <v>1006</v>
      </c>
      <c r="AN222" s="139" t="s">
        <v>979</v>
      </c>
      <c r="AO222" s="139" t="s">
        <v>971</v>
      </c>
      <c r="AP222" s="139" t="s">
        <v>972</v>
      </c>
      <c r="AQ222" s="139" t="s">
        <v>1018</v>
      </c>
      <c r="AR222" s="139" t="s">
        <v>988</v>
      </c>
      <c r="AS222" s="12">
        <v>45525</v>
      </c>
      <c r="AT222" s="148">
        <v>45890</v>
      </c>
      <c r="AU222" s="140">
        <v>-42</v>
      </c>
      <c r="AV222" s="149" t="s">
        <v>1164</v>
      </c>
      <c r="AW222" s="12">
        <v>46137</v>
      </c>
      <c r="AX222" s="140">
        <v>205</v>
      </c>
      <c r="AY222" s="149" t="s">
        <v>1163</v>
      </c>
      <c r="AZ222" s="11"/>
      <c r="BA222" s="11" t="s">
        <v>575</v>
      </c>
    </row>
    <row r="223" spans="38:53" x14ac:dyDescent="0.3">
      <c r="AL223" s="147" t="s">
        <v>194</v>
      </c>
      <c r="AM223" s="139" t="s">
        <v>1006</v>
      </c>
      <c r="AN223" s="139" t="s">
        <v>966</v>
      </c>
      <c r="AO223" s="139" t="s">
        <v>971</v>
      </c>
      <c r="AP223" s="139" t="s">
        <v>972</v>
      </c>
      <c r="AQ223" s="139" t="s">
        <v>1018</v>
      </c>
      <c r="AR223" s="139" t="s">
        <v>974</v>
      </c>
      <c r="AS223" s="12">
        <v>45033</v>
      </c>
      <c r="AT223" s="148">
        <v>46129</v>
      </c>
      <c r="AU223" s="140">
        <v>197</v>
      </c>
      <c r="AV223" s="149" t="s">
        <v>1163</v>
      </c>
      <c r="AW223" s="12">
        <v>45978</v>
      </c>
      <c r="AX223" s="140">
        <v>46</v>
      </c>
      <c r="AY223" s="149" t="s">
        <v>1163</v>
      </c>
      <c r="AZ223" s="11"/>
      <c r="BA223" s="11" t="s">
        <v>184</v>
      </c>
    </row>
    <row r="224" spans="38:53" x14ac:dyDescent="0.3">
      <c r="AL224" s="147" t="s">
        <v>146</v>
      </c>
      <c r="AM224" s="139" t="s">
        <v>1276</v>
      </c>
      <c r="AN224" s="139" t="s">
        <v>966</v>
      </c>
      <c r="AO224" s="139" t="s">
        <v>985</v>
      </c>
      <c r="AP224" s="139" t="s">
        <v>992</v>
      </c>
      <c r="AQ224" s="139" t="s">
        <v>1282</v>
      </c>
      <c r="AR224" s="139" t="s">
        <v>1004</v>
      </c>
      <c r="AS224" s="12">
        <v>45033</v>
      </c>
      <c r="AT224" s="148">
        <v>46129</v>
      </c>
      <c r="AU224" s="140">
        <v>197</v>
      </c>
      <c r="AV224" s="149" t="s">
        <v>1163</v>
      </c>
      <c r="AW224" s="12">
        <v>46145</v>
      </c>
      <c r="AX224" s="140">
        <v>213</v>
      </c>
      <c r="AY224" s="149" t="s">
        <v>1163</v>
      </c>
      <c r="AZ224" s="11"/>
      <c r="BA224" s="11" t="s">
        <v>48</v>
      </c>
    </row>
    <row r="225" spans="38:53" x14ac:dyDescent="0.3">
      <c r="AL225" s="147" t="s">
        <v>1283</v>
      </c>
      <c r="AM225" s="139" t="s">
        <v>1025</v>
      </c>
      <c r="AN225" s="139" t="s">
        <v>970</v>
      </c>
      <c r="AO225" s="139" t="s">
        <v>966</v>
      </c>
      <c r="AP225" s="139" t="s">
        <v>972</v>
      </c>
      <c r="AQ225" s="139" t="s">
        <v>1026</v>
      </c>
      <c r="AR225" s="139" t="s">
        <v>994</v>
      </c>
      <c r="AS225" s="12">
        <v>45744</v>
      </c>
      <c r="AT225" s="148">
        <v>45928</v>
      </c>
      <c r="AU225" s="140">
        <v>-4</v>
      </c>
      <c r="AV225" s="149" t="s">
        <v>1164</v>
      </c>
      <c r="AW225" s="12">
        <v>46103</v>
      </c>
      <c r="AX225" s="140">
        <v>171</v>
      </c>
      <c r="AY225" s="149" t="s">
        <v>1163</v>
      </c>
      <c r="AZ225" s="11"/>
      <c r="BA225" s="11" t="s">
        <v>575</v>
      </c>
    </row>
    <row r="226" spans="38:53" x14ac:dyDescent="0.3">
      <c r="AL226" s="147" t="s">
        <v>185</v>
      </c>
      <c r="AM226" s="139" t="s">
        <v>1006</v>
      </c>
      <c r="AN226" s="139" t="s">
        <v>966</v>
      </c>
      <c r="AO226" s="139" t="s">
        <v>971</v>
      </c>
      <c r="AP226" s="139" t="s">
        <v>972</v>
      </c>
      <c r="AQ226" s="139" t="s">
        <v>1018</v>
      </c>
      <c r="AR226" s="139" t="s">
        <v>974</v>
      </c>
      <c r="AS226" s="12">
        <v>45033</v>
      </c>
      <c r="AT226" s="148">
        <v>46129</v>
      </c>
      <c r="AU226" s="140">
        <v>197</v>
      </c>
      <c r="AV226" s="149" t="s">
        <v>1163</v>
      </c>
      <c r="AW226" s="12">
        <v>45978</v>
      </c>
      <c r="AX226" s="140">
        <v>46</v>
      </c>
      <c r="AY226" s="149" t="s">
        <v>1163</v>
      </c>
      <c r="AZ226" s="11"/>
      <c r="BA226" s="11" t="s">
        <v>184</v>
      </c>
    </row>
    <row r="227" spans="38:53" x14ac:dyDescent="0.3">
      <c r="AL227" s="147" t="s">
        <v>150</v>
      </c>
      <c r="AM227" s="139" t="s">
        <v>1276</v>
      </c>
      <c r="AN227" s="139" t="s">
        <v>966</v>
      </c>
      <c r="AO227" s="139" t="s">
        <v>985</v>
      </c>
      <c r="AP227" s="139" t="s">
        <v>992</v>
      </c>
      <c r="AQ227" s="139" t="s">
        <v>1180</v>
      </c>
      <c r="AR227" s="139" t="s">
        <v>1004</v>
      </c>
      <c r="AS227" s="12">
        <v>45033</v>
      </c>
      <c r="AT227" s="148">
        <v>46129</v>
      </c>
      <c r="AU227" s="140">
        <v>197</v>
      </c>
      <c r="AV227" s="149" t="s">
        <v>1163</v>
      </c>
      <c r="AW227" s="12">
        <v>46145</v>
      </c>
      <c r="AX227" s="140">
        <v>213</v>
      </c>
      <c r="AY227" s="149" t="s">
        <v>1163</v>
      </c>
      <c r="AZ227" s="11"/>
      <c r="BA227" s="11" t="s">
        <v>48</v>
      </c>
    </row>
    <row r="228" spans="38:53" x14ac:dyDescent="0.3">
      <c r="AL228" s="147" t="s">
        <v>181</v>
      </c>
      <c r="AM228" s="139" t="s">
        <v>1006</v>
      </c>
      <c r="AN228" s="139" t="s">
        <v>966</v>
      </c>
      <c r="AO228" s="139" t="s">
        <v>971</v>
      </c>
      <c r="AP228" s="139" t="s">
        <v>972</v>
      </c>
      <c r="AQ228" s="139" t="s">
        <v>1018</v>
      </c>
      <c r="AR228" s="139" t="s">
        <v>974</v>
      </c>
      <c r="AS228" s="12">
        <v>45033</v>
      </c>
      <c r="AT228" s="148">
        <v>46129</v>
      </c>
      <c r="AU228" s="140">
        <v>197</v>
      </c>
      <c r="AV228" s="149" t="s">
        <v>1163</v>
      </c>
      <c r="AW228" s="12">
        <v>45978</v>
      </c>
      <c r="AX228" s="140">
        <v>46</v>
      </c>
      <c r="AY228" s="149" t="s">
        <v>1163</v>
      </c>
      <c r="AZ228" s="11"/>
      <c r="BA228" s="11" t="s">
        <v>184</v>
      </c>
    </row>
    <row r="229" spans="38:53" x14ac:dyDescent="0.3">
      <c r="AL229" s="147" t="s">
        <v>1284</v>
      </c>
      <c r="AM229" s="139" t="s">
        <v>1006</v>
      </c>
      <c r="AN229" s="139" t="s">
        <v>979</v>
      </c>
      <c r="AO229" s="139" t="s">
        <v>985</v>
      </c>
      <c r="AP229" s="139" t="s">
        <v>992</v>
      </c>
      <c r="AQ229" s="139" t="s">
        <v>1016</v>
      </c>
      <c r="AR229" s="139" t="s">
        <v>994</v>
      </c>
      <c r="AS229" s="12">
        <v>45568</v>
      </c>
      <c r="AT229" s="148">
        <v>45933</v>
      </c>
      <c r="AU229" s="140">
        <v>1</v>
      </c>
      <c r="AV229" s="149" t="s">
        <v>975</v>
      </c>
      <c r="AW229" s="12">
        <v>45981</v>
      </c>
      <c r="AX229" s="140">
        <v>49</v>
      </c>
      <c r="AY229" s="149" t="s">
        <v>1163</v>
      </c>
      <c r="AZ229" s="11"/>
      <c r="BA229" s="11" t="s">
        <v>575</v>
      </c>
    </row>
    <row r="230" spans="38:53" x14ac:dyDescent="0.3">
      <c r="AL230" s="147" t="s">
        <v>1285</v>
      </c>
      <c r="AM230" s="139" t="s">
        <v>1006</v>
      </c>
      <c r="AN230" s="139" t="s">
        <v>979</v>
      </c>
      <c r="AO230" s="139" t="s">
        <v>985</v>
      </c>
      <c r="AP230" s="139" t="s">
        <v>986</v>
      </c>
      <c r="AQ230" s="139" t="s">
        <v>987</v>
      </c>
      <c r="AR230" s="139" t="s">
        <v>994</v>
      </c>
      <c r="AS230" s="12">
        <v>45571</v>
      </c>
      <c r="AT230" s="148">
        <v>45936</v>
      </c>
      <c r="AU230" s="140">
        <v>4</v>
      </c>
      <c r="AV230" s="149" t="s">
        <v>975</v>
      </c>
      <c r="AW230" s="12">
        <v>45981</v>
      </c>
      <c r="AX230" s="140">
        <v>49</v>
      </c>
      <c r="AY230" s="149" t="s">
        <v>1163</v>
      </c>
      <c r="AZ230" s="11"/>
      <c r="BA230" s="11" t="s">
        <v>575</v>
      </c>
    </row>
    <row r="231" spans="38:53" x14ac:dyDescent="0.3">
      <c r="AL231" s="147" t="s">
        <v>1286</v>
      </c>
      <c r="AM231" s="139" t="s">
        <v>1038</v>
      </c>
      <c r="AN231" s="139" t="s">
        <v>979</v>
      </c>
      <c r="AO231" s="139" t="s">
        <v>971</v>
      </c>
      <c r="AP231" s="139" t="s">
        <v>972</v>
      </c>
      <c r="AQ231" s="139" t="s">
        <v>973</v>
      </c>
      <c r="AR231" s="139" t="s">
        <v>988</v>
      </c>
      <c r="AS231" s="12">
        <v>45528</v>
      </c>
      <c r="AT231" s="148">
        <v>45893</v>
      </c>
      <c r="AU231" s="140">
        <v>-39</v>
      </c>
      <c r="AV231" s="149" t="s">
        <v>1164</v>
      </c>
      <c r="AW231" s="12">
        <v>45933</v>
      </c>
      <c r="AX231" s="140">
        <v>1</v>
      </c>
      <c r="AY231" s="149" t="s">
        <v>1164</v>
      </c>
      <c r="AZ231" s="11"/>
      <c r="BA231" s="11" t="s">
        <v>575</v>
      </c>
    </row>
    <row r="232" spans="38:53" x14ac:dyDescent="0.3">
      <c r="AL232" s="147" t="s">
        <v>1287</v>
      </c>
      <c r="AM232" s="139" t="s">
        <v>969</v>
      </c>
      <c r="AN232" s="139" t="s">
        <v>970</v>
      </c>
      <c r="AO232" s="139" t="s">
        <v>971</v>
      </c>
      <c r="AP232" s="139" t="s">
        <v>972</v>
      </c>
      <c r="AQ232" s="139" t="s">
        <v>973</v>
      </c>
      <c r="AR232" s="139" t="s">
        <v>974</v>
      </c>
      <c r="AS232" s="12">
        <v>45721</v>
      </c>
      <c r="AT232" s="148">
        <v>46086</v>
      </c>
      <c r="AU232" s="140">
        <v>154</v>
      </c>
      <c r="AV232" s="149" t="s">
        <v>1163</v>
      </c>
      <c r="AW232" s="12">
        <v>45979</v>
      </c>
      <c r="AX232" s="140">
        <v>47</v>
      </c>
      <c r="AY232" s="149" t="s">
        <v>1163</v>
      </c>
      <c r="AZ232" s="11"/>
      <c r="BA232" s="11" t="s">
        <v>575</v>
      </c>
    </row>
    <row r="233" spans="38:53" x14ac:dyDescent="0.3">
      <c r="AL233" s="147" t="s">
        <v>1288</v>
      </c>
      <c r="AM233" s="139" t="s">
        <v>1006</v>
      </c>
      <c r="AN233" s="139" t="s">
        <v>979</v>
      </c>
      <c r="AO233" s="139" t="s">
        <v>985</v>
      </c>
      <c r="AP233" s="139" t="s">
        <v>992</v>
      </c>
      <c r="AQ233" s="139" t="s">
        <v>1016</v>
      </c>
      <c r="AR233" s="139" t="s">
        <v>994</v>
      </c>
      <c r="AS233" s="12">
        <v>45571</v>
      </c>
      <c r="AT233" s="148">
        <v>45936</v>
      </c>
      <c r="AU233" s="140">
        <v>4</v>
      </c>
      <c r="AV233" s="149" t="s">
        <v>975</v>
      </c>
      <c r="AW233" s="12">
        <v>45981</v>
      </c>
      <c r="AX233" s="140">
        <v>49</v>
      </c>
      <c r="AY233" s="149" t="s">
        <v>1163</v>
      </c>
      <c r="AZ233" s="11"/>
      <c r="BA233" s="11" t="s">
        <v>575</v>
      </c>
    </row>
    <row r="234" spans="38:53" x14ac:dyDescent="0.3">
      <c r="AL234" s="147" t="s">
        <v>1289</v>
      </c>
      <c r="AM234" s="139" t="s">
        <v>978</v>
      </c>
      <c r="AN234" s="139" t="s">
        <v>979</v>
      </c>
      <c r="AO234" s="139" t="s">
        <v>985</v>
      </c>
      <c r="AP234" s="139" t="s">
        <v>992</v>
      </c>
      <c r="AQ234" s="139" t="s">
        <v>993</v>
      </c>
      <c r="AR234" s="139" t="s">
        <v>994</v>
      </c>
      <c r="AS234" s="12">
        <v>45571</v>
      </c>
      <c r="AT234" s="148">
        <v>45936</v>
      </c>
      <c r="AU234" s="140">
        <v>4</v>
      </c>
      <c r="AV234" s="149" t="s">
        <v>975</v>
      </c>
      <c r="AW234" s="12">
        <v>46001</v>
      </c>
      <c r="AX234" s="140">
        <v>69</v>
      </c>
      <c r="AY234" s="149" t="s">
        <v>1163</v>
      </c>
      <c r="AZ234" s="11"/>
      <c r="BA234" s="11" t="s">
        <v>575</v>
      </c>
    </row>
    <row r="235" spans="38:53" x14ac:dyDescent="0.3">
      <c r="AL235" s="147" t="s">
        <v>1290</v>
      </c>
      <c r="AM235" s="139" t="s">
        <v>978</v>
      </c>
      <c r="AN235" s="139" t="s">
        <v>979</v>
      </c>
      <c r="AO235" s="139" t="s">
        <v>966</v>
      </c>
      <c r="AP235" s="139" t="s">
        <v>972</v>
      </c>
      <c r="AQ235" s="139" t="s">
        <v>1250</v>
      </c>
      <c r="AR235" s="139" t="s">
        <v>994</v>
      </c>
      <c r="AS235" s="12">
        <v>45577</v>
      </c>
      <c r="AT235" s="148">
        <v>45942</v>
      </c>
      <c r="AU235" s="140">
        <v>10</v>
      </c>
      <c r="AV235" s="149" t="s">
        <v>1163</v>
      </c>
      <c r="AW235" s="12">
        <v>46001</v>
      </c>
      <c r="AX235" s="140">
        <v>69</v>
      </c>
      <c r="AY235" s="149" t="s">
        <v>1163</v>
      </c>
      <c r="AZ235" s="11"/>
      <c r="BA235" s="11" t="s">
        <v>575</v>
      </c>
    </row>
    <row r="236" spans="38:53" x14ac:dyDescent="0.3">
      <c r="AL236" s="147" t="s">
        <v>1291</v>
      </c>
      <c r="AM236" s="139" t="s">
        <v>1292</v>
      </c>
      <c r="AN236" s="139" t="s">
        <v>979</v>
      </c>
      <c r="AO236" s="139" t="s">
        <v>996</v>
      </c>
      <c r="AP236" s="139" t="s">
        <v>997</v>
      </c>
      <c r="AQ236" s="139" t="s">
        <v>1293</v>
      </c>
      <c r="AR236" s="139" t="s">
        <v>994</v>
      </c>
      <c r="AS236" s="12">
        <v>45582</v>
      </c>
      <c r="AT236" s="148">
        <v>45947</v>
      </c>
      <c r="AU236" s="140">
        <v>15</v>
      </c>
      <c r="AV236" s="149" t="s">
        <v>1163</v>
      </c>
      <c r="AW236" s="12">
        <v>46001</v>
      </c>
      <c r="AX236" s="140">
        <v>69</v>
      </c>
      <c r="AY236" s="149" t="s">
        <v>1163</v>
      </c>
      <c r="AZ236" s="11"/>
      <c r="BA236" s="11" t="s">
        <v>575</v>
      </c>
    </row>
    <row r="237" spans="38:53" x14ac:dyDescent="0.3">
      <c r="AL237" s="147" t="s">
        <v>62</v>
      </c>
      <c r="AM237" s="139" t="s">
        <v>1118</v>
      </c>
      <c r="AN237" s="139" t="s">
        <v>966</v>
      </c>
      <c r="AO237" s="139" t="s">
        <v>971</v>
      </c>
      <c r="AP237" s="139" t="s">
        <v>972</v>
      </c>
      <c r="AQ237" s="139" t="s">
        <v>1018</v>
      </c>
      <c r="AR237" s="139" t="s">
        <v>1004</v>
      </c>
      <c r="AS237" s="12">
        <v>45363</v>
      </c>
      <c r="AT237" s="148">
        <v>46458</v>
      </c>
      <c r="AU237" s="140">
        <v>526</v>
      </c>
      <c r="AV237" s="149" t="s">
        <v>1163</v>
      </c>
      <c r="AW237" s="12">
        <v>45924</v>
      </c>
      <c r="AX237" s="140">
        <v>-8</v>
      </c>
      <c r="AY237" s="149" t="s">
        <v>1164</v>
      </c>
      <c r="AZ237" s="11"/>
      <c r="BA237" s="11" t="s">
        <v>58</v>
      </c>
    </row>
    <row r="238" spans="38:53" x14ac:dyDescent="0.3">
      <c r="AL238" s="147" t="s">
        <v>1294</v>
      </c>
      <c r="AM238" s="139" t="s">
        <v>1038</v>
      </c>
      <c r="AN238" s="139" t="s">
        <v>979</v>
      </c>
      <c r="AO238" s="139" t="s">
        <v>971</v>
      </c>
      <c r="AP238" s="139" t="s">
        <v>972</v>
      </c>
      <c r="AQ238" s="139" t="s">
        <v>980</v>
      </c>
      <c r="AR238" s="139" t="s">
        <v>981</v>
      </c>
      <c r="AS238" s="12">
        <v>45544</v>
      </c>
      <c r="AT238" s="148">
        <v>45909</v>
      </c>
      <c r="AU238" s="140">
        <v>-23</v>
      </c>
      <c r="AV238" s="149" t="s">
        <v>1164</v>
      </c>
      <c r="AW238" s="12">
        <v>45890</v>
      </c>
      <c r="AX238" s="140">
        <v>-42</v>
      </c>
      <c r="AY238" s="149" t="s">
        <v>1164</v>
      </c>
      <c r="AZ238" s="11"/>
      <c r="BA238" s="11" t="s">
        <v>575</v>
      </c>
    </row>
    <row r="239" spans="38:53" x14ac:dyDescent="0.3">
      <c r="AL239" s="147" t="s">
        <v>1295</v>
      </c>
      <c r="AM239" s="139" t="s">
        <v>1038</v>
      </c>
      <c r="AN239" s="139" t="s">
        <v>979</v>
      </c>
      <c r="AO239" s="139" t="s">
        <v>971</v>
      </c>
      <c r="AP239" s="139" t="s">
        <v>972</v>
      </c>
      <c r="AQ239" s="139" t="s">
        <v>973</v>
      </c>
      <c r="AR239" s="139" t="s">
        <v>988</v>
      </c>
      <c r="AS239" s="12">
        <v>45529</v>
      </c>
      <c r="AT239" s="148">
        <v>45894</v>
      </c>
      <c r="AU239" s="140">
        <v>-38</v>
      </c>
      <c r="AV239" s="149" t="s">
        <v>1164</v>
      </c>
      <c r="AW239" s="12">
        <v>45890</v>
      </c>
      <c r="AX239" s="140">
        <v>-42</v>
      </c>
      <c r="AY239" s="149" t="s">
        <v>1164</v>
      </c>
      <c r="AZ239" s="11"/>
      <c r="BA239" s="11" t="s">
        <v>575</v>
      </c>
    </row>
    <row r="240" spans="38:53" x14ac:dyDescent="0.3">
      <c r="AL240" s="147" t="s">
        <v>1296</v>
      </c>
      <c r="AM240" s="139" t="s">
        <v>978</v>
      </c>
      <c r="AN240" s="139" t="s">
        <v>979</v>
      </c>
      <c r="AO240" s="139" t="s">
        <v>966</v>
      </c>
      <c r="AP240" s="139" t="s">
        <v>972</v>
      </c>
      <c r="AQ240" s="139" t="s">
        <v>1250</v>
      </c>
      <c r="AR240" s="139" t="s">
        <v>994</v>
      </c>
      <c r="AS240" s="12">
        <v>45584</v>
      </c>
      <c r="AT240" s="148">
        <v>45949</v>
      </c>
      <c r="AU240" s="140">
        <v>17</v>
      </c>
      <c r="AV240" s="149" t="s">
        <v>1163</v>
      </c>
      <c r="AW240" s="12">
        <v>46001</v>
      </c>
      <c r="AX240" s="140">
        <v>69</v>
      </c>
      <c r="AY240" s="149" t="s">
        <v>1163</v>
      </c>
      <c r="AZ240" s="11"/>
      <c r="BA240" s="11" t="s">
        <v>575</v>
      </c>
    </row>
    <row r="241" spans="38:53" x14ac:dyDescent="0.3">
      <c r="AL241" s="147" t="s">
        <v>1297</v>
      </c>
      <c r="AM241" s="139" t="s">
        <v>1006</v>
      </c>
      <c r="AN241" s="139" t="s">
        <v>979</v>
      </c>
      <c r="AO241" s="139" t="s">
        <v>985</v>
      </c>
      <c r="AP241" s="139" t="s">
        <v>992</v>
      </c>
      <c r="AQ241" s="139" t="s">
        <v>993</v>
      </c>
      <c r="AR241" s="139" t="s">
        <v>994</v>
      </c>
      <c r="AS241" s="12">
        <v>45597</v>
      </c>
      <c r="AT241" s="148">
        <v>45962</v>
      </c>
      <c r="AU241" s="140">
        <v>30</v>
      </c>
      <c r="AV241" s="149" t="s">
        <v>1163</v>
      </c>
      <c r="AW241" s="12">
        <v>45980</v>
      </c>
      <c r="AX241" s="140">
        <v>48</v>
      </c>
      <c r="AY241" s="149" t="s">
        <v>1163</v>
      </c>
      <c r="AZ241" s="11"/>
      <c r="BA241" s="11" t="s">
        <v>575</v>
      </c>
    </row>
    <row r="242" spans="38:53" x14ac:dyDescent="0.3">
      <c r="AL242" s="147" t="s">
        <v>205</v>
      </c>
      <c r="AM242" s="139" t="s">
        <v>969</v>
      </c>
      <c r="AN242" s="139" t="s">
        <v>966</v>
      </c>
      <c r="AO242" s="139" t="s">
        <v>985</v>
      </c>
      <c r="AP242" s="139" t="s">
        <v>1002</v>
      </c>
      <c r="AQ242" s="139" t="s">
        <v>1237</v>
      </c>
      <c r="AR242" s="139" t="s">
        <v>1004</v>
      </c>
      <c r="AS242" s="12">
        <v>45595</v>
      </c>
      <c r="AT242" s="148">
        <v>45960</v>
      </c>
      <c r="AU242" s="140">
        <v>28</v>
      </c>
      <c r="AV242" s="149" t="s">
        <v>1163</v>
      </c>
      <c r="AW242" s="12">
        <v>45953</v>
      </c>
      <c r="AX242" s="140">
        <v>21</v>
      </c>
      <c r="AY242" s="149" t="s">
        <v>1163</v>
      </c>
      <c r="AZ242" s="11"/>
      <c r="BA242" s="11" t="s">
        <v>208</v>
      </c>
    </row>
    <row r="243" spans="38:53" x14ac:dyDescent="0.3">
      <c r="AL243" s="147" t="s">
        <v>243</v>
      </c>
      <c r="AM243" s="139" t="s">
        <v>1006</v>
      </c>
      <c r="AN243" s="139" t="s">
        <v>966</v>
      </c>
      <c r="AO243" s="139" t="s">
        <v>966</v>
      </c>
      <c r="AP243" s="139" t="s">
        <v>972</v>
      </c>
      <c r="AQ243" s="139" t="s">
        <v>1026</v>
      </c>
      <c r="AR243" s="139" t="s">
        <v>994</v>
      </c>
      <c r="AS243" s="12">
        <v>45597</v>
      </c>
      <c r="AT243" s="148">
        <v>45962</v>
      </c>
      <c r="AU243" s="140">
        <v>30</v>
      </c>
      <c r="AV243" s="149" t="s">
        <v>1163</v>
      </c>
      <c r="AW243" s="12">
        <v>45983</v>
      </c>
      <c r="AX243" s="140">
        <v>51</v>
      </c>
      <c r="AY243" s="149" t="s">
        <v>1163</v>
      </c>
      <c r="AZ243" s="11"/>
      <c r="BA243" s="11" t="s">
        <v>240</v>
      </c>
    </row>
    <row r="244" spans="38:53" x14ac:dyDescent="0.3">
      <c r="AL244" s="147" t="s">
        <v>244</v>
      </c>
      <c r="AM244" s="139" t="s">
        <v>1006</v>
      </c>
      <c r="AN244" s="139" t="s">
        <v>966</v>
      </c>
      <c r="AO244" s="139" t="s">
        <v>966</v>
      </c>
      <c r="AP244" s="139" t="s">
        <v>972</v>
      </c>
      <c r="AQ244" s="139" t="s">
        <v>1026</v>
      </c>
      <c r="AR244" s="139" t="s">
        <v>994</v>
      </c>
      <c r="AS244" s="12">
        <v>45597</v>
      </c>
      <c r="AT244" s="148">
        <v>45962</v>
      </c>
      <c r="AU244" s="140">
        <v>30</v>
      </c>
      <c r="AV244" s="149" t="s">
        <v>1163</v>
      </c>
      <c r="AW244" s="12">
        <v>45983</v>
      </c>
      <c r="AX244" s="140">
        <v>51</v>
      </c>
      <c r="AY244" s="149" t="s">
        <v>1163</v>
      </c>
      <c r="AZ244" s="11"/>
      <c r="BA244" s="11" t="s">
        <v>240</v>
      </c>
    </row>
    <row r="245" spans="38:53" x14ac:dyDescent="0.3">
      <c r="AL245" s="147" t="s">
        <v>1298</v>
      </c>
      <c r="AM245" s="139" t="s">
        <v>1006</v>
      </c>
      <c r="AN245" s="139" t="s">
        <v>970</v>
      </c>
      <c r="AO245" s="139" t="s">
        <v>966</v>
      </c>
      <c r="AP245" s="139" t="s">
        <v>972</v>
      </c>
      <c r="AQ245" s="139" t="s">
        <v>1034</v>
      </c>
      <c r="AR245" s="139" t="s">
        <v>994</v>
      </c>
      <c r="AS245" s="12">
        <v>45598</v>
      </c>
      <c r="AT245" s="148">
        <v>45963</v>
      </c>
      <c r="AU245" s="140">
        <v>31</v>
      </c>
      <c r="AV245" s="149" t="s">
        <v>1163</v>
      </c>
      <c r="AW245" s="12">
        <v>45891</v>
      </c>
      <c r="AX245" s="140">
        <v>-41</v>
      </c>
      <c r="AY245" s="149" t="s">
        <v>1164</v>
      </c>
      <c r="AZ245" s="11"/>
      <c r="BA245" s="11" t="s">
        <v>575</v>
      </c>
    </row>
    <row r="246" spans="38:53" x14ac:dyDescent="0.3">
      <c r="AL246" s="147" t="s">
        <v>1299</v>
      </c>
      <c r="AM246" s="139" t="s">
        <v>1006</v>
      </c>
      <c r="AN246" s="139" t="s">
        <v>979</v>
      </c>
      <c r="AO246" s="139" t="s">
        <v>985</v>
      </c>
      <c r="AP246" s="139" t="s">
        <v>992</v>
      </c>
      <c r="AQ246" s="139" t="s">
        <v>1087</v>
      </c>
      <c r="AR246" s="139" t="s">
        <v>988</v>
      </c>
      <c r="AS246" s="12">
        <v>45550</v>
      </c>
      <c r="AT246" s="148">
        <v>45915</v>
      </c>
      <c r="AU246" s="140">
        <v>-17</v>
      </c>
      <c r="AV246" s="149" t="s">
        <v>1164</v>
      </c>
      <c r="AW246" s="12">
        <v>45981</v>
      </c>
      <c r="AX246" s="140">
        <v>49</v>
      </c>
      <c r="AY246" s="149" t="s">
        <v>1163</v>
      </c>
      <c r="AZ246" s="11"/>
      <c r="BA246" s="11" t="s">
        <v>575</v>
      </c>
    </row>
    <row r="247" spans="38:53" x14ac:dyDescent="0.3">
      <c r="AL247" s="147" t="s">
        <v>153</v>
      </c>
      <c r="AM247" s="139" t="s">
        <v>1276</v>
      </c>
      <c r="AN247" s="139" t="s">
        <v>966</v>
      </c>
      <c r="AO247" s="139" t="s">
        <v>985</v>
      </c>
      <c r="AP247" s="139" t="s">
        <v>1002</v>
      </c>
      <c r="AQ247" s="139" t="s">
        <v>1003</v>
      </c>
      <c r="AR247" s="139" t="s">
        <v>1004</v>
      </c>
      <c r="AS247" s="12">
        <v>45363</v>
      </c>
      <c r="AT247" s="148">
        <v>46458</v>
      </c>
      <c r="AU247" s="140">
        <v>526</v>
      </c>
      <c r="AV247" s="149" t="s">
        <v>1163</v>
      </c>
      <c r="AW247" s="12">
        <v>46101</v>
      </c>
      <c r="AX247" s="140">
        <v>169</v>
      </c>
      <c r="AY247" s="149" t="s">
        <v>1163</v>
      </c>
      <c r="AZ247" s="11"/>
      <c r="BA247" s="11" t="s">
        <v>48</v>
      </c>
    </row>
    <row r="248" spans="38:53" x14ac:dyDescent="0.3">
      <c r="AL248" s="147" t="s">
        <v>241</v>
      </c>
      <c r="AM248" s="139" t="s">
        <v>1006</v>
      </c>
      <c r="AN248" s="139" t="s">
        <v>966</v>
      </c>
      <c r="AO248" s="139" t="s">
        <v>966</v>
      </c>
      <c r="AP248" s="139" t="s">
        <v>972</v>
      </c>
      <c r="AQ248" s="139" t="s">
        <v>1300</v>
      </c>
      <c r="AR248" s="139" t="s">
        <v>994</v>
      </c>
      <c r="AS248" s="12">
        <v>45598</v>
      </c>
      <c r="AT248" s="148">
        <v>45963</v>
      </c>
      <c r="AU248" s="140">
        <v>31</v>
      </c>
      <c r="AV248" s="149" t="s">
        <v>1163</v>
      </c>
      <c r="AW248" s="12">
        <v>45980</v>
      </c>
      <c r="AX248" s="140">
        <v>48</v>
      </c>
      <c r="AY248" s="149" t="s">
        <v>1163</v>
      </c>
      <c r="AZ248" s="11"/>
      <c r="BA248" s="11" t="s">
        <v>240</v>
      </c>
    </row>
    <row r="249" spans="38:53" x14ac:dyDescent="0.3">
      <c r="AL249" s="147" t="s">
        <v>161</v>
      </c>
      <c r="AM249" s="139" t="s">
        <v>1276</v>
      </c>
      <c r="AN249" s="139" t="s">
        <v>966</v>
      </c>
      <c r="AO249" s="139" t="s">
        <v>971</v>
      </c>
      <c r="AP249" s="139" t="s">
        <v>972</v>
      </c>
      <c r="AQ249" s="139" t="s">
        <v>1018</v>
      </c>
      <c r="AR249" s="139" t="s">
        <v>1004</v>
      </c>
      <c r="AS249" s="12">
        <v>45363</v>
      </c>
      <c r="AT249" s="148">
        <v>46458</v>
      </c>
      <c r="AU249" s="140">
        <v>526</v>
      </c>
      <c r="AV249" s="149" t="s">
        <v>1163</v>
      </c>
      <c r="AW249" s="12">
        <v>46101</v>
      </c>
      <c r="AX249" s="140">
        <v>169</v>
      </c>
      <c r="AY249" s="149" t="s">
        <v>1163</v>
      </c>
      <c r="AZ249" s="11"/>
      <c r="BA249" s="11" t="s">
        <v>48</v>
      </c>
    </row>
    <row r="250" spans="38:53" x14ac:dyDescent="0.3">
      <c r="AL250" s="147" t="s">
        <v>154</v>
      </c>
      <c r="AM250" s="139" t="s">
        <v>1276</v>
      </c>
      <c r="AN250" s="139" t="s">
        <v>966</v>
      </c>
      <c r="AO250" s="139" t="s">
        <v>985</v>
      </c>
      <c r="AP250" s="139" t="s">
        <v>1002</v>
      </c>
      <c r="AQ250" s="139" t="s">
        <v>1007</v>
      </c>
      <c r="AR250" s="139" t="s">
        <v>1004</v>
      </c>
      <c r="AS250" s="12">
        <v>45363</v>
      </c>
      <c r="AT250" s="148">
        <v>46458</v>
      </c>
      <c r="AU250" s="140">
        <v>526</v>
      </c>
      <c r="AV250" s="149" t="s">
        <v>1163</v>
      </c>
      <c r="AW250" s="12">
        <v>46101</v>
      </c>
      <c r="AX250" s="140">
        <v>169</v>
      </c>
      <c r="AY250" s="149" t="s">
        <v>1163</v>
      </c>
      <c r="AZ250" s="11"/>
      <c r="BA250" s="11" t="s">
        <v>48</v>
      </c>
    </row>
    <row r="251" spans="38:53" x14ac:dyDescent="0.3">
      <c r="AL251" s="147" t="s">
        <v>1301</v>
      </c>
      <c r="AM251" s="139" t="s">
        <v>991</v>
      </c>
      <c r="AN251" s="139" t="s">
        <v>979</v>
      </c>
      <c r="AO251" s="139" t="s">
        <v>996</v>
      </c>
      <c r="AP251" s="139" t="s">
        <v>997</v>
      </c>
      <c r="AQ251" s="139" t="s">
        <v>998</v>
      </c>
      <c r="AR251" s="139" t="s">
        <v>994</v>
      </c>
      <c r="AS251" s="12">
        <v>45783</v>
      </c>
      <c r="AT251" s="148">
        <v>45967</v>
      </c>
      <c r="AU251" s="140">
        <v>35</v>
      </c>
      <c r="AV251" s="149" t="s">
        <v>1163</v>
      </c>
      <c r="AW251" s="12">
        <v>46049</v>
      </c>
      <c r="AX251" s="140">
        <v>117</v>
      </c>
      <c r="AY251" s="149" t="s">
        <v>1163</v>
      </c>
      <c r="AZ251" s="11"/>
      <c r="BA251" s="11" t="s">
        <v>575</v>
      </c>
    </row>
    <row r="252" spans="38:53" x14ac:dyDescent="0.3">
      <c r="AL252" s="147" t="s">
        <v>1302</v>
      </c>
      <c r="AM252" s="139" t="s">
        <v>1303</v>
      </c>
      <c r="AN252" s="139" t="s">
        <v>970</v>
      </c>
      <c r="AO252" s="139" t="s">
        <v>996</v>
      </c>
      <c r="AP252" s="139" t="s">
        <v>997</v>
      </c>
      <c r="AQ252" s="139" t="s">
        <v>998</v>
      </c>
      <c r="AR252" s="139" t="s">
        <v>994</v>
      </c>
      <c r="AS252" s="12">
        <v>45604</v>
      </c>
      <c r="AT252" s="148">
        <v>45969</v>
      </c>
      <c r="AU252" s="140">
        <v>37</v>
      </c>
      <c r="AV252" s="149" t="s">
        <v>1163</v>
      </c>
      <c r="AW252" s="12">
        <v>46348</v>
      </c>
      <c r="AX252" s="140">
        <v>416</v>
      </c>
      <c r="AY252" s="149" t="s">
        <v>1163</v>
      </c>
      <c r="AZ252" s="11"/>
      <c r="BA252" s="11" t="s">
        <v>575</v>
      </c>
    </row>
    <row r="253" spans="38:53" x14ac:dyDescent="0.3">
      <c r="AL253" s="147" t="s">
        <v>1304</v>
      </c>
      <c r="AM253" s="139" t="s">
        <v>1006</v>
      </c>
      <c r="AN253" s="139" t="s">
        <v>979</v>
      </c>
      <c r="AO253" s="139" t="s">
        <v>985</v>
      </c>
      <c r="AP253" s="139" t="s">
        <v>986</v>
      </c>
      <c r="AQ253" s="139" t="s">
        <v>987</v>
      </c>
      <c r="AR253" s="139" t="s">
        <v>988</v>
      </c>
      <c r="AS253" s="12">
        <v>45556</v>
      </c>
      <c r="AT253" s="148">
        <v>45921</v>
      </c>
      <c r="AU253" s="140">
        <v>-11</v>
      </c>
      <c r="AV253" s="149" t="s">
        <v>1164</v>
      </c>
      <c r="AW253" s="12">
        <v>45981</v>
      </c>
      <c r="AX253" s="140">
        <v>49</v>
      </c>
      <c r="AY253" s="149" t="s">
        <v>1163</v>
      </c>
      <c r="AZ253" s="11"/>
      <c r="BA253" s="11" t="s">
        <v>575</v>
      </c>
    </row>
    <row r="254" spans="38:53" x14ac:dyDescent="0.3">
      <c r="AL254" s="147" t="s">
        <v>155</v>
      </c>
      <c r="AM254" s="139" t="s">
        <v>1276</v>
      </c>
      <c r="AN254" s="139" t="s">
        <v>966</v>
      </c>
      <c r="AO254" s="139" t="s">
        <v>985</v>
      </c>
      <c r="AP254" s="139" t="s">
        <v>1002</v>
      </c>
      <c r="AQ254" s="139" t="s">
        <v>1195</v>
      </c>
      <c r="AR254" s="139" t="s">
        <v>1004</v>
      </c>
      <c r="AS254" s="12">
        <v>45363</v>
      </c>
      <c r="AT254" s="148">
        <v>46458</v>
      </c>
      <c r="AU254" s="140">
        <v>526</v>
      </c>
      <c r="AV254" s="149" t="s">
        <v>1163</v>
      </c>
      <c r="AW254" s="12">
        <v>46101</v>
      </c>
      <c r="AX254" s="140">
        <v>169</v>
      </c>
      <c r="AY254" s="149" t="s">
        <v>1163</v>
      </c>
      <c r="AZ254" s="11"/>
      <c r="BA254" s="11" t="s">
        <v>48</v>
      </c>
    </row>
    <row r="255" spans="38:53" x14ac:dyDescent="0.3">
      <c r="AL255" s="147" t="s">
        <v>156</v>
      </c>
      <c r="AM255" s="139" t="s">
        <v>1276</v>
      </c>
      <c r="AN255" s="139" t="s">
        <v>966</v>
      </c>
      <c r="AO255" s="139" t="s">
        <v>985</v>
      </c>
      <c r="AP255" s="139" t="s">
        <v>1002</v>
      </c>
      <c r="AQ255" s="139" t="s">
        <v>1003</v>
      </c>
      <c r="AR255" s="139" t="s">
        <v>1004</v>
      </c>
      <c r="AS255" s="12">
        <v>45363</v>
      </c>
      <c r="AT255" s="148">
        <v>46458</v>
      </c>
      <c r="AU255" s="140">
        <v>526</v>
      </c>
      <c r="AV255" s="149" t="s">
        <v>1163</v>
      </c>
      <c r="AW255" s="12">
        <v>46101</v>
      </c>
      <c r="AX255" s="140">
        <v>169</v>
      </c>
      <c r="AY255" s="149" t="s">
        <v>1163</v>
      </c>
      <c r="AZ255" s="11"/>
      <c r="BA255" s="11" t="s">
        <v>48</v>
      </c>
    </row>
    <row r="256" spans="38:53" x14ac:dyDescent="0.3">
      <c r="AL256" s="147" t="s">
        <v>1305</v>
      </c>
      <c r="AM256" s="139" t="s">
        <v>1006</v>
      </c>
      <c r="AN256" s="139" t="s">
        <v>979</v>
      </c>
      <c r="AO256" s="139" t="s">
        <v>985</v>
      </c>
      <c r="AP256" s="139" t="s">
        <v>992</v>
      </c>
      <c r="AQ256" s="139" t="s">
        <v>993</v>
      </c>
      <c r="AR256" s="139" t="s">
        <v>994</v>
      </c>
      <c r="AS256" s="12">
        <v>45605</v>
      </c>
      <c r="AT256" s="148">
        <v>45970</v>
      </c>
      <c r="AU256" s="140">
        <v>38</v>
      </c>
      <c r="AV256" s="149" t="s">
        <v>1163</v>
      </c>
      <c r="AW256" s="12">
        <v>45981</v>
      </c>
      <c r="AX256" s="140">
        <v>49</v>
      </c>
      <c r="AY256" s="149" t="s">
        <v>1163</v>
      </c>
      <c r="AZ256" s="11"/>
      <c r="BA256" s="11" t="s">
        <v>575</v>
      </c>
    </row>
    <row r="257" spans="38:53" x14ac:dyDescent="0.3">
      <c r="AL257" s="147" t="s">
        <v>1306</v>
      </c>
      <c r="AM257" s="139" t="s">
        <v>1038</v>
      </c>
      <c r="AN257" s="139" t="s">
        <v>979</v>
      </c>
      <c r="AO257" s="139" t="s">
        <v>971</v>
      </c>
      <c r="AP257" s="139" t="s">
        <v>972</v>
      </c>
      <c r="AQ257" s="139" t="s">
        <v>973</v>
      </c>
      <c r="AR257" s="139" t="s">
        <v>974</v>
      </c>
      <c r="AS257" s="12">
        <v>45456</v>
      </c>
      <c r="AT257" s="148">
        <v>45821</v>
      </c>
      <c r="AU257" s="140">
        <v>-111</v>
      </c>
      <c r="AV257" s="149" t="s">
        <v>1164</v>
      </c>
      <c r="AW257" s="12">
        <v>45983</v>
      </c>
      <c r="AX257" s="140">
        <v>51</v>
      </c>
      <c r="AY257" s="149" t="s">
        <v>1163</v>
      </c>
      <c r="AZ257" s="11"/>
      <c r="BA257" s="11" t="s">
        <v>575</v>
      </c>
    </row>
    <row r="258" spans="38:53" x14ac:dyDescent="0.3">
      <c r="AL258" s="147" t="s">
        <v>1307</v>
      </c>
      <c r="AM258" s="139" t="s">
        <v>978</v>
      </c>
      <c r="AN258" s="139" t="s">
        <v>979</v>
      </c>
      <c r="AO258" s="139" t="s">
        <v>985</v>
      </c>
      <c r="AP258" s="139" t="s">
        <v>992</v>
      </c>
      <c r="AQ258" s="139" t="s">
        <v>993</v>
      </c>
      <c r="AR258" s="139" t="s">
        <v>994</v>
      </c>
      <c r="AS258" s="12">
        <v>45605</v>
      </c>
      <c r="AT258" s="148">
        <v>45970</v>
      </c>
      <c r="AU258" s="140">
        <v>38</v>
      </c>
      <c r="AV258" s="149" t="s">
        <v>1163</v>
      </c>
      <c r="AW258" s="12">
        <v>46001</v>
      </c>
      <c r="AX258" s="140">
        <v>69</v>
      </c>
      <c r="AY258" s="149" t="s">
        <v>1163</v>
      </c>
      <c r="AZ258" s="11"/>
      <c r="BA258" s="11" t="s">
        <v>575</v>
      </c>
    </row>
    <row r="259" spans="38:53" x14ac:dyDescent="0.3">
      <c r="AL259" s="147" t="s">
        <v>1308</v>
      </c>
      <c r="AM259" s="139" t="s">
        <v>1006</v>
      </c>
      <c r="AN259" s="139" t="s">
        <v>979</v>
      </c>
      <c r="AO259" s="139" t="s">
        <v>985</v>
      </c>
      <c r="AP259" s="139" t="s">
        <v>992</v>
      </c>
      <c r="AQ259" s="139" t="s">
        <v>1027</v>
      </c>
      <c r="AR259" s="139" t="s">
        <v>994</v>
      </c>
      <c r="AS259" s="12">
        <v>45615</v>
      </c>
      <c r="AT259" s="148">
        <v>45980</v>
      </c>
      <c r="AU259" s="140">
        <v>48</v>
      </c>
      <c r="AV259" s="149" t="s">
        <v>1163</v>
      </c>
      <c r="AW259" s="12">
        <v>45981</v>
      </c>
      <c r="AX259" s="140">
        <v>49</v>
      </c>
      <c r="AY259" s="149" t="s">
        <v>1163</v>
      </c>
      <c r="AZ259" s="11"/>
      <c r="BA259" s="11" t="s">
        <v>575</v>
      </c>
    </row>
    <row r="260" spans="38:53" x14ac:dyDescent="0.3">
      <c r="AL260" s="147" t="s">
        <v>1309</v>
      </c>
      <c r="AM260" s="139" t="s">
        <v>1006</v>
      </c>
      <c r="AN260" s="139" t="s">
        <v>970</v>
      </c>
      <c r="AO260" s="139" t="s">
        <v>966</v>
      </c>
      <c r="AP260" s="139" t="s">
        <v>972</v>
      </c>
      <c r="AQ260" s="139" t="s">
        <v>1250</v>
      </c>
      <c r="AR260" s="139" t="s">
        <v>994</v>
      </c>
      <c r="AS260" s="12">
        <v>45619</v>
      </c>
      <c r="AT260" s="148">
        <v>45984</v>
      </c>
      <c r="AU260" s="140">
        <v>52</v>
      </c>
      <c r="AV260" s="149" t="s">
        <v>1163</v>
      </c>
      <c r="AW260" s="12">
        <v>45859</v>
      </c>
      <c r="AX260" s="140">
        <v>-73</v>
      </c>
      <c r="AY260" s="149" t="s">
        <v>1164</v>
      </c>
      <c r="AZ260" s="11"/>
      <c r="BA260" s="11" t="s">
        <v>575</v>
      </c>
    </row>
    <row r="261" spans="38:53" x14ac:dyDescent="0.3">
      <c r="AL261" s="147" t="s">
        <v>1310</v>
      </c>
      <c r="AM261" s="139" t="s">
        <v>978</v>
      </c>
      <c r="AN261" s="139" t="s">
        <v>979</v>
      </c>
      <c r="AO261" s="139" t="s">
        <v>985</v>
      </c>
      <c r="AP261" s="139" t="s">
        <v>992</v>
      </c>
      <c r="AQ261" s="139" t="s">
        <v>993</v>
      </c>
      <c r="AR261" s="139" t="s">
        <v>988</v>
      </c>
      <c r="AS261" s="12">
        <v>45572</v>
      </c>
      <c r="AT261" s="148">
        <v>45937</v>
      </c>
      <c r="AU261" s="140">
        <v>5</v>
      </c>
      <c r="AV261" s="149" t="s">
        <v>975</v>
      </c>
      <c r="AW261" s="12">
        <v>46001</v>
      </c>
      <c r="AX261" s="140">
        <v>69</v>
      </c>
      <c r="AY261" s="149" t="s">
        <v>1163</v>
      </c>
      <c r="AZ261" s="11"/>
      <c r="BA261" s="11" t="s">
        <v>575</v>
      </c>
    </row>
    <row r="262" spans="38:53" x14ac:dyDescent="0.3">
      <c r="AL262" s="147" t="s">
        <v>1311</v>
      </c>
      <c r="AM262" s="139" t="s">
        <v>978</v>
      </c>
      <c r="AN262" s="139" t="s">
        <v>979</v>
      </c>
      <c r="AO262" s="139" t="s">
        <v>985</v>
      </c>
      <c r="AP262" s="139" t="s">
        <v>986</v>
      </c>
      <c r="AQ262" s="139" t="s">
        <v>987</v>
      </c>
      <c r="AR262" s="139" t="s">
        <v>994</v>
      </c>
      <c r="AS262" s="12">
        <v>45620</v>
      </c>
      <c r="AT262" s="148">
        <v>45985</v>
      </c>
      <c r="AU262" s="140">
        <v>53</v>
      </c>
      <c r="AV262" s="149" t="s">
        <v>1163</v>
      </c>
      <c r="AW262" s="12">
        <v>46001</v>
      </c>
      <c r="AX262" s="140">
        <v>69</v>
      </c>
      <c r="AY262" s="149" t="s">
        <v>1163</v>
      </c>
      <c r="AZ262" s="11"/>
      <c r="BA262" s="11" t="s">
        <v>575</v>
      </c>
    </row>
    <row r="263" spans="38:53" x14ac:dyDescent="0.3">
      <c r="AL263" s="147" t="s">
        <v>1312</v>
      </c>
      <c r="AM263" s="139" t="s">
        <v>978</v>
      </c>
      <c r="AN263" s="139" t="s">
        <v>979</v>
      </c>
      <c r="AO263" s="139" t="s">
        <v>971</v>
      </c>
      <c r="AP263" s="139" t="s">
        <v>972</v>
      </c>
      <c r="AQ263" s="139" t="s">
        <v>1018</v>
      </c>
      <c r="AR263" s="139" t="s">
        <v>988</v>
      </c>
      <c r="AS263" s="12">
        <v>45573</v>
      </c>
      <c r="AT263" s="148">
        <v>45938</v>
      </c>
      <c r="AU263" s="140">
        <v>6</v>
      </c>
      <c r="AV263" s="149" t="s">
        <v>975</v>
      </c>
      <c r="AW263" s="12">
        <v>46004</v>
      </c>
      <c r="AX263" s="140">
        <v>72</v>
      </c>
      <c r="AY263" s="149" t="s">
        <v>1163</v>
      </c>
      <c r="AZ263" s="11"/>
      <c r="BA263" s="11" t="s">
        <v>575</v>
      </c>
    </row>
    <row r="264" spans="38:53" x14ac:dyDescent="0.3">
      <c r="AL264" s="147" t="s">
        <v>157</v>
      </c>
      <c r="AM264" s="139" t="s">
        <v>1276</v>
      </c>
      <c r="AN264" s="139" t="s">
        <v>966</v>
      </c>
      <c r="AO264" s="139" t="s">
        <v>985</v>
      </c>
      <c r="AP264" s="139" t="s">
        <v>1002</v>
      </c>
      <c r="AQ264" s="139" t="s">
        <v>1003</v>
      </c>
      <c r="AR264" s="139" t="s">
        <v>1004</v>
      </c>
      <c r="AS264" s="12">
        <v>45363</v>
      </c>
      <c r="AT264" s="148">
        <v>46458</v>
      </c>
      <c r="AU264" s="140">
        <v>526</v>
      </c>
      <c r="AV264" s="149" t="s">
        <v>1163</v>
      </c>
      <c r="AW264" s="12">
        <v>46101</v>
      </c>
      <c r="AX264" s="140">
        <v>169</v>
      </c>
      <c r="AY264" s="149" t="s">
        <v>1163</v>
      </c>
      <c r="AZ264" s="11"/>
      <c r="BA264" s="11" t="s">
        <v>48</v>
      </c>
    </row>
    <row r="265" spans="38:53" x14ac:dyDescent="0.3">
      <c r="AL265" s="147" t="s">
        <v>158</v>
      </c>
      <c r="AM265" s="139" t="s">
        <v>1276</v>
      </c>
      <c r="AN265" s="139" t="s">
        <v>966</v>
      </c>
      <c r="AO265" s="139" t="s">
        <v>985</v>
      </c>
      <c r="AP265" s="139" t="s">
        <v>1002</v>
      </c>
      <c r="AQ265" s="139" t="s">
        <v>1003</v>
      </c>
      <c r="AR265" s="139" t="s">
        <v>1004</v>
      </c>
      <c r="AS265" s="12">
        <v>45363</v>
      </c>
      <c r="AT265" s="148">
        <v>46458</v>
      </c>
      <c r="AU265" s="140">
        <v>526</v>
      </c>
      <c r="AV265" s="149" t="s">
        <v>1163</v>
      </c>
      <c r="AW265" s="12">
        <v>46101</v>
      </c>
      <c r="AX265" s="140">
        <v>169</v>
      </c>
      <c r="AY265" s="149" t="s">
        <v>1163</v>
      </c>
      <c r="AZ265" s="11"/>
      <c r="BA265" s="11" t="s">
        <v>48</v>
      </c>
    </row>
    <row r="266" spans="38:53" x14ac:dyDescent="0.3">
      <c r="AL266" s="147" t="s">
        <v>1313</v>
      </c>
      <c r="AM266" s="139" t="s">
        <v>978</v>
      </c>
      <c r="AN266" s="139" t="s">
        <v>979</v>
      </c>
      <c r="AO266" s="139" t="s">
        <v>971</v>
      </c>
      <c r="AP266" s="139" t="s">
        <v>972</v>
      </c>
      <c r="AQ266" s="139" t="s">
        <v>1018</v>
      </c>
      <c r="AR266" s="139" t="s">
        <v>974</v>
      </c>
      <c r="AS266" s="12">
        <v>45621</v>
      </c>
      <c r="AT266" s="148">
        <v>45986</v>
      </c>
      <c r="AU266" s="140">
        <v>54</v>
      </c>
      <c r="AV266" s="149" t="s">
        <v>1163</v>
      </c>
      <c r="AW266" s="12">
        <v>46001</v>
      </c>
      <c r="AX266" s="140">
        <v>69</v>
      </c>
      <c r="AY266" s="149" t="s">
        <v>1163</v>
      </c>
      <c r="AZ266" s="11"/>
      <c r="BA266" s="11" t="s">
        <v>575</v>
      </c>
    </row>
    <row r="267" spans="38:53" x14ac:dyDescent="0.3">
      <c r="AL267" s="147" t="s">
        <v>1314</v>
      </c>
      <c r="AM267" s="139" t="s">
        <v>978</v>
      </c>
      <c r="AN267" s="139" t="s">
        <v>979</v>
      </c>
      <c r="AO267" s="139" t="s">
        <v>985</v>
      </c>
      <c r="AP267" s="139" t="s">
        <v>992</v>
      </c>
      <c r="AQ267" s="139" t="s">
        <v>1087</v>
      </c>
      <c r="AR267" s="139" t="s">
        <v>988</v>
      </c>
      <c r="AS267" s="12">
        <v>45578</v>
      </c>
      <c r="AT267" s="148">
        <v>45943</v>
      </c>
      <c r="AU267" s="140">
        <v>11</v>
      </c>
      <c r="AV267" s="149" t="s">
        <v>1163</v>
      </c>
      <c r="AW267" s="12">
        <v>46001</v>
      </c>
      <c r="AX267" s="140">
        <v>69</v>
      </c>
      <c r="AY267" s="149" t="s">
        <v>1163</v>
      </c>
      <c r="AZ267" s="11"/>
      <c r="BA267" s="11" t="s">
        <v>575</v>
      </c>
    </row>
    <row r="268" spans="38:53" x14ac:dyDescent="0.3">
      <c r="AL268" s="147" t="s">
        <v>1315</v>
      </c>
      <c r="AM268" s="139" t="s">
        <v>978</v>
      </c>
      <c r="AN268" s="139" t="s">
        <v>979</v>
      </c>
      <c r="AO268" s="139" t="s">
        <v>971</v>
      </c>
      <c r="AP268" s="139" t="s">
        <v>972</v>
      </c>
      <c r="AQ268" s="139" t="s">
        <v>973</v>
      </c>
      <c r="AR268" s="139" t="s">
        <v>974</v>
      </c>
      <c r="AS268" s="12">
        <v>45661</v>
      </c>
      <c r="AT268" s="148">
        <v>46026</v>
      </c>
      <c r="AU268" s="140">
        <v>94</v>
      </c>
      <c r="AV268" s="149" t="s">
        <v>1163</v>
      </c>
      <c r="AW268" s="12">
        <v>46001</v>
      </c>
      <c r="AX268" s="140">
        <v>69</v>
      </c>
      <c r="AY268" s="149" t="s">
        <v>1163</v>
      </c>
      <c r="AZ268" s="11"/>
      <c r="BA268" s="11" t="s">
        <v>575</v>
      </c>
    </row>
    <row r="269" spans="38:53" x14ac:dyDescent="0.3">
      <c r="AL269" s="147" t="s">
        <v>1316</v>
      </c>
      <c r="AM269" s="139" t="s">
        <v>1006</v>
      </c>
      <c r="AN269" s="139" t="s">
        <v>979</v>
      </c>
      <c r="AO269" s="139" t="s">
        <v>985</v>
      </c>
      <c r="AP269" s="139" t="s">
        <v>992</v>
      </c>
      <c r="AQ269" s="139" t="s">
        <v>1016</v>
      </c>
      <c r="AR269" s="139" t="s">
        <v>994</v>
      </c>
      <c r="AS269" s="12">
        <v>45626</v>
      </c>
      <c r="AT269" s="148">
        <v>45991</v>
      </c>
      <c r="AU269" s="140">
        <v>59</v>
      </c>
      <c r="AV269" s="149" t="s">
        <v>1163</v>
      </c>
      <c r="AW269" s="12">
        <v>46140</v>
      </c>
      <c r="AX269" s="140">
        <v>208</v>
      </c>
      <c r="AY269" s="149" t="s">
        <v>1163</v>
      </c>
      <c r="AZ269" s="11"/>
      <c r="BA269" s="11" t="s">
        <v>575</v>
      </c>
    </row>
    <row r="270" spans="38:53" x14ac:dyDescent="0.3">
      <c r="AL270" s="147" t="s">
        <v>1317</v>
      </c>
      <c r="AM270" s="139" t="s">
        <v>978</v>
      </c>
      <c r="AN270" s="139" t="s">
        <v>979</v>
      </c>
      <c r="AO270" s="139" t="s">
        <v>966</v>
      </c>
      <c r="AP270" s="139" t="s">
        <v>1060</v>
      </c>
      <c r="AQ270" s="139" t="s">
        <v>1061</v>
      </c>
      <c r="AR270" s="139" t="s">
        <v>994</v>
      </c>
      <c r="AS270" s="12">
        <v>45655</v>
      </c>
      <c r="AT270" s="148">
        <v>46020</v>
      </c>
      <c r="AU270" s="140">
        <v>88</v>
      </c>
      <c r="AV270" s="149" t="s">
        <v>1163</v>
      </c>
      <c r="AW270" s="12">
        <v>46001</v>
      </c>
      <c r="AX270" s="140">
        <v>69</v>
      </c>
      <c r="AY270" s="149" t="s">
        <v>1163</v>
      </c>
      <c r="AZ270" s="11"/>
      <c r="BA270" s="11" t="s">
        <v>575</v>
      </c>
    </row>
    <row r="271" spans="38:53" x14ac:dyDescent="0.3">
      <c r="AL271" s="147" t="s">
        <v>1318</v>
      </c>
      <c r="AM271" s="139" t="s">
        <v>978</v>
      </c>
      <c r="AN271" s="139" t="s">
        <v>979</v>
      </c>
      <c r="AO271" s="139" t="s">
        <v>966</v>
      </c>
      <c r="AP271" s="139" t="s">
        <v>972</v>
      </c>
      <c r="AQ271" s="139" t="s">
        <v>1034</v>
      </c>
      <c r="AR271" s="139" t="s">
        <v>994</v>
      </c>
      <c r="AS271" s="12">
        <v>45664</v>
      </c>
      <c r="AT271" s="148">
        <v>46029</v>
      </c>
      <c r="AU271" s="140">
        <v>97</v>
      </c>
      <c r="AV271" s="149" t="s">
        <v>1163</v>
      </c>
      <c r="AW271" s="12">
        <v>45972</v>
      </c>
      <c r="AX271" s="140">
        <v>40</v>
      </c>
      <c r="AY271" s="149" t="s">
        <v>1163</v>
      </c>
      <c r="AZ271" s="11"/>
      <c r="BA271" s="11" t="s">
        <v>575</v>
      </c>
    </row>
    <row r="272" spans="38:53" x14ac:dyDescent="0.3">
      <c r="AL272" s="147" t="s">
        <v>1319</v>
      </c>
      <c r="AM272" s="139" t="s">
        <v>978</v>
      </c>
      <c r="AN272" s="139" t="s">
        <v>979</v>
      </c>
      <c r="AO272" s="139" t="s">
        <v>985</v>
      </c>
      <c r="AP272" s="139" t="s">
        <v>992</v>
      </c>
      <c r="AQ272" s="139" t="s">
        <v>1087</v>
      </c>
      <c r="AR272" s="139" t="s">
        <v>988</v>
      </c>
      <c r="AS272" s="12">
        <v>45597</v>
      </c>
      <c r="AT272" s="148">
        <v>45962</v>
      </c>
      <c r="AU272" s="140">
        <v>30</v>
      </c>
      <c r="AV272" s="149" t="s">
        <v>1163</v>
      </c>
      <c r="AW272" s="12">
        <v>45970</v>
      </c>
      <c r="AX272" s="140">
        <v>38</v>
      </c>
      <c r="AY272" s="149" t="s">
        <v>1163</v>
      </c>
      <c r="AZ272" s="11"/>
      <c r="BA272" s="11" t="s">
        <v>575</v>
      </c>
    </row>
    <row r="273" spans="38:53" x14ac:dyDescent="0.3">
      <c r="AL273" s="147" t="s">
        <v>166</v>
      </c>
      <c r="AM273" s="139" t="s">
        <v>1276</v>
      </c>
      <c r="AN273" s="139" t="s">
        <v>966</v>
      </c>
      <c r="AO273" s="139" t="s">
        <v>971</v>
      </c>
      <c r="AP273" s="139" t="s">
        <v>972</v>
      </c>
      <c r="AQ273" s="139" t="s">
        <v>1018</v>
      </c>
      <c r="AR273" s="139" t="s">
        <v>1004</v>
      </c>
      <c r="AS273" s="12">
        <v>45363</v>
      </c>
      <c r="AT273" s="148">
        <v>46458</v>
      </c>
      <c r="AU273" s="140">
        <v>526</v>
      </c>
      <c r="AV273" s="149" t="s">
        <v>1163</v>
      </c>
      <c r="AW273" s="12">
        <v>46101</v>
      </c>
      <c r="AX273" s="140">
        <v>169</v>
      </c>
      <c r="AY273" s="149" t="s">
        <v>1163</v>
      </c>
      <c r="AZ273" s="11"/>
      <c r="BA273" s="11" t="s">
        <v>48</v>
      </c>
    </row>
    <row r="274" spans="38:53" x14ac:dyDescent="0.3">
      <c r="AL274" s="147" t="s">
        <v>1320</v>
      </c>
      <c r="AM274" s="139" t="s">
        <v>978</v>
      </c>
      <c r="AN274" s="139" t="s">
        <v>979</v>
      </c>
      <c r="AO274" s="139" t="s">
        <v>985</v>
      </c>
      <c r="AP274" s="139" t="s">
        <v>986</v>
      </c>
      <c r="AQ274" s="139" t="s">
        <v>987</v>
      </c>
      <c r="AR274" s="139" t="s">
        <v>988</v>
      </c>
      <c r="AS274" s="12">
        <v>45610</v>
      </c>
      <c r="AT274" s="148">
        <v>45975</v>
      </c>
      <c r="AU274" s="140">
        <v>43</v>
      </c>
      <c r="AV274" s="149" t="s">
        <v>1163</v>
      </c>
      <c r="AW274" s="12">
        <v>46001</v>
      </c>
      <c r="AX274" s="140">
        <v>69</v>
      </c>
      <c r="AY274" s="149" t="s">
        <v>1163</v>
      </c>
      <c r="AZ274" s="11"/>
      <c r="BA274" s="11" t="s">
        <v>575</v>
      </c>
    </row>
    <row r="275" spans="38:53" x14ac:dyDescent="0.3">
      <c r="AL275" s="147" t="s">
        <v>93</v>
      </c>
      <c r="AM275" s="139" t="s">
        <v>1173</v>
      </c>
      <c r="AN275" s="139" t="s">
        <v>966</v>
      </c>
      <c r="AO275" s="139" t="s">
        <v>985</v>
      </c>
      <c r="AP275" s="139" t="s">
        <v>992</v>
      </c>
      <c r="AQ275" s="139" t="s">
        <v>1321</v>
      </c>
      <c r="AR275" s="139" t="s">
        <v>1004</v>
      </c>
      <c r="AS275" s="12">
        <v>45370</v>
      </c>
      <c r="AT275" s="148">
        <v>46461</v>
      </c>
      <c r="AU275" s="140">
        <v>529</v>
      </c>
      <c r="AV275" s="149" t="s">
        <v>1163</v>
      </c>
      <c r="AW275" s="12">
        <v>45924</v>
      </c>
      <c r="AX275" s="140">
        <v>-8</v>
      </c>
      <c r="AY275" s="149" t="s">
        <v>1164</v>
      </c>
      <c r="AZ275" s="11"/>
      <c r="BA275" s="11" t="s">
        <v>54</v>
      </c>
    </row>
    <row r="276" spans="38:53" x14ac:dyDescent="0.3">
      <c r="AL276" s="147" t="s">
        <v>1322</v>
      </c>
      <c r="AM276" s="139" t="s">
        <v>978</v>
      </c>
      <c r="AN276" s="139" t="s">
        <v>979</v>
      </c>
      <c r="AO276" s="139" t="s">
        <v>985</v>
      </c>
      <c r="AP276" s="139" t="s">
        <v>986</v>
      </c>
      <c r="AQ276" s="139" t="s">
        <v>987</v>
      </c>
      <c r="AR276" s="139" t="s">
        <v>988</v>
      </c>
      <c r="AS276" s="12">
        <v>45640</v>
      </c>
      <c r="AT276" s="148">
        <v>46005</v>
      </c>
      <c r="AU276" s="140">
        <v>73</v>
      </c>
      <c r="AV276" s="149" t="s">
        <v>1163</v>
      </c>
      <c r="AW276" s="12">
        <v>46001</v>
      </c>
      <c r="AX276" s="140">
        <v>69</v>
      </c>
      <c r="AY276" s="149" t="s">
        <v>1163</v>
      </c>
      <c r="AZ276" s="11"/>
      <c r="BA276" s="11" t="s">
        <v>575</v>
      </c>
    </row>
    <row r="277" spans="38:53" x14ac:dyDescent="0.3">
      <c r="AL277" s="147" t="s">
        <v>1323</v>
      </c>
      <c r="AM277" s="139" t="s">
        <v>978</v>
      </c>
      <c r="AN277" s="139" t="s">
        <v>979</v>
      </c>
      <c r="AO277" s="139" t="s">
        <v>966</v>
      </c>
      <c r="AP277" s="139" t="s">
        <v>972</v>
      </c>
      <c r="AQ277" s="139" t="s">
        <v>1250</v>
      </c>
      <c r="AR277" s="139" t="s">
        <v>994</v>
      </c>
      <c r="AS277" s="12">
        <v>45665</v>
      </c>
      <c r="AT277" s="148">
        <v>46030</v>
      </c>
      <c r="AU277" s="140">
        <v>98</v>
      </c>
      <c r="AV277" s="149" t="s">
        <v>1163</v>
      </c>
      <c r="AW277" s="12">
        <v>46001</v>
      </c>
      <c r="AX277" s="140">
        <v>69</v>
      </c>
      <c r="AY277" s="149" t="s">
        <v>1163</v>
      </c>
      <c r="AZ277" s="11"/>
      <c r="BA277" s="11" t="s">
        <v>575</v>
      </c>
    </row>
    <row r="278" spans="38:53" x14ac:dyDescent="0.3">
      <c r="AL278" s="147" t="s">
        <v>1324</v>
      </c>
      <c r="AM278" s="139" t="s">
        <v>978</v>
      </c>
      <c r="AN278" s="139" t="s">
        <v>979</v>
      </c>
      <c r="AO278" s="139" t="s">
        <v>985</v>
      </c>
      <c r="AP278" s="139" t="s">
        <v>986</v>
      </c>
      <c r="AQ278" s="139" t="s">
        <v>987</v>
      </c>
      <c r="AR278" s="139" t="s">
        <v>988</v>
      </c>
      <c r="AS278" s="12">
        <v>45689</v>
      </c>
      <c r="AT278" s="148">
        <v>46054</v>
      </c>
      <c r="AU278" s="140">
        <v>122</v>
      </c>
      <c r="AV278" s="149" t="s">
        <v>1163</v>
      </c>
      <c r="AW278" s="12">
        <v>46001</v>
      </c>
      <c r="AX278" s="140">
        <v>69</v>
      </c>
      <c r="AY278" s="149" t="s">
        <v>1163</v>
      </c>
      <c r="AZ278" s="11"/>
      <c r="BA278" s="11" t="s">
        <v>575</v>
      </c>
    </row>
    <row r="279" spans="38:53" x14ac:dyDescent="0.3">
      <c r="AL279" s="147" t="s">
        <v>1325</v>
      </c>
      <c r="AM279" s="139" t="s">
        <v>1006</v>
      </c>
      <c r="AN279" s="139" t="s">
        <v>979</v>
      </c>
      <c r="AO279" s="139" t="s">
        <v>985</v>
      </c>
      <c r="AP279" s="139" t="s">
        <v>992</v>
      </c>
      <c r="AQ279" s="139" t="s">
        <v>1094</v>
      </c>
      <c r="AR279" s="139" t="s">
        <v>994</v>
      </c>
      <c r="AS279" s="12">
        <v>45668</v>
      </c>
      <c r="AT279" s="148">
        <v>46033</v>
      </c>
      <c r="AU279" s="140">
        <v>101</v>
      </c>
      <c r="AV279" s="149" t="s">
        <v>1163</v>
      </c>
      <c r="AW279" s="12">
        <v>45963</v>
      </c>
      <c r="AX279" s="140">
        <v>31</v>
      </c>
      <c r="AY279" s="149" t="s">
        <v>1163</v>
      </c>
      <c r="AZ279" s="11"/>
      <c r="BA279" s="11" t="s">
        <v>575</v>
      </c>
    </row>
    <row r="280" spans="38:53" x14ac:dyDescent="0.3">
      <c r="AL280" s="147" t="s">
        <v>222</v>
      </c>
      <c r="AM280" s="139" t="s">
        <v>978</v>
      </c>
      <c r="AN280" s="139" t="s">
        <v>966</v>
      </c>
      <c r="AO280" s="139" t="s">
        <v>966</v>
      </c>
      <c r="AP280" s="139" t="s">
        <v>972</v>
      </c>
      <c r="AQ280" s="139" t="s">
        <v>1300</v>
      </c>
      <c r="AR280" s="139" t="s">
        <v>994</v>
      </c>
      <c r="AS280" s="12">
        <v>45668</v>
      </c>
      <c r="AT280" s="148">
        <v>46033</v>
      </c>
      <c r="AU280" s="140">
        <v>101</v>
      </c>
      <c r="AV280" s="149" t="s">
        <v>1163</v>
      </c>
      <c r="AW280" s="12">
        <v>45971</v>
      </c>
      <c r="AX280" s="140">
        <v>39</v>
      </c>
      <c r="AY280" s="149" t="s">
        <v>1163</v>
      </c>
      <c r="AZ280" s="11"/>
      <c r="BA280" s="11" t="s">
        <v>221</v>
      </c>
    </row>
    <row r="281" spans="38:53" x14ac:dyDescent="0.3">
      <c r="AL281" s="147" t="s">
        <v>1326</v>
      </c>
      <c r="AM281" s="139" t="s">
        <v>978</v>
      </c>
      <c r="AN281" s="139" t="s">
        <v>979</v>
      </c>
      <c r="AO281" s="139" t="s">
        <v>985</v>
      </c>
      <c r="AP281" s="139" t="s">
        <v>992</v>
      </c>
      <c r="AQ281" s="139" t="s">
        <v>1085</v>
      </c>
      <c r="AR281" s="139" t="s">
        <v>994</v>
      </c>
      <c r="AS281" s="12">
        <v>45668</v>
      </c>
      <c r="AT281" s="148">
        <v>46033</v>
      </c>
      <c r="AU281" s="140">
        <v>101</v>
      </c>
      <c r="AV281" s="149" t="s">
        <v>1163</v>
      </c>
      <c r="AW281" s="12">
        <v>45972</v>
      </c>
      <c r="AX281" s="140">
        <v>40</v>
      </c>
      <c r="AY281" s="149" t="s">
        <v>1163</v>
      </c>
      <c r="AZ281" s="11"/>
      <c r="BA281" s="11" t="s">
        <v>575</v>
      </c>
    </row>
    <row r="282" spans="38:53" x14ac:dyDescent="0.3">
      <c r="AL282" s="147" t="s">
        <v>1327</v>
      </c>
      <c r="AM282" s="139" t="s">
        <v>978</v>
      </c>
      <c r="AN282" s="139" t="s">
        <v>979</v>
      </c>
      <c r="AO282" s="139" t="s">
        <v>966</v>
      </c>
      <c r="AP282" s="139" t="s">
        <v>972</v>
      </c>
      <c r="AQ282" s="139" t="s">
        <v>1250</v>
      </c>
      <c r="AR282" s="139" t="s">
        <v>994</v>
      </c>
      <c r="AS282" s="12">
        <v>45668</v>
      </c>
      <c r="AT282" s="148">
        <v>46033</v>
      </c>
      <c r="AU282" s="140">
        <v>101</v>
      </c>
      <c r="AV282" s="149" t="s">
        <v>1163</v>
      </c>
      <c r="AW282" s="12">
        <v>45972</v>
      </c>
      <c r="AX282" s="140">
        <v>40</v>
      </c>
      <c r="AY282" s="149" t="s">
        <v>1163</v>
      </c>
      <c r="AZ282" s="11"/>
      <c r="BA282" s="11" t="s">
        <v>575</v>
      </c>
    </row>
    <row r="283" spans="38:53" x14ac:dyDescent="0.3">
      <c r="AL283" s="147" t="s">
        <v>1328</v>
      </c>
      <c r="AM283" s="139" t="s">
        <v>1006</v>
      </c>
      <c r="AN283" s="139" t="s">
        <v>979</v>
      </c>
      <c r="AO283" s="139" t="s">
        <v>985</v>
      </c>
      <c r="AP283" s="139" t="s">
        <v>986</v>
      </c>
      <c r="AQ283" s="139" t="s">
        <v>1329</v>
      </c>
      <c r="AR283" s="139" t="s">
        <v>994</v>
      </c>
      <c r="AS283" s="12">
        <v>45675</v>
      </c>
      <c r="AT283" s="148">
        <v>46040</v>
      </c>
      <c r="AU283" s="140">
        <v>108</v>
      </c>
      <c r="AV283" s="149" t="s">
        <v>1163</v>
      </c>
      <c r="AW283" s="12">
        <v>45981</v>
      </c>
      <c r="AX283" s="140">
        <v>49</v>
      </c>
      <c r="AY283" s="149" t="s">
        <v>1163</v>
      </c>
      <c r="AZ283" s="11"/>
      <c r="BA283" s="11" t="s">
        <v>575</v>
      </c>
    </row>
    <row r="284" spans="38:53" x14ac:dyDescent="0.3">
      <c r="AL284" s="147" t="s">
        <v>1330</v>
      </c>
      <c r="AM284" s="139" t="s">
        <v>978</v>
      </c>
      <c r="AN284" s="139" t="s">
        <v>979</v>
      </c>
      <c r="AO284" s="139" t="s">
        <v>985</v>
      </c>
      <c r="AP284" s="139" t="s">
        <v>992</v>
      </c>
      <c r="AQ284" s="139" t="s">
        <v>993</v>
      </c>
      <c r="AR284" s="139" t="s">
        <v>994</v>
      </c>
      <c r="AS284" s="12">
        <v>45675</v>
      </c>
      <c r="AT284" s="148">
        <v>46040</v>
      </c>
      <c r="AU284" s="140">
        <v>108</v>
      </c>
      <c r="AV284" s="149" t="s">
        <v>1163</v>
      </c>
      <c r="AW284" s="12">
        <v>46004</v>
      </c>
      <c r="AX284" s="140">
        <v>72</v>
      </c>
      <c r="AY284" s="149" t="s">
        <v>1163</v>
      </c>
      <c r="AZ284" s="11"/>
      <c r="BA284" s="11" t="s">
        <v>575</v>
      </c>
    </row>
    <row r="285" spans="38:53" x14ac:dyDescent="0.3">
      <c r="AL285" s="147" t="s">
        <v>1331</v>
      </c>
      <c r="AM285" s="139" t="s">
        <v>1038</v>
      </c>
      <c r="AN285" s="139" t="s">
        <v>970</v>
      </c>
      <c r="AO285" s="139" t="s">
        <v>966</v>
      </c>
      <c r="AP285" s="139" t="s">
        <v>972</v>
      </c>
      <c r="AQ285" s="139" t="s">
        <v>1026</v>
      </c>
      <c r="AR285" s="139" t="s">
        <v>994</v>
      </c>
      <c r="AS285" s="12">
        <v>45686</v>
      </c>
      <c r="AT285" s="148">
        <v>46051</v>
      </c>
      <c r="AU285" s="140">
        <v>119</v>
      </c>
      <c r="AV285" s="149" t="s">
        <v>1163</v>
      </c>
      <c r="AW285" s="12">
        <v>45957</v>
      </c>
      <c r="AX285" s="140">
        <v>25</v>
      </c>
      <c r="AY285" s="149" t="s">
        <v>1163</v>
      </c>
      <c r="AZ285" s="11"/>
      <c r="BA285" s="11" t="s">
        <v>575</v>
      </c>
    </row>
    <row r="286" spans="38:53" x14ac:dyDescent="0.3">
      <c r="AL286" s="147" t="s">
        <v>77</v>
      </c>
      <c r="AM286" s="139" t="s">
        <v>1173</v>
      </c>
      <c r="AN286" s="139" t="s">
        <v>966</v>
      </c>
      <c r="AO286" s="139" t="s">
        <v>985</v>
      </c>
      <c r="AP286" s="139" t="s">
        <v>1205</v>
      </c>
      <c r="AQ286" s="139" t="s">
        <v>1332</v>
      </c>
      <c r="AR286" s="139" t="s">
        <v>1004</v>
      </c>
      <c r="AS286" s="12">
        <v>45370</v>
      </c>
      <c r="AT286" s="148">
        <v>46461</v>
      </c>
      <c r="AU286" s="140">
        <v>529</v>
      </c>
      <c r="AV286" s="149" t="s">
        <v>1163</v>
      </c>
      <c r="AW286" s="12">
        <v>45924</v>
      </c>
      <c r="AX286" s="140">
        <v>-8</v>
      </c>
      <c r="AY286" s="149" t="s">
        <v>1164</v>
      </c>
      <c r="AZ286" s="11"/>
      <c r="BA286" s="11" t="s">
        <v>54</v>
      </c>
    </row>
    <row r="287" spans="38:53" x14ac:dyDescent="0.3">
      <c r="AL287" s="147" t="s">
        <v>1333</v>
      </c>
      <c r="AM287" s="139" t="s">
        <v>978</v>
      </c>
      <c r="AN287" s="139" t="s">
        <v>979</v>
      </c>
      <c r="AO287" s="139" t="s">
        <v>971</v>
      </c>
      <c r="AP287" s="139" t="s">
        <v>972</v>
      </c>
      <c r="AQ287" s="139" t="s">
        <v>1018</v>
      </c>
      <c r="AR287" s="139" t="s">
        <v>974</v>
      </c>
      <c r="AS287" s="12">
        <v>45741</v>
      </c>
      <c r="AT287" s="148">
        <v>46106</v>
      </c>
      <c r="AU287" s="140">
        <v>174</v>
      </c>
      <c r="AV287" s="149" t="s">
        <v>1163</v>
      </c>
      <c r="AW287" s="12">
        <v>46001</v>
      </c>
      <c r="AX287" s="140">
        <v>69</v>
      </c>
      <c r="AY287" s="149" t="s">
        <v>1163</v>
      </c>
      <c r="AZ287" s="11"/>
      <c r="BA287" s="11" t="s">
        <v>575</v>
      </c>
    </row>
    <row r="288" spans="38:53" x14ac:dyDescent="0.3">
      <c r="AL288" s="147" t="s">
        <v>1334</v>
      </c>
      <c r="AM288" s="139" t="s">
        <v>978</v>
      </c>
      <c r="AN288" s="139" t="s">
        <v>979</v>
      </c>
      <c r="AO288" s="139" t="s">
        <v>971</v>
      </c>
      <c r="AP288" s="139" t="s">
        <v>972</v>
      </c>
      <c r="AQ288" s="139" t="s">
        <v>980</v>
      </c>
      <c r="AR288" s="139" t="s">
        <v>981</v>
      </c>
      <c r="AS288" s="12">
        <v>45549</v>
      </c>
      <c r="AT288" s="148">
        <v>45914</v>
      </c>
      <c r="AU288" s="140">
        <v>-18</v>
      </c>
      <c r="AV288" s="149" t="s">
        <v>1164</v>
      </c>
      <c r="AW288" s="12">
        <v>46001</v>
      </c>
      <c r="AX288" s="140">
        <v>69</v>
      </c>
      <c r="AY288" s="149" t="s">
        <v>1163</v>
      </c>
      <c r="AZ288" s="11"/>
      <c r="BA288" s="11" t="s">
        <v>575</v>
      </c>
    </row>
    <row r="289" spans="38:53" x14ac:dyDescent="0.3">
      <c r="AL289" s="147" t="s">
        <v>1335</v>
      </c>
      <c r="AM289" s="139" t="s">
        <v>1109</v>
      </c>
      <c r="AN289" s="139" t="s">
        <v>979</v>
      </c>
      <c r="AO289" s="139" t="s">
        <v>985</v>
      </c>
      <c r="AP289" s="139" t="s">
        <v>992</v>
      </c>
      <c r="AQ289" s="139" t="s">
        <v>1172</v>
      </c>
      <c r="AR289" s="139" t="s">
        <v>981</v>
      </c>
      <c r="AS289" s="12">
        <v>45733</v>
      </c>
      <c r="AT289" s="148">
        <v>45917</v>
      </c>
      <c r="AU289" s="140">
        <v>-15</v>
      </c>
      <c r="AV289" s="149" t="s">
        <v>1164</v>
      </c>
      <c r="AW289" s="12">
        <v>46081</v>
      </c>
      <c r="AX289" s="140">
        <v>149</v>
      </c>
      <c r="AY289" s="149" t="s">
        <v>1163</v>
      </c>
      <c r="AZ289" s="11"/>
      <c r="BA289" s="11" t="s">
        <v>575</v>
      </c>
    </row>
    <row r="290" spans="38:53" x14ac:dyDescent="0.3">
      <c r="AL290" s="147" t="s">
        <v>72</v>
      </c>
      <c r="AM290" s="139" t="s">
        <v>1173</v>
      </c>
      <c r="AN290" s="139" t="s">
        <v>966</v>
      </c>
      <c r="AO290" s="139" t="s">
        <v>985</v>
      </c>
      <c r="AP290" s="139" t="s">
        <v>992</v>
      </c>
      <c r="AQ290" s="139" t="s">
        <v>1336</v>
      </c>
      <c r="AR290" s="139" t="s">
        <v>1004</v>
      </c>
      <c r="AS290" s="12">
        <v>45370</v>
      </c>
      <c r="AT290" s="148">
        <v>46461</v>
      </c>
      <c r="AU290" s="140">
        <v>529</v>
      </c>
      <c r="AV290" s="149" t="s">
        <v>1163</v>
      </c>
      <c r="AW290" s="12">
        <v>45924</v>
      </c>
      <c r="AX290" s="140">
        <v>-8</v>
      </c>
      <c r="AY290" s="149" t="s">
        <v>1164</v>
      </c>
      <c r="AZ290" s="11"/>
      <c r="BA290" s="11" t="s">
        <v>54</v>
      </c>
    </row>
    <row r="291" spans="38:53" x14ac:dyDescent="0.3">
      <c r="AL291" s="147" t="s">
        <v>1337</v>
      </c>
      <c r="AM291" s="139" t="s">
        <v>978</v>
      </c>
      <c r="AN291" s="139" t="s">
        <v>979</v>
      </c>
      <c r="AO291" s="139" t="s">
        <v>985</v>
      </c>
      <c r="AP291" s="139" t="s">
        <v>986</v>
      </c>
      <c r="AQ291" s="139" t="s">
        <v>1338</v>
      </c>
      <c r="AR291" s="139" t="s">
        <v>988</v>
      </c>
      <c r="AS291" s="12">
        <v>45740</v>
      </c>
      <c r="AT291" s="148">
        <v>46105</v>
      </c>
      <c r="AU291" s="140">
        <v>173</v>
      </c>
      <c r="AV291" s="149" t="s">
        <v>1163</v>
      </c>
      <c r="AW291" s="12">
        <v>46001</v>
      </c>
      <c r="AX291" s="140">
        <v>69</v>
      </c>
      <c r="AY291" s="149" t="s">
        <v>1163</v>
      </c>
      <c r="AZ291" s="11"/>
      <c r="BA291" s="11" t="s">
        <v>575</v>
      </c>
    </row>
    <row r="292" spans="38:53" x14ac:dyDescent="0.3">
      <c r="AL292" s="147" t="s">
        <v>1339</v>
      </c>
      <c r="AM292" s="139" t="s">
        <v>1006</v>
      </c>
      <c r="AN292" s="139" t="s">
        <v>979</v>
      </c>
      <c r="AO292" s="139" t="s">
        <v>971</v>
      </c>
      <c r="AP292" s="139" t="s">
        <v>972</v>
      </c>
      <c r="AQ292" s="139" t="s">
        <v>1340</v>
      </c>
      <c r="AR292" s="139" t="s">
        <v>981</v>
      </c>
      <c r="AS292" s="12">
        <v>45568</v>
      </c>
      <c r="AT292" s="148">
        <v>45933</v>
      </c>
      <c r="AU292" s="140">
        <v>1</v>
      </c>
      <c r="AV292" s="149" t="s">
        <v>975</v>
      </c>
      <c r="AW292" s="12">
        <v>45935</v>
      </c>
      <c r="AX292" s="140">
        <v>3</v>
      </c>
      <c r="AY292" s="149" t="s">
        <v>1164</v>
      </c>
      <c r="AZ292" s="11"/>
      <c r="BA292" s="11" t="s">
        <v>575</v>
      </c>
    </row>
    <row r="293" spans="38:53" x14ac:dyDescent="0.3">
      <c r="AL293" s="147" t="s">
        <v>1341</v>
      </c>
      <c r="AM293" s="139" t="s">
        <v>1109</v>
      </c>
      <c r="AN293" s="139" t="s">
        <v>979</v>
      </c>
      <c r="AO293" s="139" t="s">
        <v>985</v>
      </c>
      <c r="AP293" s="139" t="s">
        <v>992</v>
      </c>
      <c r="AQ293" s="139" t="s">
        <v>1172</v>
      </c>
      <c r="AR293" s="139" t="s">
        <v>981</v>
      </c>
      <c r="AS293" s="12">
        <v>45758</v>
      </c>
      <c r="AT293" s="148">
        <v>45941</v>
      </c>
      <c r="AU293" s="140">
        <v>9</v>
      </c>
      <c r="AV293" s="149" t="s">
        <v>975</v>
      </c>
      <c r="AW293" s="12">
        <v>46081</v>
      </c>
      <c r="AX293" s="140">
        <v>149</v>
      </c>
      <c r="AY293" s="149" t="s">
        <v>1163</v>
      </c>
      <c r="AZ293" s="11"/>
      <c r="BA293" s="11" t="s">
        <v>575</v>
      </c>
    </row>
    <row r="294" spans="38:53" x14ac:dyDescent="0.3">
      <c r="AL294" s="147" t="s">
        <v>1342</v>
      </c>
      <c r="AM294" s="139" t="s">
        <v>978</v>
      </c>
      <c r="AN294" s="139" t="s">
        <v>979</v>
      </c>
      <c r="AO294" s="139" t="s">
        <v>971</v>
      </c>
      <c r="AP294" s="139" t="s">
        <v>972</v>
      </c>
      <c r="AQ294" s="139" t="s">
        <v>980</v>
      </c>
      <c r="AR294" s="139" t="s">
        <v>981</v>
      </c>
      <c r="AS294" s="12">
        <v>45577</v>
      </c>
      <c r="AT294" s="148">
        <v>45942</v>
      </c>
      <c r="AU294" s="140">
        <v>10</v>
      </c>
      <c r="AV294" s="149" t="s">
        <v>1163</v>
      </c>
      <c r="AW294" s="12">
        <v>46001</v>
      </c>
      <c r="AX294" s="140">
        <v>69</v>
      </c>
      <c r="AY294" s="149" t="s">
        <v>1163</v>
      </c>
      <c r="AZ294" s="11"/>
      <c r="BA294" s="11" t="s">
        <v>575</v>
      </c>
    </row>
    <row r="295" spans="38:53" x14ac:dyDescent="0.3">
      <c r="AL295" s="147" t="s">
        <v>1343</v>
      </c>
      <c r="AM295" s="139" t="s">
        <v>978</v>
      </c>
      <c r="AN295" s="139" t="s">
        <v>979</v>
      </c>
      <c r="AO295" s="139" t="s">
        <v>996</v>
      </c>
      <c r="AP295" s="139" t="s">
        <v>997</v>
      </c>
      <c r="AQ295" s="139" t="s">
        <v>998</v>
      </c>
      <c r="AR295" s="139" t="s">
        <v>994</v>
      </c>
      <c r="AS295" s="12">
        <v>45707</v>
      </c>
      <c r="AT295" s="148">
        <v>46072</v>
      </c>
      <c r="AU295" s="140">
        <v>140</v>
      </c>
      <c r="AV295" s="149" t="s">
        <v>1163</v>
      </c>
      <c r="AW295" s="12">
        <v>46154</v>
      </c>
      <c r="AX295" s="140">
        <v>222</v>
      </c>
      <c r="AY295" s="149" t="s">
        <v>1163</v>
      </c>
      <c r="AZ295" s="11"/>
      <c r="BA295" s="11" t="s">
        <v>575</v>
      </c>
    </row>
    <row r="296" spans="38:53" x14ac:dyDescent="0.3">
      <c r="AL296" s="147" t="s">
        <v>1344</v>
      </c>
      <c r="AM296" s="139" t="s">
        <v>1006</v>
      </c>
      <c r="AN296" s="139" t="s">
        <v>970</v>
      </c>
      <c r="AO296" s="139" t="s">
        <v>996</v>
      </c>
      <c r="AP296" s="139" t="s">
        <v>997</v>
      </c>
      <c r="AQ296" s="139" t="s">
        <v>998</v>
      </c>
      <c r="AR296" s="139" t="s">
        <v>994</v>
      </c>
      <c r="AS296" s="12">
        <v>45711</v>
      </c>
      <c r="AT296" s="148">
        <v>46076</v>
      </c>
      <c r="AU296" s="140">
        <v>144</v>
      </c>
      <c r="AV296" s="149" t="s">
        <v>1163</v>
      </c>
      <c r="AW296" s="12">
        <v>45876</v>
      </c>
      <c r="AX296" s="140">
        <v>-56</v>
      </c>
      <c r="AY296" s="149" t="s">
        <v>1164</v>
      </c>
      <c r="AZ296" s="11"/>
      <c r="BA296" s="11" t="s">
        <v>575</v>
      </c>
    </row>
    <row r="297" spans="38:53" x14ac:dyDescent="0.3">
      <c r="AL297" s="147" t="s">
        <v>1345</v>
      </c>
      <c r="AM297" s="139" t="s">
        <v>978</v>
      </c>
      <c r="AN297" s="139" t="s">
        <v>979</v>
      </c>
      <c r="AO297" s="139" t="s">
        <v>971</v>
      </c>
      <c r="AP297" s="139" t="s">
        <v>972</v>
      </c>
      <c r="AQ297" s="139" t="s">
        <v>1018</v>
      </c>
      <c r="AR297" s="139" t="s">
        <v>974</v>
      </c>
      <c r="AS297" s="12">
        <v>45536</v>
      </c>
      <c r="AT297" s="148">
        <v>45901</v>
      </c>
      <c r="AU297" s="140">
        <v>-31</v>
      </c>
      <c r="AV297" s="149" t="s">
        <v>1164</v>
      </c>
      <c r="AW297" s="12">
        <v>46004</v>
      </c>
      <c r="AX297" s="140">
        <v>72</v>
      </c>
      <c r="AY297" s="149" t="s">
        <v>1163</v>
      </c>
      <c r="AZ297" s="11"/>
      <c r="BA297" s="11" t="s">
        <v>575</v>
      </c>
    </row>
    <row r="298" spans="38:53" x14ac:dyDescent="0.3">
      <c r="AL298" s="147" t="s">
        <v>1346</v>
      </c>
      <c r="AM298" s="139" t="s">
        <v>1006</v>
      </c>
      <c r="AN298" s="139" t="s">
        <v>979</v>
      </c>
      <c r="AO298" s="139" t="s">
        <v>985</v>
      </c>
      <c r="AP298" s="139" t="s">
        <v>992</v>
      </c>
      <c r="AQ298" s="139" t="s">
        <v>1193</v>
      </c>
      <c r="AR298" s="139" t="s">
        <v>988</v>
      </c>
      <c r="AS298" s="12">
        <v>45748</v>
      </c>
      <c r="AT298" s="148">
        <v>46113</v>
      </c>
      <c r="AU298" s="140">
        <v>181</v>
      </c>
      <c r="AV298" s="149" t="s">
        <v>1163</v>
      </c>
      <c r="AW298" s="12">
        <v>45981</v>
      </c>
      <c r="AX298" s="140">
        <v>49</v>
      </c>
      <c r="AY298" s="149" t="s">
        <v>1163</v>
      </c>
      <c r="AZ298" s="11"/>
      <c r="BA298" s="11" t="s">
        <v>575</v>
      </c>
    </row>
    <row r="299" spans="38:53" x14ac:dyDescent="0.3">
      <c r="AL299" s="147" t="s">
        <v>96</v>
      </c>
      <c r="AM299" s="139" t="s">
        <v>1173</v>
      </c>
      <c r="AN299" s="139" t="s">
        <v>966</v>
      </c>
      <c r="AO299" s="139" t="s">
        <v>985</v>
      </c>
      <c r="AP299" s="139" t="s">
        <v>992</v>
      </c>
      <c r="AQ299" s="139" t="s">
        <v>1013</v>
      </c>
      <c r="AR299" s="139" t="s">
        <v>1004</v>
      </c>
      <c r="AS299" s="12">
        <v>45551</v>
      </c>
      <c r="AT299" s="148">
        <v>46465</v>
      </c>
      <c r="AU299" s="140">
        <v>533</v>
      </c>
      <c r="AV299" s="149" t="s">
        <v>1163</v>
      </c>
      <c r="AW299" s="12">
        <v>45924</v>
      </c>
      <c r="AX299" s="140">
        <v>-8</v>
      </c>
      <c r="AY299" s="149" t="s">
        <v>1164</v>
      </c>
      <c r="AZ299" s="11"/>
      <c r="BA299" s="11" t="s">
        <v>54</v>
      </c>
    </row>
    <row r="300" spans="38:53" x14ac:dyDescent="0.3">
      <c r="AL300" s="147" t="s">
        <v>1347</v>
      </c>
      <c r="AM300" s="139" t="s">
        <v>1292</v>
      </c>
      <c r="AN300" s="139" t="s">
        <v>979</v>
      </c>
      <c r="AO300" s="139" t="s">
        <v>996</v>
      </c>
      <c r="AP300" s="139" t="s">
        <v>997</v>
      </c>
      <c r="AQ300" s="139" t="s">
        <v>998</v>
      </c>
      <c r="AR300" s="139" t="s">
        <v>994</v>
      </c>
      <c r="AS300" s="12">
        <v>45729</v>
      </c>
      <c r="AT300" s="148">
        <v>46094</v>
      </c>
      <c r="AU300" s="140">
        <v>162</v>
      </c>
      <c r="AV300" s="149" t="s">
        <v>1163</v>
      </c>
      <c r="AW300" s="12">
        <v>45981</v>
      </c>
      <c r="AX300" s="140">
        <v>49</v>
      </c>
      <c r="AY300" s="149" t="s">
        <v>1163</v>
      </c>
      <c r="AZ300" s="11"/>
      <c r="BA300" s="11" t="s">
        <v>575</v>
      </c>
    </row>
    <row r="301" spans="38:53" x14ac:dyDescent="0.3">
      <c r="AL301" s="147" t="s">
        <v>1348</v>
      </c>
      <c r="AM301" s="139" t="s">
        <v>978</v>
      </c>
      <c r="AN301" s="139" t="s">
        <v>979</v>
      </c>
      <c r="AO301" s="139" t="s">
        <v>971</v>
      </c>
      <c r="AP301" s="139" t="s">
        <v>972</v>
      </c>
      <c r="AQ301" s="139" t="s">
        <v>973</v>
      </c>
      <c r="AR301" s="139" t="s">
        <v>974</v>
      </c>
      <c r="AS301" s="12">
        <v>45717</v>
      </c>
      <c r="AT301" s="148">
        <v>46082</v>
      </c>
      <c r="AU301" s="140">
        <v>150</v>
      </c>
      <c r="AV301" s="149" t="s">
        <v>1163</v>
      </c>
      <c r="AW301" s="12">
        <v>46004</v>
      </c>
      <c r="AX301" s="140">
        <v>72</v>
      </c>
      <c r="AY301" s="149" t="s">
        <v>1163</v>
      </c>
      <c r="AZ301" s="11"/>
      <c r="BA301" s="11" t="s">
        <v>575</v>
      </c>
    </row>
    <row r="302" spans="38:53" x14ac:dyDescent="0.3">
      <c r="AL302" s="147" t="s">
        <v>1349</v>
      </c>
      <c r="AM302" s="139" t="s">
        <v>1038</v>
      </c>
      <c r="AN302" s="139" t="s">
        <v>970</v>
      </c>
      <c r="AO302" s="139" t="s">
        <v>971</v>
      </c>
      <c r="AP302" s="139" t="s">
        <v>1043</v>
      </c>
      <c r="AQ302" s="139" t="s">
        <v>1044</v>
      </c>
      <c r="AR302" s="139" t="s">
        <v>974</v>
      </c>
      <c r="AS302" s="148">
        <v>45570</v>
      </c>
      <c r="AT302" s="148">
        <v>45935</v>
      </c>
      <c r="AU302" s="140">
        <v>3</v>
      </c>
      <c r="AV302" s="149" t="s">
        <v>975</v>
      </c>
      <c r="AW302" s="148">
        <v>46007</v>
      </c>
      <c r="AX302" s="140">
        <v>75</v>
      </c>
      <c r="AY302" s="149" t="s">
        <v>1163</v>
      </c>
      <c r="AZ302" s="11"/>
      <c r="BA302" s="11" t="s">
        <v>575</v>
      </c>
    </row>
    <row r="303" spans="38:53" x14ac:dyDescent="0.3">
      <c r="AL303" s="147" t="s">
        <v>1350</v>
      </c>
      <c r="AM303" s="139" t="s">
        <v>1006</v>
      </c>
      <c r="AN303" s="139" t="s">
        <v>979</v>
      </c>
      <c r="AO303" s="139" t="s">
        <v>966</v>
      </c>
      <c r="AP303" s="139" t="s">
        <v>1060</v>
      </c>
      <c r="AQ303" s="139" t="s">
        <v>1351</v>
      </c>
      <c r="AR303" s="139" t="s">
        <v>994</v>
      </c>
      <c r="AS303" s="148">
        <v>45739</v>
      </c>
      <c r="AT303" s="148">
        <v>46104</v>
      </c>
      <c r="AU303" s="140">
        <v>172</v>
      </c>
      <c r="AV303" s="149" t="s">
        <v>1163</v>
      </c>
      <c r="AW303" s="148">
        <v>46043</v>
      </c>
      <c r="AX303" s="140">
        <v>111</v>
      </c>
      <c r="AY303" s="149" t="s">
        <v>1163</v>
      </c>
      <c r="AZ303" s="11"/>
      <c r="BA303" s="11" t="s">
        <v>575</v>
      </c>
    </row>
    <row r="304" spans="38:53" x14ac:dyDescent="0.3">
      <c r="AL304" s="147" t="s">
        <v>1352</v>
      </c>
      <c r="AM304" s="139" t="s">
        <v>978</v>
      </c>
      <c r="AN304" s="139" t="s">
        <v>979</v>
      </c>
      <c r="AO304" s="139" t="s">
        <v>966</v>
      </c>
      <c r="AP304" s="139" t="s">
        <v>972</v>
      </c>
      <c r="AQ304" s="139" t="s">
        <v>1250</v>
      </c>
      <c r="AR304" s="139" t="s">
        <v>994</v>
      </c>
      <c r="AS304" s="12">
        <v>45753</v>
      </c>
      <c r="AT304" s="148">
        <v>46118</v>
      </c>
      <c r="AU304" s="140">
        <v>186</v>
      </c>
      <c r="AV304" s="149" t="s">
        <v>1163</v>
      </c>
      <c r="AW304" s="12">
        <v>46001</v>
      </c>
      <c r="AX304" s="140">
        <v>69</v>
      </c>
      <c r="AY304" s="149" t="s">
        <v>1163</v>
      </c>
      <c r="AZ304" s="11"/>
      <c r="BA304" s="11" t="s">
        <v>575</v>
      </c>
    </row>
    <row r="305" spans="38:53" x14ac:dyDescent="0.3">
      <c r="AL305" s="147" t="s">
        <v>1353</v>
      </c>
      <c r="AM305" s="139" t="s">
        <v>1006</v>
      </c>
      <c r="AN305" s="139" t="s">
        <v>979</v>
      </c>
      <c r="AO305" s="139" t="s">
        <v>985</v>
      </c>
      <c r="AP305" s="139" t="s">
        <v>986</v>
      </c>
      <c r="AQ305" s="139" t="s">
        <v>987</v>
      </c>
      <c r="AR305" s="139" t="s">
        <v>988</v>
      </c>
      <c r="AS305" s="12">
        <v>45752</v>
      </c>
      <c r="AT305" s="148">
        <v>46117</v>
      </c>
      <c r="AU305" s="140">
        <v>185</v>
      </c>
      <c r="AV305" s="149" t="s">
        <v>1163</v>
      </c>
      <c r="AW305" s="12">
        <v>46140</v>
      </c>
      <c r="AX305" s="140">
        <v>208</v>
      </c>
      <c r="AY305" s="149" t="s">
        <v>1163</v>
      </c>
      <c r="AZ305" s="11"/>
      <c r="BA305" s="11" t="s">
        <v>575</v>
      </c>
    </row>
    <row r="306" spans="38:53" x14ac:dyDescent="0.3">
      <c r="AL306" s="147" t="s">
        <v>1354</v>
      </c>
      <c r="AM306" s="139" t="s">
        <v>978</v>
      </c>
      <c r="AN306" s="139" t="s">
        <v>979</v>
      </c>
      <c r="AO306" s="139" t="s">
        <v>985</v>
      </c>
      <c r="AP306" s="139" t="s">
        <v>986</v>
      </c>
      <c r="AQ306" s="139" t="s">
        <v>987</v>
      </c>
      <c r="AR306" s="139" t="s">
        <v>988</v>
      </c>
      <c r="AS306" s="12">
        <v>45757</v>
      </c>
      <c r="AT306" s="148">
        <v>46122</v>
      </c>
      <c r="AU306" s="140">
        <v>190</v>
      </c>
      <c r="AV306" s="149" t="s">
        <v>1163</v>
      </c>
      <c r="AW306" s="12">
        <v>45971</v>
      </c>
      <c r="AX306" s="140">
        <v>39</v>
      </c>
      <c r="AY306" s="149" t="s">
        <v>1163</v>
      </c>
      <c r="AZ306" s="11"/>
      <c r="BA306" s="11" t="s">
        <v>575</v>
      </c>
    </row>
    <row r="307" spans="38:53" x14ac:dyDescent="0.3">
      <c r="AL307" s="147" t="s">
        <v>1355</v>
      </c>
      <c r="AM307" s="139" t="s">
        <v>1006</v>
      </c>
      <c r="AN307" s="139" t="s">
        <v>979</v>
      </c>
      <c r="AO307" s="139" t="s">
        <v>985</v>
      </c>
      <c r="AP307" s="139" t="s">
        <v>992</v>
      </c>
      <c r="AQ307" s="139" t="s">
        <v>993</v>
      </c>
      <c r="AR307" s="139" t="s">
        <v>994</v>
      </c>
      <c r="AS307" s="12">
        <v>45757</v>
      </c>
      <c r="AT307" s="148">
        <v>46122</v>
      </c>
      <c r="AU307" s="140">
        <v>190</v>
      </c>
      <c r="AV307" s="149" t="s">
        <v>1163</v>
      </c>
      <c r="AW307" s="12">
        <v>45983</v>
      </c>
      <c r="AX307" s="140">
        <v>51</v>
      </c>
      <c r="AY307" s="149" t="s">
        <v>1163</v>
      </c>
      <c r="AZ307" s="11"/>
      <c r="BA307" s="11" t="s">
        <v>575</v>
      </c>
    </row>
    <row r="308" spans="38:53" x14ac:dyDescent="0.3">
      <c r="AL308" s="147" t="s">
        <v>188</v>
      </c>
      <c r="AM308" s="139" t="s">
        <v>1006</v>
      </c>
      <c r="AN308" s="139" t="s">
        <v>966</v>
      </c>
      <c r="AO308" s="139" t="s">
        <v>985</v>
      </c>
      <c r="AP308" s="139" t="s">
        <v>992</v>
      </c>
      <c r="AQ308" s="139" t="s">
        <v>1016</v>
      </c>
      <c r="AR308" s="139" t="s">
        <v>994</v>
      </c>
      <c r="AS308" s="12">
        <v>45033</v>
      </c>
      <c r="AT308" s="148">
        <v>46129</v>
      </c>
      <c r="AU308" s="140">
        <v>197</v>
      </c>
      <c r="AV308" s="149" t="s">
        <v>1163</v>
      </c>
      <c r="AW308" s="12">
        <v>45978</v>
      </c>
      <c r="AX308" s="140">
        <v>46</v>
      </c>
      <c r="AY308" s="149" t="s">
        <v>1163</v>
      </c>
      <c r="AZ308" s="11"/>
      <c r="BA308" s="11" t="s">
        <v>184</v>
      </c>
    </row>
    <row r="309" spans="38:53" x14ac:dyDescent="0.3">
      <c r="AL309" s="147" t="s">
        <v>190</v>
      </c>
      <c r="AM309" s="139" t="s">
        <v>1006</v>
      </c>
      <c r="AN309" s="139" t="s">
        <v>966</v>
      </c>
      <c r="AO309" s="139" t="s">
        <v>985</v>
      </c>
      <c r="AP309" s="139" t="s">
        <v>992</v>
      </c>
      <c r="AQ309" s="139" t="s">
        <v>1016</v>
      </c>
      <c r="AR309" s="139" t="s">
        <v>994</v>
      </c>
      <c r="AS309" s="12">
        <v>45033</v>
      </c>
      <c r="AT309" s="148">
        <v>46129</v>
      </c>
      <c r="AU309" s="140">
        <v>197</v>
      </c>
      <c r="AV309" s="149" t="s">
        <v>1163</v>
      </c>
      <c r="AW309" s="12">
        <v>45978</v>
      </c>
      <c r="AX309" s="140">
        <v>46</v>
      </c>
      <c r="AY309" s="149" t="s">
        <v>1163</v>
      </c>
      <c r="AZ309" s="11"/>
      <c r="BA309" s="11" t="s">
        <v>184</v>
      </c>
    </row>
    <row r="310" spans="38:53" x14ac:dyDescent="0.3">
      <c r="AL310" s="147" t="s">
        <v>187</v>
      </c>
      <c r="AM310" s="139" t="s">
        <v>1006</v>
      </c>
      <c r="AN310" s="139" t="s">
        <v>966</v>
      </c>
      <c r="AO310" s="139" t="s">
        <v>985</v>
      </c>
      <c r="AP310" s="139" t="s">
        <v>992</v>
      </c>
      <c r="AQ310" s="139" t="s">
        <v>1016</v>
      </c>
      <c r="AR310" s="139" t="s">
        <v>994</v>
      </c>
      <c r="AS310" s="12">
        <v>45033</v>
      </c>
      <c r="AT310" s="148">
        <v>46129</v>
      </c>
      <c r="AU310" s="140">
        <v>197</v>
      </c>
      <c r="AV310" s="149" t="s">
        <v>1163</v>
      </c>
      <c r="AW310" s="12">
        <v>45978</v>
      </c>
      <c r="AX310" s="140">
        <v>46</v>
      </c>
      <c r="AY310" s="149" t="s">
        <v>1163</v>
      </c>
      <c r="AZ310" s="11"/>
      <c r="BA310" s="11" t="s">
        <v>184</v>
      </c>
    </row>
    <row r="311" spans="38:53" x14ac:dyDescent="0.3">
      <c r="AL311" s="147" t="s">
        <v>1356</v>
      </c>
      <c r="AM311" s="139" t="s">
        <v>1006</v>
      </c>
      <c r="AN311" s="139" t="s">
        <v>979</v>
      </c>
      <c r="AO311" s="139" t="s">
        <v>985</v>
      </c>
      <c r="AP311" s="139" t="s">
        <v>992</v>
      </c>
      <c r="AQ311" s="139" t="s">
        <v>1047</v>
      </c>
      <c r="AR311" s="139" t="s">
        <v>981</v>
      </c>
      <c r="AS311" s="12">
        <v>45581</v>
      </c>
      <c r="AT311" s="148">
        <v>45946</v>
      </c>
      <c r="AU311" s="140">
        <v>14</v>
      </c>
      <c r="AV311" s="149" t="s">
        <v>1163</v>
      </c>
      <c r="AW311" s="12">
        <v>45981</v>
      </c>
      <c r="AX311" s="140">
        <v>49</v>
      </c>
      <c r="AY311" s="149" t="s">
        <v>1163</v>
      </c>
      <c r="AZ311" s="11"/>
      <c r="BA311" s="11" t="s">
        <v>575</v>
      </c>
    </row>
    <row r="312" spans="38:53" x14ac:dyDescent="0.3">
      <c r="AL312" s="147" t="s">
        <v>131</v>
      </c>
      <c r="AM312" s="139" t="s">
        <v>1276</v>
      </c>
      <c r="AN312" s="139" t="s">
        <v>966</v>
      </c>
      <c r="AO312" s="139" t="s">
        <v>985</v>
      </c>
      <c r="AP312" s="139" t="s">
        <v>992</v>
      </c>
      <c r="AQ312" s="139" t="s">
        <v>1000</v>
      </c>
      <c r="AR312" s="139" t="s">
        <v>994</v>
      </c>
      <c r="AS312" s="12">
        <v>45033</v>
      </c>
      <c r="AT312" s="148">
        <v>46129</v>
      </c>
      <c r="AU312" s="140">
        <v>197</v>
      </c>
      <c r="AV312" s="149" t="s">
        <v>1163</v>
      </c>
      <c r="AW312" s="12">
        <v>46145</v>
      </c>
      <c r="AX312" s="140">
        <v>213</v>
      </c>
      <c r="AY312" s="149" t="s">
        <v>1163</v>
      </c>
      <c r="AZ312" s="11"/>
      <c r="BA312" s="11" t="s">
        <v>48</v>
      </c>
    </row>
    <row r="313" spans="38:53" x14ac:dyDescent="0.3">
      <c r="AL313" s="147" t="s">
        <v>139</v>
      </c>
      <c r="AM313" s="139" t="s">
        <v>1276</v>
      </c>
      <c r="AN313" s="139" t="s">
        <v>966</v>
      </c>
      <c r="AO313" s="139" t="s">
        <v>985</v>
      </c>
      <c r="AP313" s="139" t="s">
        <v>992</v>
      </c>
      <c r="AQ313" s="139" t="s">
        <v>1094</v>
      </c>
      <c r="AR313" s="139" t="s">
        <v>994</v>
      </c>
      <c r="AS313" s="12">
        <v>45033</v>
      </c>
      <c r="AT313" s="148">
        <v>46129</v>
      </c>
      <c r="AU313" s="140">
        <v>197</v>
      </c>
      <c r="AV313" s="149" t="s">
        <v>1163</v>
      </c>
      <c r="AW313" s="12">
        <v>46145</v>
      </c>
      <c r="AX313" s="140">
        <v>213</v>
      </c>
      <c r="AY313" s="149" t="s">
        <v>1163</v>
      </c>
      <c r="AZ313" s="11"/>
      <c r="BA313" s="11" t="s">
        <v>48</v>
      </c>
    </row>
    <row r="314" spans="38:53" x14ac:dyDescent="0.3">
      <c r="AL314" s="147" t="s">
        <v>135</v>
      </c>
      <c r="AM314" s="139" t="s">
        <v>1276</v>
      </c>
      <c r="AN314" s="139" t="s">
        <v>966</v>
      </c>
      <c r="AO314" s="139" t="s">
        <v>985</v>
      </c>
      <c r="AP314" s="139" t="s">
        <v>986</v>
      </c>
      <c r="AQ314" s="139" t="s">
        <v>987</v>
      </c>
      <c r="AR314" s="139" t="s">
        <v>994</v>
      </c>
      <c r="AS314" s="12">
        <v>45033</v>
      </c>
      <c r="AT314" s="148">
        <v>46129</v>
      </c>
      <c r="AU314" s="140">
        <v>197</v>
      </c>
      <c r="AV314" s="149" t="s">
        <v>1163</v>
      </c>
      <c r="AW314" s="12">
        <v>46145</v>
      </c>
      <c r="AX314" s="140">
        <v>213</v>
      </c>
      <c r="AY314" s="149" t="s">
        <v>1163</v>
      </c>
      <c r="AZ314" s="11"/>
      <c r="BA314" s="11" t="s">
        <v>48</v>
      </c>
    </row>
    <row r="315" spans="38:53" x14ac:dyDescent="0.3">
      <c r="AL315" s="147" t="s">
        <v>140</v>
      </c>
      <c r="AM315" s="139" t="s">
        <v>1276</v>
      </c>
      <c r="AN315" s="139" t="s">
        <v>966</v>
      </c>
      <c r="AO315" s="139" t="s">
        <v>985</v>
      </c>
      <c r="AP315" s="139" t="s">
        <v>1205</v>
      </c>
      <c r="AQ315" s="139" t="s">
        <v>1240</v>
      </c>
      <c r="AR315" s="139" t="s">
        <v>994</v>
      </c>
      <c r="AS315" s="12">
        <v>45033</v>
      </c>
      <c r="AT315" s="148">
        <v>46129</v>
      </c>
      <c r="AU315" s="140">
        <v>197</v>
      </c>
      <c r="AV315" s="149" t="s">
        <v>1163</v>
      </c>
      <c r="AW315" s="12">
        <v>46145</v>
      </c>
      <c r="AX315" s="140">
        <v>213</v>
      </c>
      <c r="AY315" s="149" t="s">
        <v>1163</v>
      </c>
      <c r="AZ315" s="11"/>
      <c r="BA315" s="11" t="s">
        <v>48</v>
      </c>
    </row>
    <row r="316" spans="38:53" x14ac:dyDescent="0.3">
      <c r="AL316" s="147" t="s">
        <v>1357</v>
      </c>
      <c r="AM316" s="139" t="s">
        <v>1015</v>
      </c>
      <c r="AN316" s="139" t="s">
        <v>970</v>
      </c>
      <c r="AO316" s="139" t="s">
        <v>971</v>
      </c>
      <c r="AP316" s="139" t="s">
        <v>972</v>
      </c>
      <c r="AQ316" s="139" t="s">
        <v>973</v>
      </c>
      <c r="AR316" s="139" t="s">
        <v>974</v>
      </c>
      <c r="AS316" s="12">
        <v>45694</v>
      </c>
      <c r="AT316" s="148">
        <v>46059</v>
      </c>
      <c r="AU316" s="140">
        <v>127</v>
      </c>
      <c r="AV316" s="149" t="s">
        <v>1163</v>
      </c>
      <c r="AW316" s="12">
        <v>46043</v>
      </c>
      <c r="AX316" s="140">
        <v>111</v>
      </c>
      <c r="AY316" s="149" t="s">
        <v>1163</v>
      </c>
      <c r="AZ316" s="11"/>
      <c r="BA316" s="11" t="s">
        <v>575</v>
      </c>
    </row>
    <row r="317" spans="38:53" x14ac:dyDescent="0.3">
      <c r="AL317" s="147" t="s">
        <v>136</v>
      </c>
      <c r="AM317" s="139" t="s">
        <v>1276</v>
      </c>
      <c r="AN317" s="139" t="s">
        <v>966</v>
      </c>
      <c r="AO317" s="139" t="s">
        <v>985</v>
      </c>
      <c r="AP317" s="139" t="s">
        <v>986</v>
      </c>
      <c r="AQ317" s="139" t="s">
        <v>987</v>
      </c>
      <c r="AR317" s="139" t="s">
        <v>994</v>
      </c>
      <c r="AS317" s="12">
        <v>45033</v>
      </c>
      <c r="AT317" s="148">
        <v>46129</v>
      </c>
      <c r="AU317" s="140">
        <v>197</v>
      </c>
      <c r="AV317" s="149" t="s">
        <v>1163</v>
      </c>
      <c r="AW317" s="12">
        <v>46145</v>
      </c>
      <c r="AX317" s="140">
        <v>213</v>
      </c>
      <c r="AY317" s="149" t="s">
        <v>1163</v>
      </c>
      <c r="AZ317" s="11"/>
      <c r="BA317" s="11" t="s">
        <v>48</v>
      </c>
    </row>
    <row r="318" spans="38:53" x14ac:dyDescent="0.3">
      <c r="AL318" s="147" t="s">
        <v>152</v>
      </c>
      <c r="AM318" s="139" t="s">
        <v>1276</v>
      </c>
      <c r="AN318" s="139" t="s">
        <v>966</v>
      </c>
      <c r="AO318" s="139" t="s">
        <v>985</v>
      </c>
      <c r="AP318" s="139" t="s">
        <v>1002</v>
      </c>
      <c r="AQ318" s="139" t="s">
        <v>1003</v>
      </c>
      <c r="AR318" s="139" t="s">
        <v>994</v>
      </c>
      <c r="AS318" s="12">
        <v>45033</v>
      </c>
      <c r="AT318" s="148">
        <v>46129</v>
      </c>
      <c r="AU318" s="140">
        <v>197</v>
      </c>
      <c r="AV318" s="149" t="s">
        <v>1163</v>
      </c>
      <c r="AW318" s="12">
        <v>46145</v>
      </c>
      <c r="AX318" s="140">
        <v>213</v>
      </c>
      <c r="AY318" s="149" t="s">
        <v>1163</v>
      </c>
      <c r="AZ318" s="11"/>
      <c r="BA318" s="11" t="s">
        <v>48</v>
      </c>
    </row>
    <row r="319" spans="38:53" x14ac:dyDescent="0.3">
      <c r="AL319" s="147" t="s">
        <v>148</v>
      </c>
      <c r="AM319" s="139" t="s">
        <v>1276</v>
      </c>
      <c r="AN319" s="139" t="s">
        <v>966</v>
      </c>
      <c r="AO319" s="139" t="s">
        <v>985</v>
      </c>
      <c r="AP319" s="139" t="s">
        <v>992</v>
      </c>
      <c r="AQ319" s="139" t="s">
        <v>1234</v>
      </c>
      <c r="AR319" s="139" t="s">
        <v>994</v>
      </c>
      <c r="AS319" s="12">
        <v>45033</v>
      </c>
      <c r="AT319" s="148">
        <v>46129</v>
      </c>
      <c r="AU319" s="140">
        <v>197</v>
      </c>
      <c r="AV319" s="149" t="s">
        <v>1163</v>
      </c>
      <c r="AW319" s="12">
        <v>46145</v>
      </c>
      <c r="AX319" s="140">
        <v>213</v>
      </c>
      <c r="AY319" s="149" t="s">
        <v>1163</v>
      </c>
      <c r="AZ319" s="11"/>
      <c r="BA319" s="11" t="s">
        <v>48</v>
      </c>
    </row>
    <row r="320" spans="38:53" x14ac:dyDescent="0.3">
      <c r="AL320" s="147" t="s">
        <v>1358</v>
      </c>
      <c r="AM320" s="139" t="s">
        <v>1359</v>
      </c>
      <c r="AN320" s="139" t="s">
        <v>979</v>
      </c>
      <c r="AO320" s="139" t="s">
        <v>971</v>
      </c>
      <c r="AP320" s="139" t="s">
        <v>972</v>
      </c>
      <c r="AQ320" s="139" t="s">
        <v>1011</v>
      </c>
      <c r="AR320" s="139" t="s">
        <v>974</v>
      </c>
      <c r="AS320" s="12">
        <v>45758</v>
      </c>
      <c r="AT320" s="148">
        <v>45941</v>
      </c>
      <c r="AU320" s="140">
        <v>9</v>
      </c>
      <c r="AV320" s="149" t="s">
        <v>975</v>
      </c>
      <c r="AW320" s="12">
        <v>46060</v>
      </c>
      <c r="AX320" s="140">
        <v>128</v>
      </c>
      <c r="AY320" s="149" t="s">
        <v>1163</v>
      </c>
      <c r="AZ320" s="11"/>
      <c r="BA320" s="11" t="s">
        <v>575</v>
      </c>
    </row>
    <row r="321" spans="38:53" x14ac:dyDescent="0.3">
      <c r="AL321" s="147" t="s">
        <v>1360</v>
      </c>
      <c r="AM321" s="139" t="s">
        <v>1359</v>
      </c>
      <c r="AN321" s="139" t="s">
        <v>979</v>
      </c>
      <c r="AO321" s="139" t="s">
        <v>996</v>
      </c>
      <c r="AP321" s="139" t="s">
        <v>997</v>
      </c>
      <c r="AQ321" s="139" t="s">
        <v>998</v>
      </c>
      <c r="AR321" s="139" t="s">
        <v>974</v>
      </c>
      <c r="AS321" s="12">
        <v>45647</v>
      </c>
      <c r="AT321" s="148">
        <v>45829</v>
      </c>
      <c r="AU321" s="140">
        <v>-103</v>
      </c>
      <c r="AV321" s="149" t="s">
        <v>1164</v>
      </c>
      <c r="AW321" s="12">
        <v>46060</v>
      </c>
      <c r="AX321" s="140">
        <v>128</v>
      </c>
      <c r="AY321" s="149" t="s">
        <v>1163</v>
      </c>
      <c r="AZ321" s="11"/>
      <c r="BA321" s="11" t="s">
        <v>575</v>
      </c>
    </row>
    <row r="322" spans="38:53" x14ac:dyDescent="0.3">
      <c r="AL322" s="147" t="s">
        <v>141</v>
      </c>
      <c r="AM322" s="139" t="s">
        <v>1276</v>
      </c>
      <c r="AN322" s="139" t="s">
        <v>966</v>
      </c>
      <c r="AO322" s="139" t="s">
        <v>985</v>
      </c>
      <c r="AP322" s="139" t="s">
        <v>986</v>
      </c>
      <c r="AQ322" s="139" t="s">
        <v>1361</v>
      </c>
      <c r="AR322" s="139" t="s">
        <v>994</v>
      </c>
      <c r="AS322" s="12">
        <v>45033</v>
      </c>
      <c r="AT322" s="148">
        <v>46129</v>
      </c>
      <c r="AU322" s="140">
        <v>197</v>
      </c>
      <c r="AV322" s="149" t="s">
        <v>1163</v>
      </c>
      <c r="AW322" s="12">
        <v>46145</v>
      </c>
      <c r="AX322" s="140">
        <v>213</v>
      </c>
      <c r="AY322" s="149" t="s">
        <v>1163</v>
      </c>
      <c r="AZ322" s="11"/>
      <c r="BA322" s="11" t="s">
        <v>48</v>
      </c>
    </row>
    <row r="323" spans="38:53" x14ac:dyDescent="0.3">
      <c r="AL323" s="147" t="s">
        <v>1362</v>
      </c>
      <c r="AM323" s="139" t="s">
        <v>1109</v>
      </c>
      <c r="AN323" s="139" t="s">
        <v>979</v>
      </c>
      <c r="AO323" s="139" t="s">
        <v>971</v>
      </c>
      <c r="AP323" s="139" t="s">
        <v>972</v>
      </c>
      <c r="AQ323" s="139" t="s">
        <v>1011</v>
      </c>
      <c r="AR323" s="139" t="s">
        <v>974</v>
      </c>
      <c r="AS323" s="12">
        <v>45703</v>
      </c>
      <c r="AT323" s="148">
        <v>45884</v>
      </c>
      <c r="AU323" s="140">
        <v>-48</v>
      </c>
      <c r="AV323" s="149" t="s">
        <v>1164</v>
      </c>
      <c r="AW323" s="12">
        <v>46065</v>
      </c>
      <c r="AX323" s="140">
        <v>133</v>
      </c>
      <c r="AY323" s="149" t="s">
        <v>1163</v>
      </c>
      <c r="AZ323" s="11"/>
      <c r="BA323" s="11" t="s">
        <v>575</v>
      </c>
    </row>
    <row r="324" spans="38:53" x14ac:dyDescent="0.3">
      <c r="AL324" s="147" t="s">
        <v>1363</v>
      </c>
      <c r="AM324" s="139" t="s">
        <v>1038</v>
      </c>
      <c r="AN324" s="139" t="s">
        <v>970</v>
      </c>
      <c r="AO324" s="139" t="s">
        <v>971</v>
      </c>
      <c r="AP324" s="139" t="s">
        <v>972</v>
      </c>
      <c r="AQ324" s="139" t="s">
        <v>973</v>
      </c>
      <c r="AR324" s="139" t="s">
        <v>974</v>
      </c>
      <c r="AS324" s="12">
        <v>45758</v>
      </c>
      <c r="AT324" s="148">
        <v>46123</v>
      </c>
      <c r="AU324" s="140">
        <v>191</v>
      </c>
      <c r="AV324" s="149" t="s">
        <v>1163</v>
      </c>
      <c r="AW324" s="12">
        <v>46074</v>
      </c>
      <c r="AX324" s="140">
        <v>142</v>
      </c>
      <c r="AY324" s="149" t="s">
        <v>1163</v>
      </c>
      <c r="AZ324" s="11"/>
      <c r="BA324" s="11" t="s">
        <v>575</v>
      </c>
    </row>
    <row r="325" spans="38:53" x14ac:dyDescent="0.3">
      <c r="AL325" s="147" t="s">
        <v>137</v>
      </c>
      <c r="AM325" s="139" t="s">
        <v>1276</v>
      </c>
      <c r="AN325" s="139" t="s">
        <v>966</v>
      </c>
      <c r="AO325" s="139" t="s">
        <v>985</v>
      </c>
      <c r="AP325" s="139" t="s">
        <v>986</v>
      </c>
      <c r="AQ325" s="139" t="s">
        <v>987</v>
      </c>
      <c r="AR325" s="139" t="s">
        <v>994</v>
      </c>
      <c r="AS325" s="12">
        <v>45033</v>
      </c>
      <c r="AT325" s="148">
        <v>46129</v>
      </c>
      <c r="AU325" s="140">
        <v>197</v>
      </c>
      <c r="AV325" s="149" t="s">
        <v>1163</v>
      </c>
      <c r="AW325" s="12">
        <v>46145</v>
      </c>
      <c r="AX325" s="140">
        <v>213</v>
      </c>
      <c r="AY325" s="149" t="s">
        <v>1163</v>
      </c>
      <c r="AZ325" s="11"/>
      <c r="BA325" s="11" t="s">
        <v>48</v>
      </c>
    </row>
    <row r="326" spans="38:53" x14ac:dyDescent="0.3">
      <c r="AL326" s="147" t="s">
        <v>1364</v>
      </c>
      <c r="AM326" s="139" t="s">
        <v>1058</v>
      </c>
      <c r="AN326" s="139" t="s">
        <v>979</v>
      </c>
      <c r="AO326" s="139" t="s">
        <v>971</v>
      </c>
      <c r="AP326" s="139" t="s">
        <v>1043</v>
      </c>
      <c r="AQ326" s="139" t="s">
        <v>1044</v>
      </c>
      <c r="AR326" s="139" t="s">
        <v>974</v>
      </c>
      <c r="AS326" s="12">
        <v>45731</v>
      </c>
      <c r="AT326" s="148">
        <v>45915</v>
      </c>
      <c r="AU326" s="140">
        <v>-17</v>
      </c>
      <c r="AV326" s="149" t="s">
        <v>1164</v>
      </c>
      <c r="AW326" s="12">
        <v>46081</v>
      </c>
      <c r="AX326" s="140">
        <v>149</v>
      </c>
      <c r="AY326" s="149" t="s">
        <v>1163</v>
      </c>
      <c r="AZ326" s="11"/>
      <c r="BA326" s="11" t="s">
        <v>575</v>
      </c>
    </row>
    <row r="327" spans="38:53" x14ac:dyDescent="0.3">
      <c r="AL327" s="147" t="s">
        <v>1365</v>
      </c>
      <c r="AM327" s="139" t="s">
        <v>978</v>
      </c>
      <c r="AN327" s="139" t="s">
        <v>979</v>
      </c>
      <c r="AO327" s="139" t="s">
        <v>966</v>
      </c>
      <c r="AP327" s="139" t="s">
        <v>972</v>
      </c>
      <c r="AQ327" s="139" t="s">
        <v>1050</v>
      </c>
      <c r="AR327" s="139" t="s">
        <v>981</v>
      </c>
      <c r="AS327" s="12">
        <v>45601</v>
      </c>
      <c r="AT327" s="148">
        <v>45966</v>
      </c>
      <c r="AU327" s="140">
        <v>34</v>
      </c>
      <c r="AV327" s="149" t="s">
        <v>1163</v>
      </c>
      <c r="AW327" s="12">
        <v>46137</v>
      </c>
      <c r="AX327" s="140">
        <v>205</v>
      </c>
      <c r="AY327" s="149" t="s">
        <v>1163</v>
      </c>
      <c r="AZ327" s="11"/>
      <c r="BA327" s="11" t="s">
        <v>575</v>
      </c>
    </row>
    <row r="328" spans="38:53" x14ac:dyDescent="0.3">
      <c r="AL328" s="147" t="s">
        <v>1366</v>
      </c>
      <c r="AM328" s="139" t="s">
        <v>978</v>
      </c>
      <c r="AN328" s="139" t="s">
        <v>979</v>
      </c>
      <c r="AO328" s="139" t="s">
        <v>966</v>
      </c>
      <c r="AP328" s="139" t="s">
        <v>972</v>
      </c>
      <c r="AQ328" s="139" t="s">
        <v>1050</v>
      </c>
      <c r="AR328" s="139" t="s">
        <v>981</v>
      </c>
      <c r="AS328" s="12">
        <v>45665</v>
      </c>
      <c r="AT328" s="148">
        <v>46030</v>
      </c>
      <c r="AU328" s="140">
        <v>98</v>
      </c>
      <c r="AV328" s="149" t="s">
        <v>1163</v>
      </c>
      <c r="AW328" s="12">
        <v>46001</v>
      </c>
      <c r="AX328" s="140">
        <v>69</v>
      </c>
      <c r="AY328" s="149" t="s">
        <v>1163</v>
      </c>
      <c r="AZ328" s="11"/>
      <c r="BA328" s="11" t="s">
        <v>575</v>
      </c>
    </row>
    <row r="329" spans="38:53" x14ac:dyDescent="0.3">
      <c r="AL329" s="147" t="s">
        <v>142</v>
      </c>
      <c r="AM329" s="139" t="s">
        <v>1276</v>
      </c>
      <c r="AN329" s="139" t="s">
        <v>966</v>
      </c>
      <c r="AO329" s="139" t="s">
        <v>985</v>
      </c>
      <c r="AP329" s="139" t="s">
        <v>992</v>
      </c>
      <c r="AQ329" s="139" t="s">
        <v>1197</v>
      </c>
      <c r="AR329" s="139" t="s">
        <v>994</v>
      </c>
      <c r="AS329" s="12">
        <v>45033</v>
      </c>
      <c r="AT329" s="148">
        <v>46129</v>
      </c>
      <c r="AU329" s="140">
        <v>197</v>
      </c>
      <c r="AV329" s="149" t="s">
        <v>1163</v>
      </c>
      <c r="AW329" s="12">
        <v>46145</v>
      </c>
      <c r="AX329" s="140">
        <v>213</v>
      </c>
      <c r="AY329" s="149" t="s">
        <v>1163</v>
      </c>
      <c r="AZ329" s="11"/>
      <c r="BA329" s="11" t="s">
        <v>48</v>
      </c>
    </row>
    <row r="330" spans="38:53" x14ac:dyDescent="0.3">
      <c r="AL330" s="147" t="s">
        <v>1367</v>
      </c>
      <c r="AM330" s="139" t="s">
        <v>1038</v>
      </c>
      <c r="AN330" s="139" t="s">
        <v>970</v>
      </c>
      <c r="AO330" s="139" t="s">
        <v>971</v>
      </c>
      <c r="AP330" s="139" t="s">
        <v>972</v>
      </c>
      <c r="AQ330" s="139" t="s">
        <v>973</v>
      </c>
      <c r="AR330" s="139" t="s">
        <v>974</v>
      </c>
      <c r="AS330" s="12">
        <v>45486</v>
      </c>
      <c r="AT330" s="148">
        <v>45851</v>
      </c>
      <c r="AU330" s="140">
        <v>-81</v>
      </c>
      <c r="AV330" s="149" t="s">
        <v>1164</v>
      </c>
      <c r="AW330" s="12">
        <v>46082</v>
      </c>
      <c r="AX330" s="140">
        <v>150</v>
      </c>
      <c r="AY330" s="149" t="s">
        <v>1163</v>
      </c>
      <c r="AZ330" s="11"/>
      <c r="BA330" s="11" t="s">
        <v>575</v>
      </c>
    </row>
    <row r="331" spans="38:53" x14ac:dyDescent="0.3">
      <c r="AL331" s="147" t="s">
        <v>143</v>
      </c>
      <c r="AM331" s="139" t="s">
        <v>1276</v>
      </c>
      <c r="AN331" s="139" t="s">
        <v>966</v>
      </c>
      <c r="AO331" s="139" t="s">
        <v>985</v>
      </c>
      <c r="AP331" s="139" t="s">
        <v>992</v>
      </c>
      <c r="AQ331" s="139" t="s">
        <v>1094</v>
      </c>
      <c r="AR331" s="139" t="s">
        <v>994</v>
      </c>
      <c r="AS331" s="12">
        <v>45033</v>
      </c>
      <c r="AT331" s="148">
        <v>46129</v>
      </c>
      <c r="AU331" s="140">
        <v>197</v>
      </c>
      <c r="AV331" s="149" t="s">
        <v>1163</v>
      </c>
      <c r="AW331" s="12">
        <v>46145</v>
      </c>
      <c r="AX331" s="140">
        <v>213</v>
      </c>
      <c r="AY331" s="149" t="s">
        <v>1163</v>
      </c>
      <c r="AZ331" s="11"/>
      <c r="BA331" s="11" t="s">
        <v>48</v>
      </c>
    </row>
    <row r="332" spans="38:53" x14ac:dyDescent="0.3">
      <c r="AL332" s="147" t="s">
        <v>1368</v>
      </c>
      <c r="AM332" s="139" t="s">
        <v>1038</v>
      </c>
      <c r="AN332" s="139" t="s">
        <v>970</v>
      </c>
      <c r="AO332" s="139" t="s">
        <v>971</v>
      </c>
      <c r="AP332" s="139" t="s">
        <v>972</v>
      </c>
      <c r="AQ332" s="139" t="s">
        <v>973</v>
      </c>
      <c r="AR332" s="139" t="s">
        <v>974</v>
      </c>
      <c r="AS332" s="12">
        <v>45717</v>
      </c>
      <c r="AT332" s="148">
        <v>46082</v>
      </c>
      <c r="AU332" s="140">
        <v>150</v>
      </c>
      <c r="AV332" s="149" t="s">
        <v>1163</v>
      </c>
      <c r="AW332" s="12">
        <v>46087</v>
      </c>
      <c r="AX332" s="140">
        <v>155</v>
      </c>
      <c r="AY332" s="149" t="s">
        <v>1163</v>
      </c>
      <c r="AZ332" s="11"/>
      <c r="BA332" s="11" t="s">
        <v>575</v>
      </c>
    </row>
    <row r="333" spans="38:53" x14ac:dyDescent="0.3">
      <c r="AL333" s="147" t="s">
        <v>98</v>
      </c>
      <c r="AM333" s="139" t="s">
        <v>1173</v>
      </c>
      <c r="AN333" s="139" t="s">
        <v>966</v>
      </c>
      <c r="AO333" s="139" t="s">
        <v>985</v>
      </c>
      <c r="AP333" s="139" t="s">
        <v>1205</v>
      </c>
      <c r="AQ333" s="139" t="s">
        <v>1369</v>
      </c>
      <c r="AR333" s="139" t="s">
        <v>1004</v>
      </c>
      <c r="AS333" s="12">
        <v>45370</v>
      </c>
      <c r="AT333" s="148">
        <v>46465</v>
      </c>
      <c r="AU333" s="140">
        <v>533</v>
      </c>
      <c r="AV333" s="149" t="s">
        <v>1163</v>
      </c>
      <c r="AW333" s="12">
        <v>45924</v>
      </c>
      <c r="AX333" s="140">
        <v>-8</v>
      </c>
      <c r="AY333" s="149" t="s">
        <v>1164</v>
      </c>
      <c r="AZ333" s="11"/>
      <c r="BA333" s="11" t="s">
        <v>54</v>
      </c>
    </row>
    <row r="334" spans="38:53" x14ac:dyDescent="0.3">
      <c r="AL334" s="147" t="s">
        <v>81</v>
      </c>
      <c r="AM334" s="139" t="s">
        <v>1173</v>
      </c>
      <c r="AN334" s="139" t="s">
        <v>966</v>
      </c>
      <c r="AO334" s="139" t="s">
        <v>985</v>
      </c>
      <c r="AP334" s="139" t="s">
        <v>992</v>
      </c>
      <c r="AQ334" s="139" t="s">
        <v>1180</v>
      </c>
      <c r="AR334" s="139" t="s">
        <v>1004</v>
      </c>
      <c r="AS334" s="12">
        <v>45370</v>
      </c>
      <c r="AT334" s="148">
        <v>46465</v>
      </c>
      <c r="AU334" s="140">
        <v>533</v>
      </c>
      <c r="AV334" s="149" t="s">
        <v>1163</v>
      </c>
      <c r="AW334" s="12">
        <v>45924</v>
      </c>
      <c r="AX334" s="140">
        <v>-8</v>
      </c>
      <c r="AY334" s="149" t="s">
        <v>1164</v>
      </c>
      <c r="AZ334" s="11"/>
      <c r="BA334" s="11" t="s">
        <v>54</v>
      </c>
    </row>
    <row r="335" spans="38:53" x14ac:dyDescent="0.3">
      <c r="AL335" s="147" t="s">
        <v>1370</v>
      </c>
      <c r="AM335" s="139" t="s">
        <v>1359</v>
      </c>
      <c r="AN335" s="139" t="s">
        <v>979</v>
      </c>
      <c r="AO335" s="139" t="s">
        <v>971</v>
      </c>
      <c r="AP335" s="139" t="s">
        <v>972</v>
      </c>
      <c r="AQ335" s="139" t="s">
        <v>1011</v>
      </c>
      <c r="AR335" s="139" t="s">
        <v>974</v>
      </c>
      <c r="AS335" s="12">
        <v>45636</v>
      </c>
      <c r="AT335" s="148">
        <v>45818</v>
      </c>
      <c r="AU335" s="140">
        <v>-114</v>
      </c>
      <c r="AV335" s="149" t="s">
        <v>1164</v>
      </c>
      <c r="AW335" s="12">
        <v>46090</v>
      </c>
      <c r="AX335" s="140">
        <v>158</v>
      </c>
      <c r="AY335" s="149" t="s">
        <v>1163</v>
      </c>
      <c r="AZ335" s="11"/>
      <c r="BA335" s="11" t="s">
        <v>575</v>
      </c>
    </row>
    <row r="336" spans="38:53" x14ac:dyDescent="0.3">
      <c r="AL336" s="147" t="s">
        <v>1371</v>
      </c>
      <c r="AM336" s="139" t="s">
        <v>1359</v>
      </c>
      <c r="AN336" s="139" t="s">
        <v>979</v>
      </c>
      <c r="AO336" s="139" t="s">
        <v>971</v>
      </c>
      <c r="AP336" s="139" t="s">
        <v>972</v>
      </c>
      <c r="AQ336" s="139" t="s">
        <v>1011</v>
      </c>
      <c r="AR336" s="139" t="s">
        <v>974</v>
      </c>
      <c r="AS336" s="12">
        <v>45703</v>
      </c>
      <c r="AT336" s="148">
        <v>45884</v>
      </c>
      <c r="AU336" s="140">
        <v>-48</v>
      </c>
      <c r="AV336" s="149" t="s">
        <v>1164</v>
      </c>
      <c r="AW336" s="12">
        <v>46090</v>
      </c>
      <c r="AX336" s="140">
        <v>158</v>
      </c>
      <c r="AY336" s="149" t="s">
        <v>1163</v>
      </c>
      <c r="AZ336" s="11"/>
      <c r="BA336" s="11" t="s">
        <v>575</v>
      </c>
    </row>
    <row r="337" spans="38:53" x14ac:dyDescent="0.3">
      <c r="AL337" s="147" t="s">
        <v>1372</v>
      </c>
      <c r="AM337" s="139" t="s">
        <v>1359</v>
      </c>
      <c r="AN337" s="139" t="s">
        <v>979</v>
      </c>
      <c r="AO337" s="139" t="s">
        <v>971</v>
      </c>
      <c r="AP337" s="139" t="s">
        <v>972</v>
      </c>
      <c r="AQ337" s="139" t="s">
        <v>1011</v>
      </c>
      <c r="AR337" s="139" t="s">
        <v>974</v>
      </c>
      <c r="AS337" s="12">
        <v>45745</v>
      </c>
      <c r="AT337" s="148">
        <v>45929</v>
      </c>
      <c r="AU337" s="140">
        <v>-3</v>
      </c>
      <c r="AV337" s="149" t="s">
        <v>1164</v>
      </c>
      <c r="AW337" s="12">
        <v>46090</v>
      </c>
      <c r="AX337" s="140">
        <v>158</v>
      </c>
      <c r="AY337" s="149" t="s">
        <v>1163</v>
      </c>
      <c r="AZ337" s="11"/>
      <c r="BA337" s="11" t="s">
        <v>575</v>
      </c>
    </row>
    <row r="338" spans="38:53" x14ac:dyDescent="0.3">
      <c r="AL338" s="147" t="s">
        <v>1373</v>
      </c>
      <c r="AM338" s="139" t="s">
        <v>1359</v>
      </c>
      <c r="AN338" s="139" t="s">
        <v>979</v>
      </c>
      <c r="AO338" s="139" t="s">
        <v>971</v>
      </c>
      <c r="AP338" s="139" t="s">
        <v>972</v>
      </c>
      <c r="AQ338" s="139" t="s">
        <v>1011</v>
      </c>
      <c r="AR338" s="139" t="s">
        <v>974</v>
      </c>
      <c r="AS338" s="12">
        <v>45636</v>
      </c>
      <c r="AT338" s="148">
        <v>45818</v>
      </c>
      <c r="AU338" s="140">
        <v>-114</v>
      </c>
      <c r="AV338" s="149" t="s">
        <v>1164</v>
      </c>
      <c r="AW338" s="12">
        <v>46090</v>
      </c>
      <c r="AX338" s="140">
        <v>158</v>
      </c>
      <c r="AY338" s="149" t="s">
        <v>1163</v>
      </c>
      <c r="AZ338" s="11"/>
      <c r="BA338" s="11" t="s">
        <v>575</v>
      </c>
    </row>
    <row r="339" spans="38:53" x14ac:dyDescent="0.3">
      <c r="AL339" s="147" t="s">
        <v>1374</v>
      </c>
      <c r="AM339" s="139" t="s">
        <v>1359</v>
      </c>
      <c r="AN339" s="139" t="s">
        <v>979</v>
      </c>
      <c r="AO339" s="139" t="s">
        <v>971</v>
      </c>
      <c r="AP339" s="139" t="s">
        <v>972</v>
      </c>
      <c r="AQ339" s="139" t="s">
        <v>1011</v>
      </c>
      <c r="AR339" s="139" t="s">
        <v>974</v>
      </c>
      <c r="AS339" s="12">
        <v>45636</v>
      </c>
      <c r="AT339" s="148">
        <v>45818</v>
      </c>
      <c r="AU339" s="140">
        <v>-114</v>
      </c>
      <c r="AV339" s="149" t="s">
        <v>1164</v>
      </c>
      <c r="AW339" s="12">
        <v>46090</v>
      </c>
      <c r="AX339" s="140">
        <v>158</v>
      </c>
      <c r="AY339" s="149" t="s">
        <v>1163</v>
      </c>
      <c r="AZ339" s="11"/>
      <c r="BA339" s="11" t="s">
        <v>575</v>
      </c>
    </row>
    <row r="340" spans="38:53" x14ac:dyDescent="0.3">
      <c r="AL340" s="147" t="s">
        <v>1375</v>
      </c>
      <c r="AM340" s="139" t="s">
        <v>1038</v>
      </c>
      <c r="AN340" s="139" t="s">
        <v>970</v>
      </c>
      <c r="AO340" s="139" t="s">
        <v>971</v>
      </c>
      <c r="AP340" s="139" t="s">
        <v>972</v>
      </c>
      <c r="AQ340" s="139" t="s">
        <v>973</v>
      </c>
      <c r="AR340" s="139" t="s">
        <v>974</v>
      </c>
      <c r="AS340" s="148">
        <v>45730</v>
      </c>
      <c r="AT340" s="148">
        <v>46095</v>
      </c>
      <c r="AU340" s="140">
        <v>163</v>
      </c>
      <c r="AV340" s="149" t="s">
        <v>1163</v>
      </c>
      <c r="AW340" s="148">
        <v>46098</v>
      </c>
      <c r="AX340" s="140">
        <v>166</v>
      </c>
      <c r="AY340" s="149" t="s">
        <v>1163</v>
      </c>
      <c r="AZ340" s="11"/>
      <c r="BA340" s="11" t="s">
        <v>575</v>
      </c>
    </row>
    <row r="341" spans="38:53" x14ac:dyDescent="0.3">
      <c r="AL341" s="147" t="s">
        <v>1376</v>
      </c>
      <c r="AM341" s="139" t="s">
        <v>1038</v>
      </c>
      <c r="AN341" s="139" t="s">
        <v>970</v>
      </c>
      <c r="AO341" s="139" t="s">
        <v>971</v>
      </c>
      <c r="AP341" s="139" t="s">
        <v>972</v>
      </c>
      <c r="AQ341" s="139" t="s">
        <v>973</v>
      </c>
      <c r="AR341" s="139" t="s">
        <v>974</v>
      </c>
      <c r="AS341" s="12">
        <v>45724</v>
      </c>
      <c r="AT341" s="148">
        <v>46089</v>
      </c>
      <c r="AU341" s="140">
        <v>157</v>
      </c>
      <c r="AV341" s="149" t="s">
        <v>1163</v>
      </c>
      <c r="AW341" s="12">
        <v>46098</v>
      </c>
      <c r="AX341" s="140">
        <v>166</v>
      </c>
      <c r="AY341" s="149" t="s">
        <v>1163</v>
      </c>
      <c r="AZ341" s="11"/>
      <c r="BA341" s="11" t="s">
        <v>575</v>
      </c>
    </row>
    <row r="342" spans="38:53" x14ac:dyDescent="0.3">
      <c r="AL342" s="147" t="s">
        <v>160</v>
      </c>
      <c r="AM342" s="139" t="s">
        <v>1276</v>
      </c>
      <c r="AN342" s="139" t="s">
        <v>966</v>
      </c>
      <c r="AO342" s="139" t="s">
        <v>971</v>
      </c>
      <c r="AP342" s="139" t="s">
        <v>972</v>
      </c>
      <c r="AQ342" s="139" t="s">
        <v>1011</v>
      </c>
      <c r="AR342" s="139" t="s">
        <v>974</v>
      </c>
      <c r="AS342" s="12">
        <v>45363</v>
      </c>
      <c r="AT342" s="148">
        <v>46458</v>
      </c>
      <c r="AU342" s="140">
        <v>526</v>
      </c>
      <c r="AV342" s="149" t="s">
        <v>1163</v>
      </c>
      <c r="AW342" s="12">
        <v>46101</v>
      </c>
      <c r="AX342" s="140">
        <v>169</v>
      </c>
      <c r="AY342" s="149" t="s">
        <v>1163</v>
      </c>
      <c r="AZ342" s="11"/>
      <c r="BA342" s="11" t="s">
        <v>48</v>
      </c>
    </row>
    <row r="343" spans="38:53" x14ac:dyDescent="0.3">
      <c r="AL343" s="147" t="s">
        <v>83</v>
      </c>
      <c r="AM343" s="139" t="s">
        <v>1173</v>
      </c>
      <c r="AN343" s="139" t="s">
        <v>966</v>
      </c>
      <c r="AO343" s="139" t="s">
        <v>985</v>
      </c>
      <c r="AP343" s="139" t="s">
        <v>992</v>
      </c>
      <c r="AQ343" s="139" t="s">
        <v>1377</v>
      </c>
      <c r="AR343" s="139" t="s">
        <v>1004</v>
      </c>
      <c r="AS343" s="12">
        <v>45399</v>
      </c>
      <c r="AT343" s="148">
        <v>46494</v>
      </c>
      <c r="AU343" s="140">
        <v>562</v>
      </c>
      <c r="AV343" s="149" t="s">
        <v>1163</v>
      </c>
      <c r="AW343" s="12">
        <v>45924</v>
      </c>
      <c r="AX343" s="140">
        <v>-8</v>
      </c>
      <c r="AY343" s="149" t="s">
        <v>1164</v>
      </c>
      <c r="AZ343" s="11"/>
      <c r="BA343" s="11" t="s">
        <v>54</v>
      </c>
    </row>
    <row r="344" spans="38:53" x14ac:dyDescent="0.3">
      <c r="AL344" s="147" t="s">
        <v>75</v>
      </c>
      <c r="AM344" s="139" t="s">
        <v>1173</v>
      </c>
      <c r="AN344" s="139" t="s">
        <v>966</v>
      </c>
      <c r="AO344" s="139" t="s">
        <v>985</v>
      </c>
      <c r="AP344" s="139" t="s">
        <v>1002</v>
      </c>
      <c r="AQ344" s="139" t="s">
        <v>1186</v>
      </c>
      <c r="AR344" s="139" t="s">
        <v>1004</v>
      </c>
      <c r="AS344" s="12">
        <v>45399</v>
      </c>
      <c r="AT344" s="148">
        <v>46494</v>
      </c>
      <c r="AU344" s="140">
        <v>562</v>
      </c>
      <c r="AV344" s="149" t="s">
        <v>1163</v>
      </c>
      <c r="AW344" s="12">
        <v>45924</v>
      </c>
      <c r="AX344" s="140">
        <v>-8</v>
      </c>
      <c r="AY344" s="149" t="s">
        <v>1164</v>
      </c>
      <c r="AZ344" s="11"/>
      <c r="BA344" s="11" t="s">
        <v>54</v>
      </c>
    </row>
    <row r="345" spans="38:53" x14ac:dyDescent="0.3">
      <c r="AL345" s="147" t="s">
        <v>162</v>
      </c>
      <c r="AM345" s="139" t="s">
        <v>1276</v>
      </c>
      <c r="AN345" s="139" t="s">
        <v>966</v>
      </c>
      <c r="AO345" s="139" t="s">
        <v>971</v>
      </c>
      <c r="AP345" s="139" t="s">
        <v>972</v>
      </c>
      <c r="AQ345" s="139" t="s">
        <v>1011</v>
      </c>
      <c r="AR345" s="139" t="s">
        <v>974</v>
      </c>
      <c r="AS345" s="12">
        <v>45363</v>
      </c>
      <c r="AT345" s="148">
        <v>46458</v>
      </c>
      <c r="AU345" s="140">
        <v>526</v>
      </c>
      <c r="AV345" s="149" t="s">
        <v>1163</v>
      </c>
      <c r="AW345" s="12">
        <v>46101</v>
      </c>
      <c r="AX345" s="140">
        <v>169</v>
      </c>
      <c r="AY345" s="149" t="s">
        <v>1163</v>
      </c>
      <c r="AZ345" s="11"/>
      <c r="BA345" s="11" t="s">
        <v>48</v>
      </c>
    </row>
    <row r="346" spans="38:53" x14ac:dyDescent="0.3">
      <c r="AL346" s="147" t="s">
        <v>79</v>
      </c>
      <c r="AM346" s="139" t="s">
        <v>1173</v>
      </c>
      <c r="AN346" s="139" t="s">
        <v>966</v>
      </c>
      <c r="AO346" s="139" t="s">
        <v>985</v>
      </c>
      <c r="AP346" s="139" t="s">
        <v>992</v>
      </c>
      <c r="AQ346" s="139" t="s">
        <v>1378</v>
      </c>
      <c r="AR346" s="139" t="s">
        <v>1004</v>
      </c>
      <c r="AS346" s="12">
        <v>45399</v>
      </c>
      <c r="AT346" s="148">
        <v>46494</v>
      </c>
      <c r="AU346" s="140">
        <v>562</v>
      </c>
      <c r="AV346" s="149" t="s">
        <v>1163</v>
      </c>
      <c r="AW346" s="12">
        <v>45924</v>
      </c>
      <c r="AX346" s="140">
        <v>-8</v>
      </c>
      <c r="AY346" s="149" t="s">
        <v>1164</v>
      </c>
      <c r="AZ346" s="11"/>
      <c r="BA346" s="11" t="s">
        <v>54</v>
      </c>
    </row>
    <row r="347" spans="38:53" x14ac:dyDescent="0.3">
      <c r="AL347" s="147" t="s">
        <v>94</v>
      </c>
      <c r="AM347" s="139" t="s">
        <v>1173</v>
      </c>
      <c r="AN347" s="139" t="s">
        <v>966</v>
      </c>
      <c r="AO347" s="139" t="s">
        <v>985</v>
      </c>
      <c r="AP347" s="139" t="s">
        <v>986</v>
      </c>
      <c r="AQ347" s="139" t="s">
        <v>1338</v>
      </c>
      <c r="AR347" s="139" t="s">
        <v>1004</v>
      </c>
      <c r="AS347" s="12">
        <v>45399</v>
      </c>
      <c r="AT347" s="148">
        <v>46494</v>
      </c>
      <c r="AU347" s="140">
        <v>562</v>
      </c>
      <c r="AV347" s="149" t="s">
        <v>1163</v>
      </c>
      <c r="AW347" s="12">
        <v>45924</v>
      </c>
      <c r="AX347" s="140">
        <v>-8</v>
      </c>
      <c r="AY347" s="149" t="s">
        <v>1164</v>
      </c>
      <c r="AZ347" s="11"/>
      <c r="BA347" s="11" t="s">
        <v>54</v>
      </c>
    </row>
    <row r="348" spans="38:53" x14ac:dyDescent="0.3">
      <c r="AL348" s="147" t="s">
        <v>163</v>
      </c>
      <c r="AM348" s="139" t="s">
        <v>1276</v>
      </c>
      <c r="AN348" s="139" t="s">
        <v>966</v>
      </c>
      <c r="AO348" s="139" t="s">
        <v>971</v>
      </c>
      <c r="AP348" s="139" t="s">
        <v>972</v>
      </c>
      <c r="AQ348" s="139" t="s">
        <v>1018</v>
      </c>
      <c r="AR348" s="139" t="s">
        <v>974</v>
      </c>
      <c r="AS348" s="12">
        <v>45363</v>
      </c>
      <c r="AT348" s="148">
        <v>46458</v>
      </c>
      <c r="AU348" s="140">
        <v>526</v>
      </c>
      <c r="AV348" s="149" t="s">
        <v>1163</v>
      </c>
      <c r="AW348" s="12">
        <v>46101</v>
      </c>
      <c r="AX348" s="140">
        <v>169</v>
      </c>
      <c r="AY348" s="149" t="s">
        <v>1163</v>
      </c>
      <c r="AZ348" s="11"/>
      <c r="BA348" s="11" t="s">
        <v>48</v>
      </c>
    </row>
    <row r="349" spans="38:53" x14ac:dyDescent="0.3">
      <c r="AL349" s="147" t="s">
        <v>164</v>
      </c>
      <c r="AM349" s="139" t="s">
        <v>1276</v>
      </c>
      <c r="AN349" s="139" t="s">
        <v>966</v>
      </c>
      <c r="AO349" s="139" t="s">
        <v>971</v>
      </c>
      <c r="AP349" s="139" t="s">
        <v>972</v>
      </c>
      <c r="AQ349" s="139" t="s">
        <v>1018</v>
      </c>
      <c r="AR349" s="139" t="s">
        <v>974</v>
      </c>
      <c r="AS349" s="12">
        <v>45363</v>
      </c>
      <c r="AT349" s="148">
        <v>46458</v>
      </c>
      <c r="AU349" s="140">
        <v>526</v>
      </c>
      <c r="AV349" s="149" t="s">
        <v>1163</v>
      </c>
      <c r="AW349" s="12">
        <v>46101</v>
      </c>
      <c r="AX349" s="140">
        <v>169</v>
      </c>
      <c r="AY349" s="149" t="s">
        <v>1163</v>
      </c>
      <c r="AZ349" s="11"/>
      <c r="BA349" s="11" t="s">
        <v>48</v>
      </c>
    </row>
    <row r="350" spans="38:53" x14ac:dyDescent="0.3">
      <c r="AL350" s="147" t="s">
        <v>78</v>
      </c>
      <c r="AM350" s="139" t="s">
        <v>1173</v>
      </c>
      <c r="AN350" s="139" t="s">
        <v>966</v>
      </c>
      <c r="AO350" s="139" t="s">
        <v>985</v>
      </c>
      <c r="AP350" s="139" t="s">
        <v>992</v>
      </c>
      <c r="AQ350" s="139" t="s">
        <v>1377</v>
      </c>
      <c r="AR350" s="139" t="s">
        <v>1004</v>
      </c>
      <c r="AS350" s="12">
        <v>45399</v>
      </c>
      <c r="AT350" s="148">
        <v>46494</v>
      </c>
      <c r="AU350" s="140">
        <v>562</v>
      </c>
      <c r="AV350" s="149" t="s">
        <v>1163</v>
      </c>
      <c r="AW350" s="12">
        <v>45924</v>
      </c>
      <c r="AX350" s="140">
        <v>-8</v>
      </c>
      <c r="AY350" s="149" t="s">
        <v>1164</v>
      </c>
      <c r="AZ350" s="11"/>
      <c r="BA350" s="11" t="s">
        <v>54</v>
      </c>
    </row>
    <row r="351" spans="38:53" x14ac:dyDescent="0.3">
      <c r="AL351" s="147" t="s">
        <v>80</v>
      </c>
      <c r="AM351" s="139" t="s">
        <v>1173</v>
      </c>
      <c r="AN351" s="139" t="s">
        <v>966</v>
      </c>
      <c r="AO351" s="139" t="s">
        <v>985</v>
      </c>
      <c r="AP351" s="139" t="s">
        <v>992</v>
      </c>
      <c r="AQ351" s="139" t="s">
        <v>1013</v>
      </c>
      <c r="AR351" s="139" t="s">
        <v>1004</v>
      </c>
      <c r="AS351" s="12">
        <v>45399</v>
      </c>
      <c r="AT351" s="148">
        <v>46494</v>
      </c>
      <c r="AU351" s="140">
        <v>562</v>
      </c>
      <c r="AV351" s="149" t="s">
        <v>1163</v>
      </c>
      <c r="AW351" s="12">
        <v>45924</v>
      </c>
      <c r="AX351" s="140">
        <v>-8</v>
      </c>
      <c r="AY351" s="149" t="s">
        <v>1164</v>
      </c>
      <c r="AZ351" s="11"/>
      <c r="BA351" s="11" t="s">
        <v>54</v>
      </c>
    </row>
    <row r="352" spans="38:53" x14ac:dyDescent="0.3">
      <c r="AL352" s="147" t="s">
        <v>74</v>
      </c>
      <c r="AM352" s="139" t="s">
        <v>1173</v>
      </c>
      <c r="AN352" s="139" t="s">
        <v>966</v>
      </c>
      <c r="AO352" s="139" t="s">
        <v>985</v>
      </c>
      <c r="AP352" s="139" t="s">
        <v>1205</v>
      </c>
      <c r="AQ352" s="139" t="s">
        <v>1332</v>
      </c>
      <c r="AR352" s="139" t="s">
        <v>1004</v>
      </c>
      <c r="AS352" s="12">
        <v>45399</v>
      </c>
      <c r="AT352" s="148">
        <v>46494</v>
      </c>
      <c r="AU352" s="140">
        <v>562</v>
      </c>
      <c r="AV352" s="149" t="s">
        <v>1163</v>
      </c>
      <c r="AW352" s="12">
        <v>45924</v>
      </c>
      <c r="AX352" s="140">
        <v>-8</v>
      </c>
      <c r="AY352" s="149" t="s">
        <v>1164</v>
      </c>
      <c r="AZ352" s="11"/>
      <c r="BA352" s="11" t="s">
        <v>54</v>
      </c>
    </row>
    <row r="353" spans="38:53" x14ac:dyDescent="0.3">
      <c r="AL353" s="147" t="s">
        <v>165</v>
      </c>
      <c r="AM353" s="139" t="s">
        <v>1276</v>
      </c>
      <c r="AN353" s="139" t="s">
        <v>966</v>
      </c>
      <c r="AO353" s="139" t="s">
        <v>971</v>
      </c>
      <c r="AP353" s="139" t="s">
        <v>972</v>
      </c>
      <c r="AQ353" s="139" t="s">
        <v>1018</v>
      </c>
      <c r="AR353" s="139" t="s">
        <v>974</v>
      </c>
      <c r="AS353" s="12">
        <v>45363</v>
      </c>
      <c r="AT353" s="148">
        <v>46458</v>
      </c>
      <c r="AU353" s="140">
        <v>526</v>
      </c>
      <c r="AV353" s="149" t="s">
        <v>1163</v>
      </c>
      <c r="AW353" s="12">
        <v>46101</v>
      </c>
      <c r="AX353" s="140">
        <v>169</v>
      </c>
      <c r="AY353" s="149" t="s">
        <v>1163</v>
      </c>
      <c r="AZ353" s="11"/>
      <c r="BA353" s="11" t="s">
        <v>48</v>
      </c>
    </row>
    <row r="354" spans="38:53" x14ac:dyDescent="0.3">
      <c r="AL354" s="147" t="s">
        <v>145</v>
      </c>
      <c r="AM354" s="139" t="s">
        <v>1276</v>
      </c>
      <c r="AN354" s="139" t="s">
        <v>966</v>
      </c>
      <c r="AO354" s="139" t="s">
        <v>985</v>
      </c>
      <c r="AP354" s="139" t="s">
        <v>992</v>
      </c>
      <c r="AQ354" s="139" t="s">
        <v>1234</v>
      </c>
      <c r="AR354" s="139" t="s">
        <v>994</v>
      </c>
      <c r="AS354" s="12">
        <v>45033</v>
      </c>
      <c r="AT354" s="148">
        <v>46129</v>
      </c>
      <c r="AU354" s="140">
        <v>197</v>
      </c>
      <c r="AV354" s="149" t="s">
        <v>1163</v>
      </c>
      <c r="AW354" s="12">
        <v>46145</v>
      </c>
      <c r="AX354" s="140">
        <v>213</v>
      </c>
      <c r="AY354" s="149" t="s">
        <v>1163</v>
      </c>
      <c r="AZ354" s="11"/>
      <c r="BA354" s="11" t="s">
        <v>48</v>
      </c>
    </row>
    <row r="355" spans="38:53" x14ac:dyDescent="0.3">
      <c r="AL355" s="147" t="s">
        <v>91</v>
      </c>
      <c r="AM355" s="139" t="s">
        <v>1173</v>
      </c>
      <c r="AN355" s="139" t="s">
        <v>966</v>
      </c>
      <c r="AO355" s="139" t="s">
        <v>985</v>
      </c>
      <c r="AP355" s="139" t="s">
        <v>986</v>
      </c>
      <c r="AQ355" s="139" t="s">
        <v>1338</v>
      </c>
      <c r="AR355" s="139" t="s">
        <v>1004</v>
      </c>
      <c r="AS355" s="12">
        <v>45399</v>
      </c>
      <c r="AT355" s="148">
        <v>46494</v>
      </c>
      <c r="AU355" s="140">
        <v>562</v>
      </c>
      <c r="AV355" s="149" t="s">
        <v>1163</v>
      </c>
      <c r="AW355" s="12">
        <v>45924</v>
      </c>
      <c r="AX355" s="140">
        <v>-8</v>
      </c>
      <c r="AY355" s="149" t="s">
        <v>1164</v>
      </c>
      <c r="AZ355" s="11"/>
      <c r="BA355" s="11" t="s">
        <v>54</v>
      </c>
    </row>
    <row r="356" spans="38:53" x14ac:dyDescent="0.3">
      <c r="AL356" s="147" t="s">
        <v>167</v>
      </c>
      <c r="AM356" s="139" t="s">
        <v>1276</v>
      </c>
      <c r="AN356" s="139" t="s">
        <v>966</v>
      </c>
      <c r="AO356" s="139" t="s">
        <v>971</v>
      </c>
      <c r="AP356" s="139" t="s">
        <v>972</v>
      </c>
      <c r="AQ356" s="139" t="s">
        <v>1018</v>
      </c>
      <c r="AR356" s="139" t="s">
        <v>974</v>
      </c>
      <c r="AS356" s="12">
        <v>45363</v>
      </c>
      <c r="AT356" s="148">
        <v>46458</v>
      </c>
      <c r="AU356" s="140">
        <v>526</v>
      </c>
      <c r="AV356" s="149" t="s">
        <v>1163</v>
      </c>
      <c r="AW356" s="12">
        <v>46101</v>
      </c>
      <c r="AX356" s="140">
        <v>169</v>
      </c>
      <c r="AY356" s="149" t="s">
        <v>1163</v>
      </c>
      <c r="AZ356" s="11"/>
      <c r="BA356" s="11" t="s">
        <v>48</v>
      </c>
    </row>
    <row r="357" spans="38:53" x14ac:dyDescent="0.3">
      <c r="AL357" s="147" t="s">
        <v>168</v>
      </c>
      <c r="AM357" s="139" t="s">
        <v>1276</v>
      </c>
      <c r="AN357" s="139" t="s">
        <v>966</v>
      </c>
      <c r="AO357" s="139" t="s">
        <v>971</v>
      </c>
      <c r="AP357" s="139" t="s">
        <v>1379</v>
      </c>
      <c r="AQ357" s="139" t="s">
        <v>1380</v>
      </c>
      <c r="AR357" s="139" t="s">
        <v>974</v>
      </c>
      <c r="AS357" s="12">
        <v>45363</v>
      </c>
      <c r="AT357" s="148">
        <v>46458</v>
      </c>
      <c r="AU357" s="140">
        <v>526</v>
      </c>
      <c r="AV357" s="149" t="s">
        <v>1163</v>
      </c>
      <c r="AW357" s="12">
        <v>46101</v>
      </c>
      <c r="AX357" s="140">
        <v>169</v>
      </c>
      <c r="AY357" s="149" t="s">
        <v>1163</v>
      </c>
      <c r="AZ357" s="11"/>
      <c r="BA357" s="11" t="s">
        <v>48</v>
      </c>
    </row>
    <row r="358" spans="38:53" x14ac:dyDescent="0.3">
      <c r="AL358" s="147" t="s">
        <v>169</v>
      </c>
      <c r="AM358" s="139" t="s">
        <v>1276</v>
      </c>
      <c r="AN358" s="139" t="s">
        <v>966</v>
      </c>
      <c r="AO358" s="139" t="s">
        <v>971</v>
      </c>
      <c r="AP358" s="139" t="s">
        <v>972</v>
      </c>
      <c r="AQ358" s="139" t="s">
        <v>1018</v>
      </c>
      <c r="AR358" s="139" t="s">
        <v>974</v>
      </c>
      <c r="AS358" s="12">
        <v>45363</v>
      </c>
      <c r="AT358" s="148">
        <v>46458</v>
      </c>
      <c r="AU358" s="140">
        <v>526</v>
      </c>
      <c r="AV358" s="149" t="s">
        <v>1163</v>
      </c>
      <c r="AW358" s="12">
        <v>46101</v>
      </c>
      <c r="AX358" s="140">
        <v>169</v>
      </c>
      <c r="AY358" s="149" t="s">
        <v>1163</v>
      </c>
      <c r="AZ358" s="11"/>
      <c r="BA358" s="11" t="s">
        <v>48</v>
      </c>
    </row>
    <row r="359" spans="38:53" x14ac:dyDescent="0.3">
      <c r="AL359" s="147" t="s">
        <v>170</v>
      </c>
      <c r="AM359" s="139" t="s">
        <v>1276</v>
      </c>
      <c r="AN359" s="139" t="s">
        <v>966</v>
      </c>
      <c r="AO359" s="139" t="s">
        <v>971</v>
      </c>
      <c r="AP359" s="139" t="s">
        <v>972</v>
      </c>
      <c r="AQ359" s="139" t="s">
        <v>1018</v>
      </c>
      <c r="AR359" s="139" t="s">
        <v>974</v>
      </c>
      <c r="AS359" s="12">
        <v>45363</v>
      </c>
      <c r="AT359" s="148">
        <v>46458</v>
      </c>
      <c r="AU359" s="140">
        <v>526</v>
      </c>
      <c r="AV359" s="149" t="s">
        <v>1163</v>
      </c>
      <c r="AW359" s="12">
        <v>46101</v>
      </c>
      <c r="AX359" s="140">
        <v>169</v>
      </c>
      <c r="AY359" s="149" t="s">
        <v>1163</v>
      </c>
      <c r="AZ359" s="11"/>
      <c r="BA359" s="11" t="s">
        <v>48</v>
      </c>
    </row>
    <row r="360" spans="38:53" x14ac:dyDescent="0.3">
      <c r="AL360" s="147" t="s">
        <v>1381</v>
      </c>
      <c r="AM360" s="139" t="s">
        <v>1006</v>
      </c>
      <c r="AN360" s="139" t="s">
        <v>979</v>
      </c>
      <c r="AO360" s="139" t="s">
        <v>971</v>
      </c>
      <c r="AP360" s="139" t="s">
        <v>972</v>
      </c>
      <c r="AQ360" s="139" t="s">
        <v>1018</v>
      </c>
      <c r="AR360" s="139" t="s">
        <v>974</v>
      </c>
      <c r="AS360" s="12">
        <v>45668</v>
      </c>
      <c r="AT360" s="148">
        <v>46033</v>
      </c>
      <c r="AU360" s="140">
        <v>101</v>
      </c>
      <c r="AV360" s="149" t="s">
        <v>1163</v>
      </c>
      <c r="AW360" s="148">
        <v>46103</v>
      </c>
      <c r="AX360" s="140">
        <v>171</v>
      </c>
      <c r="AY360" s="149" t="s">
        <v>1163</v>
      </c>
      <c r="AZ360" s="11"/>
      <c r="BA360" s="11" t="s">
        <v>575</v>
      </c>
    </row>
    <row r="361" spans="38:53" x14ac:dyDescent="0.3">
      <c r="AL361" s="147" t="s">
        <v>147</v>
      </c>
      <c r="AM361" s="139" t="s">
        <v>1276</v>
      </c>
      <c r="AN361" s="139" t="s">
        <v>966</v>
      </c>
      <c r="AO361" s="139" t="s">
        <v>985</v>
      </c>
      <c r="AP361" s="139" t="s">
        <v>992</v>
      </c>
      <c r="AQ361" s="139" t="s">
        <v>1085</v>
      </c>
      <c r="AR361" s="139" t="s">
        <v>994</v>
      </c>
      <c r="AS361" s="12">
        <v>45033</v>
      </c>
      <c r="AT361" s="148">
        <v>46129</v>
      </c>
      <c r="AU361" s="140">
        <v>197</v>
      </c>
      <c r="AV361" s="149" t="s">
        <v>1163</v>
      </c>
      <c r="AW361" s="12">
        <v>46145</v>
      </c>
      <c r="AX361" s="140">
        <v>213</v>
      </c>
      <c r="AY361" s="149" t="s">
        <v>1163</v>
      </c>
      <c r="AZ361" s="11"/>
      <c r="BA361" s="11" t="s">
        <v>48</v>
      </c>
    </row>
    <row r="362" spans="38:53" x14ac:dyDescent="0.3">
      <c r="AL362" s="147" t="s">
        <v>149</v>
      </c>
      <c r="AM362" s="139" t="s">
        <v>1276</v>
      </c>
      <c r="AN362" s="139" t="s">
        <v>966</v>
      </c>
      <c r="AO362" s="139" t="s">
        <v>985</v>
      </c>
      <c r="AP362" s="139" t="s">
        <v>992</v>
      </c>
      <c r="AQ362" s="139" t="s">
        <v>1027</v>
      </c>
      <c r="AR362" s="139" t="s">
        <v>994</v>
      </c>
      <c r="AS362" s="12">
        <v>45033</v>
      </c>
      <c r="AT362" s="148">
        <v>46129</v>
      </c>
      <c r="AU362" s="140">
        <v>197</v>
      </c>
      <c r="AV362" s="149" t="s">
        <v>1163</v>
      </c>
      <c r="AW362" s="12">
        <v>46145</v>
      </c>
      <c r="AX362" s="140">
        <v>213</v>
      </c>
      <c r="AY362" s="149" t="s">
        <v>1163</v>
      </c>
      <c r="AZ362" s="11"/>
      <c r="BA362" s="11" t="s">
        <v>48</v>
      </c>
    </row>
    <row r="363" spans="38:53" x14ac:dyDescent="0.3">
      <c r="AL363" s="147" t="s">
        <v>151</v>
      </c>
      <c r="AM363" s="139" t="s">
        <v>1276</v>
      </c>
      <c r="AN363" s="139" t="s">
        <v>966</v>
      </c>
      <c r="AO363" s="139" t="s">
        <v>985</v>
      </c>
      <c r="AP363" s="139" t="s">
        <v>986</v>
      </c>
      <c r="AQ363" s="139" t="s">
        <v>987</v>
      </c>
      <c r="AR363" s="139" t="s">
        <v>994</v>
      </c>
      <c r="AS363" s="12">
        <v>45033</v>
      </c>
      <c r="AT363" s="148">
        <v>46129</v>
      </c>
      <c r="AU363" s="140">
        <v>197</v>
      </c>
      <c r="AV363" s="149" t="s">
        <v>1163</v>
      </c>
      <c r="AW363" s="12">
        <v>46145</v>
      </c>
      <c r="AX363" s="140">
        <v>213</v>
      </c>
      <c r="AY363" s="149" t="s">
        <v>1163</v>
      </c>
      <c r="AZ363" s="11"/>
      <c r="BA363" s="11" t="s">
        <v>48</v>
      </c>
    </row>
    <row r="364" spans="38:53" x14ac:dyDescent="0.3">
      <c r="AL364" s="147" t="s">
        <v>1382</v>
      </c>
      <c r="AM364" s="139" t="s">
        <v>1038</v>
      </c>
      <c r="AN364" s="139" t="s">
        <v>979</v>
      </c>
      <c r="AO364" s="139" t="s">
        <v>971</v>
      </c>
      <c r="AP364" s="139" t="s">
        <v>972</v>
      </c>
      <c r="AQ364" s="139" t="s">
        <v>973</v>
      </c>
      <c r="AR364" s="139" t="s">
        <v>974</v>
      </c>
      <c r="AS364" s="12">
        <v>45475</v>
      </c>
      <c r="AT364" s="148">
        <v>45840</v>
      </c>
      <c r="AU364" s="140">
        <v>-92</v>
      </c>
      <c r="AV364" s="149" t="s">
        <v>1164</v>
      </c>
      <c r="AW364" s="12">
        <v>46111</v>
      </c>
      <c r="AX364" s="140">
        <v>179</v>
      </c>
      <c r="AY364" s="149" t="s">
        <v>1163</v>
      </c>
      <c r="AZ364" s="11"/>
      <c r="BA364" s="11" t="s">
        <v>575</v>
      </c>
    </row>
    <row r="365" spans="38:53" x14ac:dyDescent="0.3">
      <c r="AL365" s="147" t="s">
        <v>1383</v>
      </c>
      <c r="AM365" s="139" t="s">
        <v>1006</v>
      </c>
      <c r="AN365" s="139" t="s">
        <v>970</v>
      </c>
      <c r="AO365" s="139" t="s">
        <v>966</v>
      </c>
      <c r="AP365" s="139" t="s">
        <v>972</v>
      </c>
      <c r="AQ365" s="139" t="s">
        <v>1034</v>
      </c>
      <c r="AR365" s="139" t="s">
        <v>994</v>
      </c>
      <c r="AS365" s="12">
        <v>45769</v>
      </c>
      <c r="AT365" s="148">
        <v>46134</v>
      </c>
      <c r="AU365" s="140">
        <v>202</v>
      </c>
      <c r="AV365" s="149" t="s">
        <v>1163</v>
      </c>
      <c r="AW365" s="12">
        <v>46023</v>
      </c>
      <c r="AX365" s="140">
        <v>91</v>
      </c>
      <c r="AY365" s="149" t="s">
        <v>1163</v>
      </c>
      <c r="AZ365" s="11"/>
      <c r="BA365" s="11" t="s">
        <v>575</v>
      </c>
    </row>
    <row r="366" spans="38:53" x14ac:dyDescent="0.3">
      <c r="AL366" s="147" t="s">
        <v>1384</v>
      </c>
      <c r="AM366" s="139" t="s">
        <v>1038</v>
      </c>
      <c r="AN366" s="139" t="s">
        <v>970</v>
      </c>
      <c r="AO366" s="139" t="s">
        <v>971</v>
      </c>
      <c r="AP366" s="139" t="s">
        <v>972</v>
      </c>
      <c r="AQ366" s="139" t="s">
        <v>973</v>
      </c>
      <c r="AR366" s="139" t="s">
        <v>974</v>
      </c>
      <c r="AS366" s="12">
        <v>45751</v>
      </c>
      <c r="AT366" s="148">
        <v>46116</v>
      </c>
      <c r="AU366" s="140">
        <v>184</v>
      </c>
      <c r="AV366" s="149" t="s">
        <v>1163</v>
      </c>
      <c r="AW366" s="12">
        <v>46115</v>
      </c>
      <c r="AX366" s="140">
        <v>183</v>
      </c>
      <c r="AY366" s="149" t="s">
        <v>1163</v>
      </c>
      <c r="AZ366" s="11"/>
      <c r="BA366" s="11" t="s">
        <v>575</v>
      </c>
    </row>
    <row r="367" spans="38:53" x14ac:dyDescent="0.3">
      <c r="AL367" s="147" t="s">
        <v>1385</v>
      </c>
      <c r="AM367" s="139" t="s">
        <v>1038</v>
      </c>
      <c r="AN367" s="139" t="s">
        <v>970</v>
      </c>
      <c r="AO367" s="139" t="s">
        <v>966</v>
      </c>
      <c r="AP367" s="139" t="s">
        <v>1060</v>
      </c>
      <c r="AQ367" s="139" t="s">
        <v>1061</v>
      </c>
      <c r="AR367" s="139" t="s">
        <v>994</v>
      </c>
      <c r="AS367" s="12">
        <v>45048</v>
      </c>
      <c r="AT367" s="148">
        <v>46144</v>
      </c>
      <c r="AU367" s="140">
        <v>212</v>
      </c>
      <c r="AV367" s="149" t="s">
        <v>1163</v>
      </c>
      <c r="AW367" s="12">
        <v>45826</v>
      </c>
      <c r="AX367" s="140">
        <v>-106</v>
      </c>
      <c r="AY367" s="149" t="s">
        <v>1164</v>
      </c>
      <c r="AZ367" s="11"/>
      <c r="BA367" s="11" t="s">
        <v>575</v>
      </c>
    </row>
    <row r="368" spans="38:53" x14ac:dyDescent="0.3">
      <c r="AL368" s="147" t="s">
        <v>203</v>
      </c>
      <c r="AM368" s="139" t="s">
        <v>1058</v>
      </c>
      <c r="AN368" s="139" t="s">
        <v>966</v>
      </c>
      <c r="AO368" s="139" t="s">
        <v>985</v>
      </c>
      <c r="AP368" s="139" t="s">
        <v>1002</v>
      </c>
      <c r="AQ368" s="139" t="s">
        <v>1003</v>
      </c>
      <c r="AR368" s="139" t="s">
        <v>994</v>
      </c>
      <c r="AS368" s="12">
        <v>45679</v>
      </c>
      <c r="AT368" s="148">
        <v>45860</v>
      </c>
      <c r="AU368" s="140">
        <v>-72</v>
      </c>
      <c r="AV368" s="149" t="s">
        <v>1164</v>
      </c>
      <c r="AW368" s="12">
        <v>45868</v>
      </c>
      <c r="AX368" s="140">
        <v>-64</v>
      </c>
      <c r="AY368" s="149" t="s">
        <v>1164</v>
      </c>
      <c r="AZ368" s="11"/>
      <c r="BA368" s="11" t="s">
        <v>200</v>
      </c>
    </row>
    <row r="369" spans="38:53" x14ac:dyDescent="0.3">
      <c r="AL369" s="147" t="s">
        <v>1386</v>
      </c>
      <c r="AM369" s="139" t="s">
        <v>978</v>
      </c>
      <c r="AN369" s="139" t="s">
        <v>979</v>
      </c>
      <c r="AO369" s="139" t="s">
        <v>985</v>
      </c>
      <c r="AP369" s="139" t="s">
        <v>986</v>
      </c>
      <c r="AQ369" s="139" t="s">
        <v>987</v>
      </c>
      <c r="AR369" s="139" t="s">
        <v>988</v>
      </c>
      <c r="AS369" s="12">
        <v>45757</v>
      </c>
      <c r="AT369" s="148">
        <v>46122</v>
      </c>
      <c r="AU369" s="140">
        <v>190</v>
      </c>
      <c r="AV369" s="149" t="s">
        <v>1163</v>
      </c>
      <c r="AW369" s="12">
        <v>45971</v>
      </c>
      <c r="AX369" s="140">
        <v>39</v>
      </c>
      <c r="AY369" s="149" t="s">
        <v>1163</v>
      </c>
      <c r="AZ369" s="11"/>
      <c r="BA369" s="11" t="s">
        <v>575</v>
      </c>
    </row>
    <row r="370" spans="38:53" x14ac:dyDescent="0.3">
      <c r="AL370" s="147" t="s">
        <v>1387</v>
      </c>
      <c r="AM370" s="139" t="s">
        <v>978</v>
      </c>
      <c r="AN370" s="139" t="s">
        <v>979</v>
      </c>
      <c r="AO370" s="139" t="s">
        <v>971</v>
      </c>
      <c r="AP370" s="139" t="s">
        <v>972</v>
      </c>
      <c r="AQ370" s="139" t="s">
        <v>980</v>
      </c>
      <c r="AR370" s="139" t="s">
        <v>981</v>
      </c>
      <c r="AS370" s="12">
        <v>45699</v>
      </c>
      <c r="AT370" s="148">
        <v>46064</v>
      </c>
      <c r="AU370" s="140">
        <v>132</v>
      </c>
      <c r="AV370" s="149" t="s">
        <v>1163</v>
      </c>
      <c r="AW370" s="12">
        <v>45972</v>
      </c>
      <c r="AX370" s="140">
        <v>40</v>
      </c>
      <c r="AY370" s="149" t="s">
        <v>1163</v>
      </c>
      <c r="AZ370" s="11"/>
      <c r="BA370" s="11" t="s">
        <v>575</v>
      </c>
    </row>
    <row r="371" spans="38:53" x14ac:dyDescent="0.3">
      <c r="AL371" s="147" t="s">
        <v>1388</v>
      </c>
      <c r="AM371" s="139" t="s">
        <v>978</v>
      </c>
      <c r="AN371" s="139" t="s">
        <v>979</v>
      </c>
      <c r="AO371" s="139" t="s">
        <v>971</v>
      </c>
      <c r="AP371" s="139" t="s">
        <v>972</v>
      </c>
      <c r="AQ371" s="139" t="s">
        <v>980</v>
      </c>
      <c r="AR371" s="139" t="s">
        <v>981</v>
      </c>
      <c r="AS371" s="12">
        <v>45716</v>
      </c>
      <c r="AT371" s="148">
        <v>46081</v>
      </c>
      <c r="AU371" s="140">
        <v>149</v>
      </c>
      <c r="AV371" s="149" t="s">
        <v>1163</v>
      </c>
      <c r="AW371" s="12">
        <v>45820</v>
      </c>
      <c r="AX371" s="140">
        <v>-112</v>
      </c>
      <c r="AY371" s="149" t="s">
        <v>1164</v>
      </c>
      <c r="AZ371" s="11"/>
      <c r="BA371" s="11" t="s">
        <v>575</v>
      </c>
    </row>
    <row r="372" spans="38:53" x14ac:dyDescent="0.3">
      <c r="AL372" s="147" t="s">
        <v>159</v>
      </c>
      <c r="AM372" s="139" t="s">
        <v>1276</v>
      </c>
      <c r="AN372" s="139" t="s">
        <v>966</v>
      </c>
      <c r="AO372" s="139" t="s">
        <v>985</v>
      </c>
      <c r="AP372" s="139" t="s">
        <v>1002</v>
      </c>
      <c r="AQ372" s="139" t="s">
        <v>1195</v>
      </c>
      <c r="AR372" s="139" t="s">
        <v>994</v>
      </c>
      <c r="AS372" s="12">
        <v>45363</v>
      </c>
      <c r="AT372" s="148">
        <v>46458</v>
      </c>
      <c r="AU372" s="140">
        <v>526</v>
      </c>
      <c r="AV372" s="149" t="s">
        <v>1163</v>
      </c>
      <c r="AW372" s="12">
        <v>46101</v>
      </c>
      <c r="AX372" s="140">
        <v>169</v>
      </c>
      <c r="AY372" s="149" t="s">
        <v>1163</v>
      </c>
      <c r="AZ372" s="11"/>
      <c r="BA372" s="11" t="s">
        <v>48</v>
      </c>
    </row>
    <row r="373" spans="38:53" x14ac:dyDescent="0.3">
      <c r="AL373" s="147" t="s">
        <v>100</v>
      </c>
      <c r="AM373" s="139" t="s">
        <v>1173</v>
      </c>
      <c r="AN373" s="139" t="s">
        <v>966</v>
      </c>
      <c r="AO373" s="139" t="s">
        <v>985</v>
      </c>
      <c r="AP373" s="139" t="s">
        <v>1205</v>
      </c>
      <c r="AQ373" s="139" t="s">
        <v>1240</v>
      </c>
      <c r="AR373" s="139" t="s">
        <v>994</v>
      </c>
      <c r="AS373" s="12">
        <v>45370</v>
      </c>
      <c r="AT373" s="148">
        <v>46461</v>
      </c>
      <c r="AU373" s="140">
        <v>529</v>
      </c>
      <c r="AV373" s="149" t="s">
        <v>1163</v>
      </c>
      <c r="AW373" s="12">
        <v>45924</v>
      </c>
      <c r="AX373" s="140">
        <v>-8</v>
      </c>
      <c r="AY373" s="149" t="s">
        <v>1164</v>
      </c>
      <c r="AZ373" s="11"/>
      <c r="BA373" s="11" t="s">
        <v>54</v>
      </c>
    </row>
    <row r="374" spans="38:53" x14ac:dyDescent="0.3">
      <c r="AL374" s="147" t="s">
        <v>1389</v>
      </c>
      <c r="AM374" s="139" t="s">
        <v>978</v>
      </c>
      <c r="AN374" s="139" t="s">
        <v>979</v>
      </c>
      <c r="AO374" s="139" t="s">
        <v>971</v>
      </c>
      <c r="AP374" s="139" t="s">
        <v>972</v>
      </c>
      <c r="AQ374" s="139" t="s">
        <v>980</v>
      </c>
      <c r="AR374" s="139" t="s">
        <v>981</v>
      </c>
      <c r="AS374" s="12">
        <v>45716</v>
      </c>
      <c r="AT374" s="148">
        <v>46081</v>
      </c>
      <c r="AU374" s="140">
        <v>149</v>
      </c>
      <c r="AV374" s="149" t="s">
        <v>1163</v>
      </c>
      <c r="AW374" s="12">
        <v>46001</v>
      </c>
      <c r="AX374" s="140">
        <v>69</v>
      </c>
      <c r="AY374" s="149" t="s">
        <v>1163</v>
      </c>
      <c r="AZ374" s="11"/>
      <c r="BA374" s="11" t="s">
        <v>575</v>
      </c>
    </row>
    <row r="375" spans="38:53" x14ac:dyDescent="0.3">
      <c r="AL375" s="147" t="s">
        <v>1390</v>
      </c>
      <c r="AM375" s="139" t="s">
        <v>978</v>
      </c>
      <c r="AN375" s="139" t="s">
        <v>979</v>
      </c>
      <c r="AO375" s="139" t="s">
        <v>996</v>
      </c>
      <c r="AP375" s="139" t="s">
        <v>997</v>
      </c>
      <c r="AQ375" s="139" t="s">
        <v>998</v>
      </c>
      <c r="AR375" s="139" t="s">
        <v>974</v>
      </c>
      <c r="AS375" s="12">
        <v>45482</v>
      </c>
      <c r="AT375" s="148">
        <v>45847</v>
      </c>
      <c r="AU375" s="140">
        <v>-85</v>
      </c>
      <c r="AV375" s="149" t="s">
        <v>1164</v>
      </c>
      <c r="AW375" s="12">
        <v>46137</v>
      </c>
      <c r="AX375" s="140">
        <v>205</v>
      </c>
      <c r="AY375" s="149" t="s">
        <v>1163</v>
      </c>
      <c r="AZ375" s="11"/>
      <c r="BA375" s="11" t="s">
        <v>575</v>
      </c>
    </row>
    <row r="376" spans="38:53" x14ac:dyDescent="0.3">
      <c r="AL376" s="147" t="s">
        <v>1391</v>
      </c>
      <c r="AM376" s="139" t="s">
        <v>978</v>
      </c>
      <c r="AN376" s="139" t="s">
        <v>979</v>
      </c>
      <c r="AO376" s="139" t="s">
        <v>996</v>
      </c>
      <c r="AP376" s="139" t="s">
        <v>997</v>
      </c>
      <c r="AQ376" s="139" t="s">
        <v>998</v>
      </c>
      <c r="AR376" s="139" t="s">
        <v>974</v>
      </c>
      <c r="AS376" s="12">
        <v>45511</v>
      </c>
      <c r="AT376" s="148">
        <v>45876</v>
      </c>
      <c r="AU376" s="140">
        <v>-56</v>
      </c>
      <c r="AV376" s="149" t="s">
        <v>1164</v>
      </c>
      <c r="AW376" s="12">
        <v>46137</v>
      </c>
      <c r="AX376" s="140">
        <v>205</v>
      </c>
      <c r="AY376" s="149" t="s">
        <v>1163</v>
      </c>
      <c r="AZ376" s="11"/>
      <c r="BA376" s="11" t="s">
        <v>575</v>
      </c>
    </row>
    <row r="377" spans="38:53" x14ac:dyDescent="0.3">
      <c r="AL377" s="147" t="s">
        <v>76</v>
      </c>
      <c r="AM377" s="139" t="s">
        <v>1173</v>
      </c>
      <c r="AN377" s="139" t="s">
        <v>966</v>
      </c>
      <c r="AO377" s="139" t="s">
        <v>985</v>
      </c>
      <c r="AP377" s="139" t="s">
        <v>1002</v>
      </c>
      <c r="AQ377" s="139" t="s">
        <v>1057</v>
      </c>
      <c r="AR377" s="139" t="s">
        <v>1004</v>
      </c>
      <c r="AS377" s="12">
        <v>45399</v>
      </c>
      <c r="AT377" s="148">
        <v>46494</v>
      </c>
      <c r="AU377" s="140">
        <v>562</v>
      </c>
      <c r="AV377" s="149" t="s">
        <v>1163</v>
      </c>
      <c r="AW377" s="12">
        <v>45924</v>
      </c>
      <c r="AX377" s="140">
        <v>-8</v>
      </c>
      <c r="AY377" s="149" t="s">
        <v>1164</v>
      </c>
      <c r="AZ377" s="11"/>
      <c r="BA377" s="11" t="s">
        <v>54</v>
      </c>
    </row>
    <row r="378" spans="38:53" x14ac:dyDescent="0.3">
      <c r="AL378" s="147" t="s">
        <v>85</v>
      </c>
      <c r="AM378" s="139" t="s">
        <v>1173</v>
      </c>
      <c r="AN378" s="139" t="s">
        <v>966</v>
      </c>
      <c r="AO378" s="139" t="s">
        <v>966</v>
      </c>
      <c r="AP378" s="139" t="s">
        <v>1060</v>
      </c>
      <c r="AQ378" s="139" t="s">
        <v>1392</v>
      </c>
      <c r="AR378" s="139" t="s">
        <v>994</v>
      </c>
      <c r="AS378" s="12">
        <v>45370</v>
      </c>
      <c r="AT378" s="148">
        <v>46461</v>
      </c>
      <c r="AU378" s="140">
        <v>529</v>
      </c>
      <c r="AV378" s="149" t="s">
        <v>1163</v>
      </c>
      <c r="AW378" s="12">
        <v>45924</v>
      </c>
      <c r="AX378" s="140">
        <v>-8</v>
      </c>
      <c r="AY378" s="149" t="s">
        <v>1164</v>
      </c>
      <c r="AZ378" s="11"/>
      <c r="BA378" s="11" t="s">
        <v>54</v>
      </c>
    </row>
    <row r="379" spans="38:53" x14ac:dyDescent="0.3">
      <c r="AL379" s="147" t="s">
        <v>186</v>
      </c>
      <c r="AM379" s="139" t="s">
        <v>1006</v>
      </c>
      <c r="AN379" s="139" t="s">
        <v>966</v>
      </c>
      <c r="AO379" s="139" t="s">
        <v>985</v>
      </c>
      <c r="AP379" s="139" t="s">
        <v>992</v>
      </c>
      <c r="AQ379" s="139" t="s">
        <v>1016</v>
      </c>
      <c r="AR379" s="139" t="s">
        <v>988</v>
      </c>
      <c r="AS379" s="12">
        <v>45033</v>
      </c>
      <c r="AT379" s="148">
        <v>46129</v>
      </c>
      <c r="AU379" s="140">
        <v>197</v>
      </c>
      <c r="AV379" s="149" t="s">
        <v>1163</v>
      </c>
      <c r="AW379" s="12">
        <v>45978</v>
      </c>
      <c r="AX379" s="140">
        <v>46</v>
      </c>
      <c r="AY379" s="149" t="s">
        <v>1163</v>
      </c>
      <c r="AZ379" s="11"/>
      <c r="BA379" s="11" t="s">
        <v>184</v>
      </c>
    </row>
    <row r="380" spans="38:53" x14ac:dyDescent="0.3">
      <c r="AL380" s="147" t="s">
        <v>97</v>
      </c>
      <c r="AM380" s="139" t="s">
        <v>1173</v>
      </c>
      <c r="AN380" s="139" t="s">
        <v>966</v>
      </c>
      <c r="AO380" s="139" t="s">
        <v>985</v>
      </c>
      <c r="AP380" s="139" t="s">
        <v>1203</v>
      </c>
      <c r="AQ380" s="139" t="s">
        <v>1393</v>
      </c>
      <c r="AR380" s="139" t="s">
        <v>1004</v>
      </c>
      <c r="AS380" s="12">
        <v>45399</v>
      </c>
      <c r="AT380" s="148">
        <v>46494</v>
      </c>
      <c r="AU380" s="140">
        <v>562</v>
      </c>
      <c r="AV380" s="149" t="s">
        <v>1163</v>
      </c>
      <c r="AW380" s="12">
        <v>45924</v>
      </c>
      <c r="AX380" s="140">
        <v>-8</v>
      </c>
      <c r="AY380" s="149" t="s">
        <v>1164</v>
      </c>
      <c r="AZ380" s="11"/>
      <c r="BA380" s="11" t="s">
        <v>54</v>
      </c>
    </row>
    <row r="381" spans="38:53" x14ac:dyDescent="0.3">
      <c r="AL381" s="147" t="s">
        <v>1394</v>
      </c>
      <c r="AM381" s="139" t="s">
        <v>1395</v>
      </c>
      <c r="AN381" s="139" t="s">
        <v>979</v>
      </c>
      <c r="AO381" s="139" t="s">
        <v>971</v>
      </c>
      <c r="AP381" s="139" t="s">
        <v>972</v>
      </c>
      <c r="AQ381" s="139" t="s">
        <v>973</v>
      </c>
      <c r="AR381" s="139" t="s">
        <v>974</v>
      </c>
      <c r="AS381" s="12">
        <v>45482</v>
      </c>
      <c r="AT381" s="148">
        <v>45847</v>
      </c>
      <c r="AU381" s="140">
        <v>-85</v>
      </c>
      <c r="AV381" s="149" t="s">
        <v>1164</v>
      </c>
      <c r="AW381" s="12">
        <v>46140</v>
      </c>
      <c r="AX381" s="140">
        <v>208</v>
      </c>
      <c r="AY381" s="149" t="s">
        <v>1163</v>
      </c>
      <c r="AZ381" s="11"/>
      <c r="BA381" s="11" t="s">
        <v>575</v>
      </c>
    </row>
    <row r="382" spans="38:53" x14ac:dyDescent="0.3">
      <c r="AL382" s="147" t="s">
        <v>107</v>
      </c>
      <c r="AM382" s="139" t="s">
        <v>1173</v>
      </c>
      <c r="AN382" s="139" t="s">
        <v>966</v>
      </c>
      <c r="AO382" s="139" t="s">
        <v>966</v>
      </c>
      <c r="AP382" s="139" t="s">
        <v>972</v>
      </c>
      <c r="AQ382" s="139" t="s">
        <v>1250</v>
      </c>
      <c r="AR382" s="139" t="s">
        <v>994</v>
      </c>
      <c r="AS382" s="12">
        <v>45370</v>
      </c>
      <c r="AT382" s="148">
        <v>46461</v>
      </c>
      <c r="AU382" s="140">
        <v>529</v>
      </c>
      <c r="AV382" s="149" t="s">
        <v>1163</v>
      </c>
      <c r="AW382" s="12">
        <v>45924</v>
      </c>
      <c r="AX382" s="140">
        <v>-8</v>
      </c>
      <c r="AY382" s="149" t="s">
        <v>1164</v>
      </c>
      <c r="AZ382" s="11"/>
      <c r="BA382" s="11" t="s">
        <v>54</v>
      </c>
    </row>
    <row r="383" spans="38:53" x14ac:dyDescent="0.3">
      <c r="AL383" s="147" t="s">
        <v>106</v>
      </c>
      <c r="AM383" s="139" t="s">
        <v>1173</v>
      </c>
      <c r="AN383" s="139" t="s">
        <v>966</v>
      </c>
      <c r="AO383" s="139" t="s">
        <v>966</v>
      </c>
      <c r="AP383" s="139" t="s">
        <v>972</v>
      </c>
      <c r="AQ383" s="139" t="s">
        <v>1250</v>
      </c>
      <c r="AR383" s="139" t="s">
        <v>994</v>
      </c>
      <c r="AS383" s="12">
        <v>45370</v>
      </c>
      <c r="AT383" s="148">
        <v>46461</v>
      </c>
      <c r="AU383" s="140">
        <v>529</v>
      </c>
      <c r="AV383" s="149" t="s">
        <v>1163</v>
      </c>
      <c r="AW383" s="12">
        <v>45924</v>
      </c>
      <c r="AX383" s="140">
        <v>-8</v>
      </c>
      <c r="AY383" s="149" t="s">
        <v>1164</v>
      </c>
      <c r="AZ383" s="11"/>
      <c r="BA383" s="11" t="s">
        <v>54</v>
      </c>
    </row>
    <row r="384" spans="38:53" x14ac:dyDescent="0.3">
      <c r="AL384" s="147" t="s">
        <v>82</v>
      </c>
      <c r="AM384" s="139" t="s">
        <v>1173</v>
      </c>
      <c r="AN384" s="139" t="s">
        <v>966</v>
      </c>
      <c r="AO384" s="139" t="s">
        <v>985</v>
      </c>
      <c r="AP384" s="139" t="s">
        <v>992</v>
      </c>
      <c r="AQ384" s="139" t="s">
        <v>1396</v>
      </c>
      <c r="AR384" s="139" t="s">
        <v>1004</v>
      </c>
      <c r="AS384" s="12">
        <v>45399</v>
      </c>
      <c r="AT384" s="148">
        <v>46494</v>
      </c>
      <c r="AU384" s="140">
        <v>562</v>
      </c>
      <c r="AV384" s="149" t="s">
        <v>1163</v>
      </c>
      <c r="AW384" s="12">
        <v>45924</v>
      </c>
      <c r="AX384" s="140">
        <v>-8</v>
      </c>
      <c r="AY384" s="149" t="s">
        <v>1164</v>
      </c>
      <c r="AZ384" s="11"/>
      <c r="BA384" s="11" t="s">
        <v>54</v>
      </c>
    </row>
    <row r="385" spans="38:53" x14ac:dyDescent="0.3">
      <c r="AL385" s="147" t="s">
        <v>59</v>
      </c>
      <c r="AM385" s="139" t="s">
        <v>1118</v>
      </c>
      <c r="AN385" s="139" t="s">
        <v>966</v>
      </c>
      <c r="AO385" s="139" t="s">
        <v>985</v>
      </c>
      <c r="AP385" s="139" t="s">
        <v>1203</v>
      </c>
      <c r="AQ385" s="139" t="s">
        <v>1397</v>
      </c>
      <c r="AR385" s="139" t="s">
        <v>1004</v>
      </c>
      <c r="AS385" s="12">
        <v>45399</v>
      </c>
      <c r="AT385" s="148">
        <v>46494</v>
      </c>
      <c r="AU385" s="140">
        <v>562</v>
      </c>
      <c r="AV385" s="149" t="s">
        <v>1163</v>
      </c>
      <c r="AW385" s="12">
        <v>45924</v>
      </c>
      <c r="AX385" s="140">
        <v>-8</v>
      </c>
      <c r="AY385" s="149" t="s">
        <v>1164</v>
      </c>
      <c r="AZ385" s="11"/>
      <c r="BA385" s="11" t="s">
        <v>58</v>
      </c>
    </row>
    <row r="386" spans="38:53" x14ac:dyDescent="0.3">
      <c r="AL386" s="147" t="s">
        <v>108</v>
      </c>
      <c r="AM386" s="139" t="s">
        <v>1173</v>
      </c>
      <c r="AN386" s="139" t="s">
        <v>966</v>
      </c>
      <c r="AO386" s="139" t="s">
        <v>966</v>
      </c>
      <c r="AP386" s="139" t="s">
        <v>972</v>
      </c>
      <c r="AQ386" s="139" t="s">
        <v>1250</v>
      </c>
      <c r="AR386" s="139" t="s">
        <v>994</v>
      </c>
      <c r="AS386" s="12">
        <v>45370</v>
      </c>
      <c r="AT386" s="148">
        <v>46465</v>
      </c>
      <c r="AU386" s="140">
        <v>533</v>
      </c>
      <c r="AV386" s="149" t="s">
        <v>1163</v>
      </c>
      <c r="AW386" s="12">
        <v>45924</v>
      </c>
      <c r="AX386" s="140">
        <v>-8</v>
      </c>
      <c r="AY386" s="149" t="s">
        <v>1164</v>
      </c>
      <c r="AZ386" s="11"/>
      <c r="BA386" s="11" t="s">
        <v>54</v>
      </c>
    </row>
    <row r="387" spans="38:53" x14ac:dyDescent="0.3">
      <c r="AL387" s="147" t="s">
        <v>95</v>
      </c>
      <c r="AM387" s="139" t="s">
        <v>1173</v>
      </c>
      <c r="AN387" s="139" t="s">
        <v>966</v>
      </c>
      <c r="AO387" s="139" t="s">
        <v>985</v>
      </c>
      <c r="AP387" s="139" t="s">
        <v>992</v>
      </c>
      <c r="AQ387" s="139" t="s">
        <v>1088</v>
      </c>
      <c r="AR387" s="139" t="s">
        <v>994</v>
      </c>
      <c r="AS387" s="12">
        <v>45370</v>
      </c>
      <c r="AT387" s="148">
        <v>46465</v>
      </c>
      <c r="AU387" s="140">
        <v>533</v>
      </c>
      <c r="AV387" s="149" t="s">
        <v>1163</v>
      </c>
      <c r="AW387" s="12">
        <v>45924</v>
      </c>
      <c r="AX387" s="140">
        <v>-8</v>
      </c>
      <c r="AY387" s="149" t="s">
        <v>1164</v>
      </c>
      <c r="AZ387" s="11"/>
      <c r="BA387" s="11" t="s">
        <v>54</v>
      </c>
    </row>
    <row r="388" spans="38:53" x14ac:dyDescent="0.3">
      <c r="AL388" s="147" t="s">
        <v>99</v>
      </c>
      <c r="AM388" s="139" t="s">
        <v>1173</v>
      </c>
      <c r="AN388" s="139" t="s">
        <v>966</v>
      </c>
      <c r="AO388" s="139" t="s">
        <v>985</v>
      </c>
      <c r="AP388" s="139" t="s">
        <v>1205</v>
      </c>
      <c r="AQ388" s="139" t="s">
        <v>1240</v>
      </c>
      <c r="AR388" s="139" t="s">
        <v>994</v>
      </c>
      <c r="AS388" s="12">
        <v>45370</v>
      </c>
      <c r="AT388" s="148">
        <v>46465</v>
      </c>
      <c r="AU388" s="140">
        <v>533</v>
      </c>
      <c r="AV388" s="149" t="s">
        <v>1163</v>
      </c>
      <c r="AW388" s="12">
        <v>45924</v>
      </c>
      <c r="AX388" s="140">
        <v>-8</v>
      </c>
      <c r="AY388" s="149" t="s">
        <v>1164</v>
      </c>
      <c r="AZ388" s="11"/>
      <c r="BA388" s="11" t="s">
        <v>54</v>
      </c>
    </row>
    <row r="389" spans="38:53" x14ac:dyDescent="0.3">
      <c r="AL389" s="147" t="s">
        <v>87</v>
      </c>
      <c r="AM389" s="139" t="s">
        <v>1173</v>
      </c>
      <c r="AN389" s="139" t="s">
        <v>966</v>
      </c>
      <c r="AO389" s="139" t="s">
        <v>966</v>
      </c>
      <c r="AP389" s="139" t="s">
        <v>972</v>
      </c>
      <c r="AQ389" s="139" t="s">
        <v>1034</v>
      </c>
      <c r="AR389" s="139" t="s">
        <v>994</v>
      </c>
      <c r="AS389" s="12">
        <v>45399</v>
      </c>
      <c r="AT389" s="148">
        <v>46494</v>
      </c>
      <c r="AU389" s="140">
        <v>562</v>
      </c>
      <c r="AV389" s="149" t="s">
        <v>1163</v>
      </c>
      <c r="AW389" s="12">
        <v>45924</v>
      </c>
      <c r="AX389" s="140">
        <v>-8</v>
      </c>
      <c r="AY389" s="149" t="s">
        <v>1164</v>
      </c>
      <c r="AZ389" s="11"/>
      <c r="BA389" s="11" t="s">
        <v>54</v>
      </c>
    </row>
    <row r="390" spans="38:53" x14ac:dyDescent="0.3">
      <c r="AL390" s="147" t="s">
        <v>103</v>
      </c>
      <c r="AM390" s="139" t="s">
        <v>1173</v>
      </c>
      <c r="AN390" s="139" t="s">
        <v>966</v>
      </c>
      <c r="AO390" s="139" t="s">
        <v>966</v>
      </c>
      <c r="AP390" s="139" t="s">
        <v>972</v>
      </c>
      <c r="AQ390" s="139" t="s">
        <v>1250</v>
      </c>
      <c r="AR390" s="139" t="s">
        <v>994</v>
      </c>
      <c r="AS390" s="12">
        <v>45399</v>
      </c>
      <c r="AT390" s="148">
        <v>46494</v>
      </c>
      <c r="AU390" s="140">
        <v>562</v>
      </c>
      <c r="AV390" s="149" t="s">
        <v>1163</v>
      </c>
      <c r="AW390" s="12">
        <v>45924</v>
      </c>
      <c r="AX390" s="140">
        <v>-8</v>
      </c>
      <c r="AY390" s="149" t="s">
        <v>1164</v>
      </c>
      <c r="AZ390" s="11"/>
      <c r="BA390" s="11" t="s">
        <v>54</v>
      </c>
    </row>
    <row r="391" spans="38:53" x14ac:dyDescent="0.3">
      <c r="AL391" s="147" t="s">
        <v>105</v>
      </c>
      <c r="AM391" s="139" t="s">
        <v>1173</v>
      </c>
      <c r="AN391" s="139" t="s">
        <v>966</v>
      </c>
      <c r="AO391" s="139" t="s">
        <v>966</v>
      </c>
      <c r="AP391" s="139" t="s">
        <v>972</v>
      </c>
      <c r="AQ391" s="139" t="s">
        <v>1250</v>
      </c>
      <c r="AR391" s="139" t="s">
        <v>994</v>
      </c>
      <c r="AS391" s="12">
        <v>45399</v>
      </c>
      <c r="AT391" s="148">
        <v>46494</v>
      </c>
      <c r="AU391" s="140">
        <v>562</v>
      </c>
      <c r="AV391" s="149" t="s">
        <v>1163</v>
      </c>
      <c r="AW391" s="12">
        <v>45924</v>
      </c>
      <c r="AX391" s="140">
        <v>-8</v>
      </c>
      <c r="AY391" s="149" t="s">
        <v>1164</v>
      </c>
      <c r="AZ391" s="11"/>
      <c r="BA391" s="11" t="s">
        <v>54</v>
      </c>
    </row>
    <row r="392" spans="38:53" x14ac:dyDescent="0.3">
      <c r="AL392" s="147" t="s">
        <v>89</v>
      </c>
      <c r="AM392" s="139" t="s">
        <v>1173</v>
      </c>
      <c r="AN392" s="139" t="s">
        <v>966</v>
      </c>
      <c r="AO392" s="139" t="s">
        <v>966</v>
      </c>
      <c r="AP392" s="139" t="s">
        <v>972</v>
      </c>
      <c r="AQ392" s="139" t="s">
        <v>1034</v>
      </c>
      <c r="AR392" s="139" t="s">
        <v>994</v>
      </c>
      <c r="AS392" s="12">
        <v>45399</v>
      </c>
      <c r="AT392" s="148">
        <v>46494</v>
      </c>
      <c r="AU392" s="140">
        <v>562</v>
      </c>
      <c r="AV392" s="149" t="s">
        <v>1163</v>
      </c>
      <c r="AW392" s="12">
        <v>45924</v>
      </c>
      <c r="AX392" s="140">
        <v>-8</v>
      </c>
      <c r="AY392" s="149" t="s">
        <v>1164</v>
      </c>
      <c r="AZ392" s="11"/>
      <c r="BA392" s="11" t="s">
        <v>54</v>
      </c>
    </row>
    <row r="393" spans="38:53" x14ac:dyDescent="0.3">
      <c r="AL393" s="147" t="s">
        <v>84</v>
      </c>
      <c r="AM393" s="139" t="s">
        <v>1173</v>
      </c>
      <c r="AN393" s="139" t="s">
        <v>966</v>
      </c>
      <c r="AO393" s="139" t="s">
        <v>985</v>
      </c>
      <c r="AP393" s="139" t="s">
        <v>1205</v>
      </c>
      <c r="AQ393" s="139" t="s">
        <v>1240</v>
      </c>
      <c r="AR393" s="139" t="s">
        <v>994</v>
      </c>
      <c r="AS393" s="12">
        <v>45399</v>
      </c>
      <c r="AT393" s="148">
        <v>46494</v>
      </c>
      <c r="AU393" s="140">
        <v>562</v>
      </c>
      <c r="AV393" s="149" t="s">
        <v>1163</v>
      </c>
      <c r="AW393" s="12">
        <v>45924</v>
      </c>
      <c r="AX393" s="140">
        <v>-8</v>
      </c>
      <c r="AY393" s="149" t="s">
        <v>1164</v>
      </c>
      <c r="AZ393" s="11"/>
      <c r="BA393" s="11" t="s">
        <v>54</v>
      </c>
    </row>
    <row r="394" spans="38:53" x14ac:dyDescent="0.3">
      <c r="AL394" s="147" t="s">
        <v>90</v>
      </c>
      <c r="AM394" s="139" t="s">
        <v>1173</v>
      </c>
      <c r="AN394" s="139" t="s">
        <v>966</v>
      </c>
      <c r="AO394" s="139" t="s">
        <v>966</v>
      </c>
      <c r="AP394" s="139" t="s">
        <v>972</v>
      </c>
      <c r="AQ394" s="139" t="s">
        <v>1034</v>
      </c>
      <c r="AR394" s="139" t="s">
        <v>994</v>
      </c>
      <c r="AS394" s="12">
        <v>45399</v>
      </c>
      <c r="AT394" s="148">
        <v>46494</v>
      </c>
      <c r="AU394" s="140">
        <v>562</v>
      </c>
      <c r="AV394" s="149" t="s">
        <v>1163</v>
      </c>
      <c r="AW394" s="12">
        <v>45924</v>
      </c>
      <c r="AX394" s="140">
        <v>-8</v>
      </c>
      <c r="AY394" s="149" t="s">
        <v>1164</v>
      </c>
      <c r="AZ394" s="11"/>
      <c r="BA394" s="11" t="s">
        <v>54</v>
      </c>
    </row>
    <row r="395" spans="38:53" x14ac:dyDescent="0.3">
      <c r="AL395" s="147" t="s">
        <v>88</v>
      </c>
      <c r="AM395" s="139" t="s">
        <v>1173</v>
      </c>
      <c r="AN395" s="139" t="s">
        <v>966</v>
      </c>
      <c r="AO395" s="139" t="s">
        <v>966</v>
      </c>
      <c r="AP395" s="139" t="s">
        <v>972</v>
      </c>
      <c r="AQ395" s="139" t="s">
        <v>1250</v>
      </c>
      <c r="AR395" s="139" t="s">
        <v>994</v>
      </c>
      <c r="AS395" s="12">
        <v>45399</v>
      </c>
      <c r="AT395" s="148">
        <v>46494</v>
      </c>
      <c r="AU395" s="140">
        <v>562</v>
      </c>
      <c r="AV395" s="149" t="s">
        <v>1163</v>
      </c>
      <c r="AW395" s="12">
        <v>45924</v>
      </c>
      <c r="AX395" s="140">
        <v>-8</v>
      </c>
      <c r="AY395" s="149" t="s">
        <v>1164</v>
      </c>
      <c r="AZ395" s="11"/>
      <c r="BA395" s="11" t="s">
        <v>54</v>
      </c>
    </row>
    <row r="396" spans="38:53" x14ac:dyDescent="0.3">
      <c r="AL396" s="147" t="s">
        <v>171</v>
      </c>
      <c r="AM396" s="139" t="s">
        <v>1398</v>
      </c>
      <c r="AN396" s="139" t="s">
        <v>966</v>
      </c>
      <c r="AO396" s="139" t="s">
        <v>985</v>
      </c>
      <c r="AP396" s="139" t="s">
        <v>1205</v>
      </c>
      <c r="AQ396" s="139" t="s">
        <v>1399</v>
      </c>
      <c r="AR396" s="139" t="s">
        <v>1004</v>
      </c>
      <c r="AS396" s="12">
        <v>45399</v>
      </c>
      <c r="AT396" s="148">
        <v>46494</v>
      </c>
      <c r="AU396" s="140">
        <v>562</v>
      </c>
      <c r="AV396" s="149" t="s">
        <v>1163</v>
      </c>
      <c r="AW396" s="12">
        <v>45968</v>
      </c>
      <c r="AX396" s="140">
        <v>36</v>
      </c>
      <c r="AY396" s="149" t="s">
        <v>1163</v>
      </c>
      <c r="AZ396" s="11"/>
      <c r="BA396" s="11" t="s">
        <v>32</v>
      </c>
    </row>
    <row r="397" spans="38:53" x14ac:dyDescent="0.3">
      <c r="AL397" s="147" t="s">
        <v>102</v>
      </c>
      <c r="AM397" s="139" t="s">
        <v>1173</v>
      </c>
      <c r="AN397" s="139" t="s">
        <v>966</v>
      </c>
      <c r="AO397" s="139" t="s">
        <v>966</v>
      </c>
      <c r="AP397" s="139" t="s">
        <v>972</v>
      </c>
      <c r="AQ397" s="139" t="s">
        <v>1034</v>
      </c>
      <c r="AR397" s="139" t="s">
        <v>994</v>
      </c>
      <c r="AS397" s="12">
        <v>45399</v>
      </c>
      <c r="AT397" s="148">
        <v>46494</v>
      </c>
      <c r="AU397" s="140">
        <v>562</v>
      </c>
      <c r="AV397" s="149" t="s">
        <v>1163</v>
      </c>
      <c r="AW397" s="12">
        <v>45924</v>
      </c>
      <c r="AX397" s="140">
        <v>-8</v>
      </c>
      <c r="AY397" s="149" t="s">
        <v>1164</v>
      </c>
      <c r="AZ397" s="11"/>
      <c r="BA397" s="11" t="s">
        <v>54</v>
      </c>
    </row>
    <row r="398" spans="38:53" x14ac:dyDescent="0.3">
      <c r="AL398" s="147" t="s">
        <v>1400</v>
      </c>
      <c r="AM398" s="139" t="s">
        <v>1401</v>
      </c>
      <c r="AN398" s="139" t="s">
        <v>966</v>
      </c>
      <c r="AO398" s="139" t="s">
        <v>985</v>
      </c>
      <c r="AP398" s="139" t="s">
        <v>1002</v>
      </c>
      <c r="AQ398" s="139" t="s">
        <v>1057</v>
      </c>
      <c r="AR398" s="139" t="s">
        <v>1004</v>
      </c>
      <c r="AS398" s="12">
        <v>45713</v>
      </c>
      <c r="AT398" s="148">
        <v>46808</v>
      </c>
      <c r="AU398" s="140">
        <v>876</v>
      </c>
      <c r="AV398" s="149" t="s">
        <v>1163</v>
      </c>
      <c r="AW398" s="12">
        <v>46088</v>
      </c>
      <c r="AX398" s="140">
        <v>156</v>
      </c>
      <c r="AY398" s="149" t="s">
        <v>1163</v>
      </c>
      <c r="AZ398" s="11"/>
      <c r="BA398" s="11" t="s">
        <v>575</v>
      </c>
    </row>
    <row r="399" spans="38:53" x14ac:dyDescent="0.3">
      <c r="AL399" s="147" t="s">
        <v>86</v>
      </c>
      <c r="AM399" s="139" t="s">
        <v>1173</v>
      </c>
      <c r="AN399" s="139" t="s">
        <v>966</v>
      </c>
      <c r="AO399" s="139" t="s">
        <v>966</v>
      </c>
      <c r="AP399" s="139" t="s">
        <v>972</v>
      </c>
      <c r="AQ399" s="139" t="s">
        <v>1034</v>
      </c>
      <c r="AR399" s="139" t="s">
        <v>994</v>
      </c>
      <c r="AS399" s="12">
        <v>45399</v>
      </c>
      <c r="AT399" s="148">
        <v>46494</v>
      </c>
      <c r="AU399" s="140">
        <v>562</v>
      </c>
      <c r="AV399" s="149" t="s">
        <v>1163</v>
      </c>
      <c r="AW399" s="12">
        <v>45924</v>
      </c>
      <c r="AX399" s="140">
        <v>-8</v>
      </c>
      <c r="AY399" s="149" t="s">
        <v>1164</v>
      </c>
      <c r="AZ399" s="11"/>
      <c r="BA399" s="11" t="s">
        <v>54</v>
      </c>
    </row>
    <row r="400" spans="38:53" x14ac:dyDescent="0.3">
      <c r="AL400" s="147" t="s">
        <v>104</v>
      </c>
      <c r="AM400" s="139" t="s">
        <v>1173</v>
      </c>
      <c r="AN400" s="139" t="s">
        <v>966</v>
      </c>
      <c r="AO400" s="139" t="s">
        <v>966</v>
      </c>
      <c r="AP400" s="139" t="s">
        <v>972</v>
      </c>
      <c r="AQ400" s="139" t="s">
        <v>1250</v>
      </c>
      <c r="AR400" s="139" t="s">
        <v>994</v>
      </c>
      <c r="AS400" s="12">
        <v>45399</v>
      </c>
      <c r="AT400" s="148">
        <v>46494</v>
      </c>
      <c r="AU400" s="140">
        <v>562</v>
      </c>
      <c r="AV400" s="149" t="s">
        <v>1163</v>
      </c>
      <c r="AW400" s="12">
        <v>45924</v>
      </c>
      <c r="AX400" s="140">
        <v>-8</v>
      </c>
      <c r="AY400" s="149" t="s">
        <v>1164</v>
      </c>
      <c r="AZ400" s="11"/>
      <c r="BA400" s="11" t="s">
        <v>54</v>
      </c>
    </row>
    <row r="401" spans="37:53" x14ac:dyDescent="0.3">
      <c r="AL401" s="147" t="s">
        <v>1402</v>
      </c>
      <c r="AM401" s="139" t="s">
        <v>1401</v>
      </c>
      <c r="AN401" s="139" t="s">
        <v>966</v>
      </c>
      <c r="AO401" s="139" t="s">
        <v>985</v>
      </c>
      <c r="AP401" s="139" t="s">
        <v>992</v>
      </c>
      <c r="AQ401" s="139" t="s">
        <v>1403</v>
      </c>
      <c r="AR401" s="139" t="s">
        <v>1004</v>
      </c>
      <c r="AS401" s="12">
        <v>45713</v>
      </c>
      <c r="AT401" s="148">
        <v>46808</v>
      </c>
      <c r="AU401" s="140">
        <v>876</v>
      </c>
      <c r="AV401" s="149" t="s">
        <v>1163</v>
      </c>
      <c r="AW401" s="12">
        <v>46088</v>
      </c>
      <c r="AX401" s="140">
        <v>156</v>
      </c>
      <c r="AY401" s="149" t="s">
        <v>1163</v>
      </c>
      <c r="AZ401" s="11"/>
      <c r="BA401" s="11" t="s">
        <v>575</v>
      </c>
    </row>
    <row r="402" spans="37:53" x14ac:dyDescent="0.3">
      <c r="AL402" s="147" t="s">
        <v>213</v>
      </c>
      <c r="AM402" s="139" t="s">
        <v>1404</v>
      </c>
      <c r="AN402" s="139" t="s">
        <v>966</v>
      </c>
      <c r="AO402" s="139" t="s">
        <v>985</v>
      </c>
      <c r="AP402" s="139" t="s">
        <v>1002</v>
      </c>
      <c r="AQ402" s="139" t="s">
        <v>1003</v>
      </c>
      <c r="AR402" s="139" t="s">
        <v>994</v>
      </c>
      <c r="AS402" s="12">
        <v>45790</v>
      </c>
      <c r="AT402" s="148">
        <v>45974</v>
      </c>
      <c r="AU402" s="140">
        <v>42</v>
      </c>
      <c r="AV402" s="149" t="s">
        <v>1163</v>
      </c>
      <c r="AW402" s="12">
        <v>45924</v>
      </c>
      <c r="AX402" s="140">
        <v>-8</v>
      </c>
      <c r="AY402" s="149" t="s">
        <v>1164</v>
      </c>
      <c r="AZ402" s="11"/>
      <c r="BA402" s="11" t="s">
        <v>212</v>
      </c>
    </row>
    <row r="403" spans="37:53" x14ac:dyDescent="0.3">
      <c r="AL403" s="147" t="s">
        <v>192</v>
      </c>
      <c r="AM403" s="139" t="s">
        <v>1006</v>
      </c>
      <c r="AN403" s="139" t="s">
        <v>966</v>
      </c>
      <c r="AO403" s="139" t="s">
        <v>985</v>
      </c>
      <c r="AP403" s="139" t="s">
        <v>992</v>
      </c>
      <c r="AQ403" s="139" t="s">
        <v>1016</v>
      </c>
      <c r="AR403" s="139" t="s">
        <v>988</v>
      </c>
      <c r="AS403" s="12">
        <v>45033</v>
      </c>
      <c r="AT403" s="148">
        <v>46129</v>
      </c>
      <c r="AU403" s="140">
        <v>197</v>
      </c>
      <c r="AV403" s="149" t="s">
        <v>1163</v>
      </c>
      <c r="AW403" s="12">
        <v>45978</v>
      </c>
      <c r="AX403" s="140">
        <v>46</v>
      </c>
      <c r="AY403" s="149" t="s">
        <v>1163</v>
      </c>
      <c r="AZ403" s="11"/>
      <c r="BA403" s="11" t="s">
        <v>184</v>
      </c>
    </row>
    <row r="404" spans="37:53" x14ac:dyDescent="0.3">
      <c r="AL404" s="147" t="s">
        <v>189</v>
      </c>
      <c r="AM404" s="139" t="s">
        <v>1006</v>
      </c>
      <c r="AN404" s="139" t="s">
        <v>966</v>
      </c>
      <c r="AO404" s="139" t="s">
        <v>985</v>
      </c>
      <c r="AP404" s="139" t="s">
        <v>992</v>
      </c>
      <c r="AQ404" s="139" t="s">
        <v>1016</v>
      </c>
      <c r="AR404" s="139" t="s">
        <v>988</v>
      </c>
      <c r="AS404" s="12">
        <v>45033</v>
      </c>
      <c r="AT404" s="148">
        <v>46129</v>
      </c>
      <c r="AU404" s="140">
        <v>197</v>
      </c>
      <c r="AV404" s="149" t="s">
        <v>1163</v>
      </c>
      <c r="AW404" s="12">
        <v>45978</v>
      </c>
      <c r="AX404" s="140">
        <v>46</v>
      </c>
      <c r="AY404" s="149" t="s">
        <v>1163</v>
      </c>
      <c r="AZ404" s="11"/>
      <c r="BA404" s="11" t="s">
        <v>184</v>
      </c>
    </row>
    <row r="405" spans="37:53" x14ac:dyDescent="0.3">
      <c r="AL405" s="147" t="s">
        <v>201</v>
      </c>
      <c r="AM405" s="139" t="s">
        <v>1058</v>
      </c>
      <c r="AN405" s="139" t="s">
        <v>966</v>
      </c>
      <c r="AO405" s="139" t="s">
        <v>971</v>
      </c>
      <c r="AP405" s="139" t="s">
        <v>972</v>
      </c>
      <c r="AQ405" s="139" t="s">
        <v>980</v>
      </c>
      <c r="AR405" s="139" t="s">
        <v>981</v>
      </c>
      <c r="AS405" s="12">
        <v>45673</v>
      </c>
      <c r="AT405" s="148">
        <v>45854</v>
      </c>
      <c r="AU405" s="140">
        <v>-78</v>
      </c>
      <c r="AV405" s="149" t="s">
        <v>1164</v>
      </c>
      <c r="AW405" s="12">
        <v>45868</v>
      </c>
      <c r="AX405" s="140">
        <v>-64</v>
      </c>
      <c r="AY405" s="149" t="s">
        <v>1164</v>
      </c>
      <c r="AZ405" s="11"/>
      <c r="BA405" s="11" t="s">
        <v>200</v>
      </c>
    </row>
    <row r="406" spans="37:53" x14ac:dyDescent="0.3">
      <c r="AL406" s="147" t="s">
        <v>209</v>
      </c>
      <c r="AM406" s="139" t="s">
        <v>1404</v>
      </c>
      <c r="AN406" s="139" t="s">
        <v>966</v>
      </c>
      <c r="AO406" s="139" t="s">
        <v>966</v>
      </c>
      <c r="AP406" s="139" t="s">
        <v>972</v>
      </c>
      <c r="AQ406" s="139" t="s">
        <v>1026</v>
      </c>
      <c r="AR406" s="139" t="s">
        <v>994</v>
      </c>
      <c r="AS406" s="12">
        <v>45788</v>
      </c>
      <c r="AT406" s="148">
        <v>45972</v>
      </c>
      <c r="AU406" s="140">
        <v>40</v>
      </c>
      <c r="AV406" s="149" t="s">
        <v>1163</v>
      </c>
      <c r="AW406" s="12">
        <v>45924</v>
      </c>
      <c r="AX406" s="140">
        <v>-8</v>
      </c>
      <c r="AY406" s="149" t="s">
        <v>1164</v>
      </c>
      <c r="AZ406" s="11"/>
      <c r="BA406" s="11" t="s">
        <v>212</v>
      </c>
    </row>
    <row r="407" spans="37:53" x14ac:dyDescent="0.3">
      <c r="AL407" s="147" t="s">
        <v>1405</v>
      </c>
      <c r="AM407" s="139" t="s">
        <v>978</v>
      </c>
      <c r="AN407" s="139" t="s">
        <v>979</v>
      </c>
      <c r="AO407" s="139" t="s">
        <v>985</v>
      </c>
      <c r="AP407" s="139" t="s">
        <v>986</v>
      </c>
      <c r="AQ407" s="139" t="s">
        <v>987</v>
      </c>
      <c r="AR407" s="139" t="s">
        <v>988</v>
      </c>
      <c r="AS407" s="12">
        <v>45774</v>
      </c>
      <c r="AT407" s="148">
        <v>46139</v>
      </c>
      <c r="AU407" s="140">
        <v>207</v>
      </c>
      <c r="AV407" s="149" t="s">
        <v>1163</v>
      </c>
      <c r="AW407" s="12">
        <v>46001</v>
      </c>
      <c r="AX407" s="140">
        <v>69</v>
      </c>
      <c r="AY407" s="149" t="s">
        <v>1163</v>
      </c>
      <c r="AZ407" s="11"/>
      <c r="BA407" s="11" t="s">
        <v>575</v>
      </c>
    </row>
    <row r="408" spans="37:53" x14ac:dyDescent="0.3">
      <c r="AL408" s="147" t="s">
        <v>1406</v>
      </c>
      <c r="AM408" s="139" t="s">
        <v>1038</v>
      </c>
      <c r="AN408" s="139" t="s">
        <v>970</v>
      </c>
      <c r="AO408" s="139" t="s">
        <v>966</v>
      </c>
      <c r="AP408" s="139" t="s">
        <v>972</v>
      </c>
      <c r="AQ408" s="139" t="s">
        <v>1026</v>
      </c>
      <c r="AR408" s="139" t="s">
        <v>994</v>
      </c>
      <c r="AS408" s="12">
        <v>45420</v>
      </c>
      <c r="AT408" s="148">
        <v>46515</v>
      </c>
      <c r="AU408" s="140">
        <v>583</v>
      </c>
      <c r="AV408" s="149" t="s">
        <v>1163</v>
      </c>
      <c r="AW408" s="12">
        <v>45799</v>
      </c>
      <c r="AX408" s="140">
        <v>-133</v>
      </c>
      <c r="AY408" s="149" t="s">
        <v>1164</v>
      </c>
      <c r="AZ408" s="11"/>
      <c r="BA408" s="11" t="s">
        <v>575</v>
      </c>
    </row>
    <row r="409" spans="37:53" x14ac:dyDescent="0.3">
      <c r="AL409" s="147" t="s">
        <v>121</v>
      </c>
      <c r="AM409" s="139" t="s">
        <v>1010</v>
      </c>
      <c r="AN409" s="139" t="s">
        <v>966</v>
      </c>
      <c r="AO409" s="139" t="s">
        <v>971</v>
      </c>
      <c r="AP409" s="139" t="s">
        <v>972</v>
      </c>
      <c r="AQ409" s="139" t="s">
        <v>973</v>
      </c>
      <c r="AR409" s="139" t="s">
        <v>974</v>
      </c>
      <c r="AS409" s="12">
        <v>45468</v>
      </c>
      <c r="AT409" s="148">
        <v>46202</v>
      </c>
      <c r="AU409" s="140">
        <v>270</v>
      </c>
      <c r="AV409" s="149" t="s">
        <v>1163</v>
      </c>
      <c r="AW409" s="12">
        <v>46166</v>
      </c>
      <c r="AX409" s="140">
        <v>234</v>
      </c>
      <c r="AY409" s="149" t="s">
        <v>1163</v>
      </c>
      <c r="AZ409" s="11"/>
      <c r="BA409" s="11" t="s">
        <v>40</v>
      </c>
    </row>
    <row r="410" spans="37:53" x14ac:dyDescent="0.3">
      <c r="AL410" s="147" t="s">
        <v>1407</v>
      </c>
      <c r="AM410" s="139" t="s">
        <v>1010</v>
      </c>
      <c r="AN410" s="139" t="s">
        <v>1408</v>
      </c>
      <c r="AO410" s="139" t="s">
        <v>966</v>
      </c>
      <c r="AP410" s="139" t="s">
        <v>1060</v>
      </c>
      <c r="AQ410" s="139" t="s">
        <v>1061</v>
      </c>
      <c r="AR410" s="139" t="s">
        <v>994</v>
      </c>
      <c r="AS410" s="12">
        <v>45569</v>
      </c>
      <c r="AT410" s="148">
        <v>46664</v>
      </c>
      <c r="AU410" s="140">
        <v>732</v>
      </c>
      <c r="AV410" s="149" t="s">
        <v>1163</v>
      </c>
      <c r="AW410" s="12">
        <v>46084</v>
      </c>
      <c r="AX410" s="140">
        <v>152</v>
      </c>
      <c r="AY410" s="149" t="s">
        <v>1163</v>
      </c>
      <c r="AZ410" s="11"/>
      <c r="BA410" s="11" t="s">
        <v>575</v>
      </c>
    </row>
    <row r="411" spans="37:53" x14ac:dyDescent="0.3">
      <c r="AK411" s="152"/>
      <c r="AL411" s="150" t="s">
        <v>33</v>
      </c>
      <c r="AM411" s="139"/>
      <c r="AN411" s="139"/>
      <c r="AO411" s="139"/>
      <c r="AP411" s="139"/>
      <c r="AQ411" s="139"/>
      <c r="AR411" s="139"/>
      <c r="AS411" s="12">
        <v>45551</v>
      </c>
      <c r="AT411" s="12">
        <v>47377</v>
      </c>
      <c r="AU411" s="140">
        <v>1445</v>
      </c>
      <c r="AV411" s="149" t="s">
        <v>1163</v>
      </c>
      <c r="AW411" s="11"/>
      <c r="AX411" s="140">
        <v>-45932</v>
      </c>
      <c r="AY411" s="149" t="s">
        <v>1164</v>
      </c>
      <c r="AZ411" s="11"/>
      <c r="BA411" s="11"/>
    </row>
    <row r="412" spans="37:53" x14ac:dyDescent="0.3">
      <c r="AK412" s="152"/>
      <c r="AL412" s="150" t="s">
        <v>41</v>
      </c>
      <c r="AM412" s="139"/>
      <c r="AN412" s="139"/>
      <c r="AO412" s="139"/>
      <c r="AP412" s="139"/>
      <c r="AQ412" s="139"/>
      <c r="AR412" s="139"/>
      <c r="AS412" s="12">
        <v>45713</v>
      </c>
      <c r="AT412" s="12">
        <v>46808</v>
      </c>
      <c r="AU412" s="140">
        <v>876</v>
      </c>
      <c r="AV412" s="149" t="s">
        <v>1163</v>
      </c>
      <c r="AW412" s="11"/>
      <c r="AX412" s="140">
        <v>-45932</v>
      </c>
      <c r="AY412" s="149" t="s">
        <v>1164</v>
      </c>
      <c r="AZ412" s="11"/>
      <c r="BA412" s="11"/>
    </row>
    <row r="413" spans="37:53" x14ac:dyDescent="0.3">
      <c r="AK413" s="152"/>
      <c r="AL413" s="150" t="s">
        <v>47</v>
      </c>
      <c r="AM413" s="139"/>
      <c r="AN413" s="139"/>
      <c r="AO413" s="139"/>
      <c r="AP413" s="139"/>
      <c r="AQ413" s="139"/>
      <c r="AR413" s="139"/>
      <c r="AS413" s="12">
        <v>45713</v>
      </c>
      <c r="AT413" s="12">
        <v>46808</v>
      </c>
      <c r="AU413" s="140">
        <v>876</v>
      </c>
      <c r="AV413" s="149" t="s">
        <v>1163</v>
      </c>
      <c r="AW413" s="11"/>
      <c r="AX413" s="140">
        <v>-45932</v>
      </c>
      <c r="AY413" s="149" t="s">
        <v>1164</v>
      </c>
      <c r="AZ413" s="11"/>
      <c r="BA413" s="11"/>
    </row>
    <row r="414" spans="37:53" x14ac:dyDescent="0.3">
      <c r="AK414" s="152"/>
      <c r="AL414" s="150" t="s">
        <v>49</v>
      </c>
      <c r="AM414" s="139"/>
      <c r="AN414" s="139"/>
      <c r="AO414" s="139"/>
      <c r="AP414" s="139"/>
      <c r="AQ414" s="139"/>
      <c r="AR414" s="139"/>
      <c r="AS414" s="12">
        <v>45713</v>
      </c>
      <c r="AT414" s="12">
        <v>46808</v>
      </c>
      <c r="AU414" s="140">
        <v>876</v>
      </c>
      <c r="AV414" s="149" t="s">
        <v>1163</v>
      </c>
      <c r="AW414" s="11"/>
      <c r="AX414" s="140">
        <v>-45932</v>
      </c>
      <c r="AY414" s="149" t="s">
        <v>1164</v>
      </c>
      <c r="AZ414" s="11"/>
      <c r="BA414" s="11"/>
    </row>
    <row r="415" spans="37:53" x14ac:dyDescent="0.3">
      <c r="AK415" s="152"/>
      <c r="AL415" s="150" t="s">
        <v>50</v>
      </c>
      <c r="AM415" s="139"/>
      <c r="AN415" s="139"/>
      <c r="AO415" s="139"/>
      <c r="AP415" s="139"/>
      <c r="AQ415" s="139"/>
      <c r="AR415" s="139"/>
      <c r="AS415" s="12">
        <v>45713</v>
      </c>
      <c r="AT415" s="12">
        <v>46808</v>
      </c>
      <c r="AU415" s="140">
        <v>876</v>
      </c>
      <c r="AV415" s="149" t="s">
        <v>1163</v>
      </c>
      <c r="AW415" s="11"/>
      <c r="AX415" s="140">
        <v>-45932</v>
      </c>
      <c r="AY415" s="149" t="s">
        <v>1164</v>
      </c>
      <c r="AZ415" s="11"/>
      <c r="BA415" s="11"/>
    </row>
    <row r="416" spans="37:53" x14ac:dyDescent="0.3">
      <c r="AK416" s="152"/>
      <c r="AL416" s="150" t="s">
        <v>51</v>
      </c>
      <c r="AM416" s="139"/>
      <c r="AN416" s="139"/>
      <c r="AO416" s="139"/>
      <c r="AP416" s="139"/>
      <c r="AQ416" s="139"/>
      <c r="AR416" s="139"/>
      <c r="AS416" s="12">
        <v>45713</v>
      </c>
      <c r="AT416" s="12">
        <v>46808</v>
      </c>
      <c r="AU416" s="140">
        <v>876</v>
      </c>
      <c r="AV416" s="149" t="s">
        <v>1163</v>
      </c>
      <c r="AW416" s="11"/>
      <c r="AX416" s="140">
        <v>-45932</v>
      </c>
      <c r="AY416" s="149" t="s">
        <v>1164</v>
      </c>
      <c r="AZ416" s="11"/>
      <c r="BA416" s="11"/>
    </row>
    <row r="417" spans="37:53" x14ac:dyDescent="0.3">
      <c r="AK417" s="152"/>
      <c r="AL417" s="150" t="s">
        <v>53</v>
      </c>
      <c r="AM417" s="139"/>
      <c r="AN417" s="139"/>
      <c r="AO417" s="139"/>
      <c r="AP417" s="139"/>
      <c r="AQ417" s="139"/>
      <c r="AR417" s="139"/>
      <c r="AS417" s="12">
        <v>45713</v>
      </c>
      <c r="AT417" s="12">
        <v>46808</v>
      </c>
      <c r="AU417" s="140">
        <v>876</v>
      </c>
      <c r="AV417" s="149" t="s">
        <v>1163</v>
      </c>
      <c r="AW417" s="11"/>
      <c r="AX417" s="140">
        <v>-45932</v>
      </c>
      <c r="AY417" s="149" t="s">
        <v>1164</v>
      </c>
      <c r="AZ417" s="11"/>
      <c r="BA417" s="11"/>
    </row>
    <row r="418" spans="37:53" x14ac:dyDescent="0.3">
      <c r="AK418" s="152"/>
      <c r="AL418" s="150" t="s">
        <v>55</v>
      </c>
      <c r="AM418" s="139"/>
      <c r="AN418" s="139"/>
      <c r="AO418" s="139"/>
      <c r="AP418" s="139"/>
      <c r="AQ418" s="139"/>
      <c r="AR418" s="139"/>
      <c r="AS418" s="12">
        <v>45713</v>
      </c>
      <c r="AT418" s="12">
        <v>46808</v>
      </c>
      <c r="AU418" s="140">
        <v>876</v>
      </c>
      <c r="AV418" s="149" t="s">
        <v>1163</v>
      </c>
      <c r="AW418" s="11"/>
      <c r="AX418" s="140">
        <v>-45932</v>
      </c>
      <c r="AY418" s="149" t="s">
        <v>1164</v>
      </c>
      <c r="AZ418" s="11"/>
      <c r="BA418" s="11"/>
    </row>
    <row r="419" spans="37:53" x14ac:dyDescent="0.3">
      <c r="AK419" s="152"/>
      <c r="AL419" s="150" t="s">
        <v>57</v>
      </c>
      <c r="AM419" s="139"/>
      <c r="AN419" s="139"/>
      <c r="AO419" s="139"/>
      <c r="AP419" s="139"/>
      <c r="AQ419" s="139"/>
      <c r="AR419" s="139"/>
      <c r="AS419" s="12">
        <v>45713</v>
      </c>
      <c r="AT419" s="12">
        <v>46808</v>
      </c>
      <c r="AU419" s="140">
        <v>876</v>
      </c>
      <c r="AV419" s="149" t="s">
        <v>1163</v>
      </c>
      <c r="AW419" s="11"/>
      <c r="AX419" s="140">
        <v>-45932</v>
      </c>
      <c r="AY419" s="149" t="s">
        <v>1164</v>
      </c>
      <c r="AZ419" s="11"/>
      <c r="BA419" s="11"/>
    </row>
    <row r="420" spans="37:53" x14ac:dyDescent="0.3">
      <c r="AK420" s="152"/>
      <c r="AL420" s="150" t="s">
        <v>65</v>
      </c>
      <c r="AM420" s="139"/>
      <c r="AN420" s="139"/>
      <c r="AO420" s="139"/>
      <c r="AP420" s="139"/>
      <c r="AQ420" s="139"/>
      <c r="AR420" s="139"/>
      <c r="AS420" s="12">
        <v>44982</v>
      </c>
      <c r="AT420" s="12">
        <v>46078</v>
      </c>
      <c r="AU420" s="140">
        <v>146</v>
      </c>
      <c r="AV420" s="149" t="s">
        <v>1163</v>
      </c>
      <c r="AW420" s="11"/>
      <c r="AX420" s="140">
        <v>-45932</v>
      </c>
      <c r="AY420" s="149" t="s">
        <v>1164</v>
      </c>
      <c r="AZ420" s="11"/>
      <c r="BA420" s="11"/>
    </row>
    <row r="421" spans="37:53" x14ac:dyDescent="0.3">
      <c r="AK421" s="152"/>
      <c r="AL421" s="150" t="s">
        <v>67</v>
      </c>
      <c r="AM421" s="139"/>
      <c r="AN421" s="139"/>
      <c r="AO421" s="139"/>
      <c r="AP421" s="139"/>
      <c r="AQ421" s="139"/>
      <c r="AR421" s="139"/>
      <c r="AS421" s="12">
        <v>44982</v>
      </c>
      <c r="AT421" s="12">
        <v>46078</v>
      </c>
      <c r="AU421" s="140">
        <v>146</v>
      </c>
      <c r="AV421" s="149" t="s">
        <v>1163</v>
      </c>
      <c r="AW421" s="11"/>
      <c r="AX421" s="140">
        <v>-45932</v>
      </c>
      <c r="AY421" s="149" t="s">
        <v>1164</v>
      </c>
      <c r="AZ421" s="11"/>
      <c r="BA421" s="11"/>
    </row>
    <row r="422" spans="37:53" x14ac:dyDescent="0.3">
      <c r="AK422" s="152"/>
      <c r="AL422" s="150" t="s">
        <v>68</v>
      </c>
      <c r="AM422" s="139"/>
      <c r="AN422" s="139"/>
      <c r="AO422" s="139"/>
      <c r="AP422" s="139"/>
      <c r="AQ422" s="139"/>
      <c r="AR422" s="139"/>
      <c r="AS422" s="12">
        <v>44982</v>
      </c>
      <c r="AT422" s="12">
        <v>46078</v>
      </c>
      <c r="AU422" s="140">
        <v>146</v>
      </c>
      <c r="AV422" s="149" t="s">
        <v>1163</v>
      </c>
      <c r="AW422" s="11"/>
      <c r="AX422" s="140">
        <v>-45932</v>
      </c>
      <c r="AY422" s="149" t="s">
        <v>1164</v>
      </c>
      <c r="AZ422" s="11"/>
      <c r="BA422" s="11"/>
    </row>
    <row r="423" spans="37:53" x14ac:dyDescent="0.3">
      <c r="AK423" s="152"/>
      <c r="AL423" s="150" t="s">
        <v>8</v>
      </c>
      <c r="AM423" s="139"/>
      <c r="AN423" s="139"/>
      <c r="AO423" s="139"/>
      <c r="AP423" s="139"/>
      <c r="AQ423" s="139"/>
      <c r="AR423" s="139"/>
      <c r="AS423" s="12">
        <v>44982</v>
      </c>
      <c r="AT423" s="12">
        <v>46078</v>
      </c>
      <c r="AU423" s="140">
        <v>146</v>
      </c>
      <c r="AV423" s="149" t="s">
        <v>1163</v>
      </c>
      <c r="AW423" s="11"/>
      <c r="AX423" s="140">
        <v>-45932</v>
      </c>
      <c r="AY423" s="149" t="s">
        <v>1164</v>
      </c>
      <c r="AZ423" s="11"/>
      <c r="BA423" s="11"/>
    </row>
    <row r="424" spans="37:53" x14ac:dyDescent="0.3">
      <c r="AK424" s="152"/>
      <c r="AL424" s="150" t="s">
        <v>69</v>
      </c>
      <c r="AM424" s="139"/>
      <c r="AN424" s="139"/>
      <c r="AO424" s="139"/>
      <c r="AP424" s="139"/>
      <c r="AQ424" s="139"/>
      <c r="AR424" s="139"/>
      <c r="AS424" s="12">
        <v>45713</v>
      </c>
      <c r="AT424" s="12">
        <v>47174</v>
      </c>
      <c r="AU424" s="140">
        <v>1242</v>
      </c>
      <c r="AV424" s="149" t="s">
        <v>1163</v>
      </c>
      <c r="AW424" s="11"/>
      <c r="AX424" s="140">
        <v>-45932</v>
      </c>
      <c r="AY424" s="149" t="s">
        <v>1164</v>
      </c>
      <c r="AZ424" s="11"/>
      <c r="BA424" s="11"/>
    </row>
    <row r="425" spans="37:53" x14ac:dyDescent="0.3">
      <c r="AK425" s="152"/>
      <c r="AL425" s="150" t="s">
        <v>109</v>
      </c>
      <c r="AM425" s="139"/>
      <c r="AN425" s="139"/>
      <c r="AO425" s="139"/>
      <c r="AP425" s="139"/>
      <c r="AQ425" s="139"/>
      <c r="AR425" s="139"/>
      <c r="AS425" s="12">
        <v>45713</v>
      </c>
      <c r="AT425" s="12">
        <v>47174</v>
      </c>
      <c r="AU425" s="140">
        <v>1242</v>
      </c>
      <c r="AV425" s="149" t="s">
        <v>1163</v>
      </c>
      <c r="AW425" s="11"/>
      <c r="AX425" s="140">
        <v>-45932</v>
      </c>
      <c r="AY425" s="149" t="s">
        <v>1164</v>
      </c>
      <c r="AZ425" s="11"/>
      <c r="BA425" s="11"/>
    </row>
    <row r="426" spans="37:53" x14ac:dyDescent="0.3">
      <c r="AK426" s="152"/>
      <c r="AL426" s="150" t="s">
        <v>115</v>
      </c>
      <c r="AM426" s="139"/>
      <c r="AN426" s="139"/>
      <c r="AO426" s="139"/>
      <c r="AP426" s="139"/>
      <c r="AQ426" s="139"/>
      <c r="AR426" s="139"/>
      <c r="AS426" s="12">
        <v>45748</v>
      </c>
      <c r="AT426" s="151">
        <v>46113</v>
      </c>
      <c r="AU426" s="140">
        <v>181</v>
      </c>
      <c r="AV426" s="149" t="s">
        <v>1163</v>
      </c>
      <c r="AW426" s="11"/>
      <c r="AX426" s="140">
        <v>-45932</v>
      </c>
      <c r="AY426" s="149" t="s">
        <v>1164</v>
      </c>
      <c r="AZ426" s="11"/>
      <c r="BA426" s="11"/>
    </row>
  </sheetData>
  <mergeCells count="1">
    <mergeCell ref="U49:AF49"/>
  </mergeCells>
  <conditionalFormatting sqref="C5:C112">
    <cfRule type="expression" dxfId="31" priority="39">
      <formula>#REF!="Vencido"</formula>
    </cfRule>
  </conditionalFormatting>
  <conditionalFormatting sqref="D5:D112">
    <cfRule type="duplicateValues" dxfId="30" priority="40"/>
  </conditionalFormatting>
  <conditionalFormatting sqref="D5:D206">
    <cfRule type="duplicateValues" dxfId="29" priority="36"/>
  </conditionalFormatting>
  <conditionalFormatting sqref="D5:D254">
    <cfRule type="duplicateValues" dxfId="28" priority="37"/>
  </conditionalFormatting>
  <conditionalFormatting sqref="I5:I112">
    <cfRule type="cellIs" dxfId="27" priority="38" operator="lessThan">
      <formula>30</formula>
    </cfRule>
  </conditionalFormatting>
  <conditionalFormatting sqref="AM20:AM410">
    <cfRule type="expression" dxfId="26" priority="4">
      <formula>$N20="POR VENCER"</formula>
    </cfRule>
    <cfRule type="expression" dxfId="25" priority="5">
      <formula>$J20="POR VENCER"</formula>
    </cfRule>
    <cfRule type="expression" dxfId="24" priority="6">
      <formula>#REF!="POR VENCER"</formula>
    </cfRule>
  </conditionalFormatting>
  <conditionalFormatting sqref="AM15:AN19">
    <cfRule type="expression" dxfId="23" priority="13">
      <formula>$N15="POR VENCER"</formula>
    </cfRule>
    <cfRule type="expression" dxfId="22" priority="14">
      <formula>$J15="POR VENCER"</formula>
    </cfRule>
    <cfRule type="expression" dxfId="21" priority="15">
      <formula>#REF!="POR VENCER"</formula>
    </cfRule>
  </conditionalFormatting>
  <conditionalFormatting sqref="AM5:AR14">
    <cfRule type="expression" dxfId="20" priority="29">
      <formula>$N5="POR VENCER"</formula>
    </cfRule>
    <cfRule type="expression" dxfId="19" priority="30">
      <formula>$J5="POR VENCER"</formula>
    </cfRule>
    <cfRule type="expression" dxfId="18" priority="31">
      <formula>#REF!="POR VENCER"</formula>
    </cfRule>
  </conditionalFormatting>
  <conditionalFormatting sqref="AO15:AO20">
    <cfRule type="expression" dxfId="17" priority="10">
      <formula>$N15="POR VENCER"</formula>
    </cfRule>
    <cfRule type="expression" dxfId="16" priority="11">
      <formula>$J15="POR VENCER"</formula>
    </cfRule>
    <cfRule type="expression" dxfId="15" priority="12">
      <formula>#REF!="POR VENCER"</formula>
    </cfRule>
  </conditionalFormatting>
  <conditionalFormatting sqref="AP15:AR410">
    <cfRule type="expression" dxfId="14" priority="7">
      <formula>$N15="POR VENCER"</formula>
    </cfRule>
    <cfRule type="expression" dxfId="13" priority="8">
      <formula>$J15="POR VENCER"</formula>
    </cfRule>
    <cfRule type="expression" dxfId="12" priority="9">
      <formula>#REF!="POR VENCER"</formula>
    </cfRule>
  </conditionalFormatting>
  <conditionalFormatting sqref="AV5:AV426">
    <cfRule type="containsText" dxfId="11" priority="26" operator="containsText" text="VENCIDO">
      <formula>NOT(ISERROR(SEARCH("VENCIDO",AV5)))</formula>
    </cfRule>
    <cfRule type="containsText" dxfId="10" priority="27" operator="containsText" text="POR ">
      <formula>NOT(ISERROR(SEARCH("POR ",AV5)))</formula>
    </cfRule>
    <cfRule type="containsText" dxfId="9" priority="28" operator="containsText" text="VIGENTE">
      <formula>NOT(ISERROR(SEARCH("VIGENTE",AV5)))</formula>
    </cfRule>
  </conditionalFormatting>
  <conditionalFormatting sqref="AV8:AV9">
    <cfRule type="containsText" dxfId="8" priority="19" operator="containsText" text="VENCIDO">
      <formula>NOT(ISERROR(SEARCH("VENCIDO",AV8)))</formula>
    </cfRule>
    <cfRule type="containsText" dxfId="7" priority="20" operator="containsText" text="POR ">
      <formula>NOT(ISERROR(SEARCH("POR ",AV8)))</formula>
    </cfRule>
    <cfRule type="containsText" dxfId="6" priority="21" operator="containsText" text="VIGENTE">
      <formula>NOT(ISERROR(SEARCH("VIGENTE",AV8)))</formula>
    </cfRule>
  </conditionalFormatting>
  <conditionalFormatting sqref="AY5:AY426">
    <cfRule type="containsText" dxfId="5" priority="23" operator="containsText" text="VENCIDO">
      <formula>NOT(ISERROR(SEARCH("VENCIDO",AY5)))</formula>
    </cfRule>
    <cfRule type="containsText" dxfId="4" priority="24" operator="containsText" text="POR">
      <formula>NOT(ISERROR(SEARCH("POR",AY5)))</formula>
    </cfRule>
    <cfRule type="containsText" dxfId="3" priority="25" operator="containsText" text="VIGENTE">
      <formula>NOT(ISERROR(SEARCH("VIGENTE",AY5)))</formula>
    </cfRule>
  </conditionalFormatting>
  <conditionalFormatting sqref="AY8">
    <cfRule type="containsText" dxfId="2" priority="16" operator="containsText" text="VENCIDO">
      <formula>NOT(ISERROR(SEARCH("VENCIDO",AY8)))</formula>
    </cfRule>
    <cfRule type="containsText" dxfId="1" priority="17" operator="containsText" text="POR">
      <formula>NOT(ISERROR(SEARCH("POR",AY8)))</formula>
    </cfRule>
    <cfRule type="containsText" dxfId="0" priority="18" operator="containsText" text="VIGENTE">
      <formula>NOT(ISERROR(SEARCH("VIGENTE",AY8)))</formula>
    </cfRule>
  </conditionalFormatting>
  <pageMargins left="0.7" right="0.7" top="0.75" bottom="0.75" header="0.3" footer="0.3"/>
  <ignoredErrors>
    <ignoredError sqref="I5 I6:I112" unlockedFormula="1"/>
  </ignoredErrors>
  <drawing r:id="rId1"/>
  <legacy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2C9D7818A80C44997576244047EC56" ma:contentTypeVersion="15" ma:contentTypeDescription="Crear nuevo documento." ma:contentTypeScope="" ma:versionID="8072682c168bb43b47df4e8e9ef7924d">
  <xsd:schema xmlns:xsd="http://www.w3.org/2001/XMLSchema" xmlns:xs="http://www.w3.org/2001/XMLSchema" xmlns:p="http://schemas.microsoft.com/office/2006/metadata/properties" xmlns:ns2="fcd4424f-c5a4-4e40-8633-fc6ad3baee42" xmlns:ns3="1ac7d633-e4f4-4e18-b527-3ad5d47548e5" targetNamespace="http://schemas.microsoft.com/office/2006/metadata/properties" ma:root="true" ma:fieldsID="b82bc66cb5633011618b6c4f8284b589" ns2:_="" ns3:_="">
    <xsd:import namespace="fcd4424f-c5a4-4e40-8633-fc6ad3baee42"/>
    <xsd:import namespace="1ac7d633-e4f4-4e18-b527-3ad5d4754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Estado" minOccurs="0"/>
                <xsd:element ref="ns2:Fechavencimient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4424f-c5a4-4e40-8633-fc6ad3baee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tado" ma:index="11" nillable="true" ma:displayName="Estado" ma:format="Dropdown" ma:internalName="Estado">
      <xsd:simpleType>
        <xsd:restriction base="dms:Text">
          <xsd:maxLength value="255"/>
        </xsd:restriction>
      </xsd:simpleType>
    </xsd:element>
    <xsd:element name="Fechavencimiento" ma:index="12" nillable="true" ma:displayName="Fecha vencimiento" ma:format="DateOnly" ma:internalName="Fechavencimiento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e4d9d1b-783d-41a4-a13e-21c2b41b0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7d633-e4f4-4e18-b527-3ad5d47548e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bc212b6-b522-45da-81a2-9a96a13ca965}" ma:internalName="TaxCatchAll" ma:showField="CatchAllData" ma:web="1ac7d633-e4f4-4e18-b527-3ad5d4754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4424f-c5a4-4e40-8633-fc6ad3baee42">
      <Terms xmlns="http://schemas.microsoft.com/office/infopath/2007/PartnerControls"/>
    </lcf76f155ced4ddcb4097134ff3c332f>
    <Estado xmlns="fcd4424f-c5a4-4e40-8633-fc6ad3baee42" xsi:nil="true"/>
    <Fechavencimiento xmlns="fcd4424f-c5a4-4e40-8633-fc6ad3baee42" xsi:nil="true"/>
    <TaxCatchAll xmlns="1ac7d633-e4f4-4e18-b527-3ad5d47548e5" xsi:nil="true"/>
  </documentManagement>
</p:properties>
</file>

<file path=customXml/itemProps1.xml><?xml version="1.0" encoding="utf-8"?>
<ds:datastoreItem xmlns:ds="http://schemas.openxmlformats.org/officeDocument/2006/customXml" ds:itemID="{83C2BBCC-2BA1-438A-8352-B9CBAE669B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d4424f-c5a4-4e40-8633-fc6ad3baee42"/>
    <ds:schemaRef ds:uri="1ac7d633-e4f4-4e18-b527-3ad5d4754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EDC158-1111-4ED0-8B5E-A54AC109E7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E38717-BD2B-4341-A804-3B102AEFB7CE}">
  <ds:schemaRefs>
    <ds:schemaRef ds:uri="http://schemas.microsoft.com/office/2006/metadata/properties"/>
    <ds:schemaRef ds:uri="http://schemas.microsoft.com/office/infopath/2007/PartnerControls"/>
    <ds:schemaRef ds:uri="fcd4424f-c5a4-4e40-8633-fc6ad3baee42"/>
    <ds:schemaRef ds:uri="1ac7d633-e4f4-4e18-b527-3ad5d47548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GPS</vt:lpstr>
      <vt:lpstr>Soat</vt:lpstr>
      <vt:lpstr>Impuestos</vt:lpstr>
      <vt:lpstr>Pólizas</vt:lpstr>
      <vt:lpstr>Depreciación</vt:lpstr>
      <vt:lpstr>ITV</vt:lpstr>
      <vt:lpstr>Soat!Lista_Poliza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Morote Suarez</dc:creator>
  <cp:keywords/>
  <dc:description/>
  <cp:lastModifiedBy>Enzo Morote Suarez</cp:lastModifiedBy>
  <cp:revision/>
  <dcterms:created xsi:type="dcterms:W3CDTF">2025-08-26T21:25:14Z</dcterms:created>
  <dcterms:modified xsi:type="dcterms:W3CDTF">2025-11-07T13:20:22Z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0x0101002F2C9D7818A80C44997576244047EC56</vt:lpwstr>
  </property>
  <property fmtid="{D5CDD505-2E9C-101B-9397-08002B2CF9AE}" pid="3" name="MediaServiceImageTags">
    <vt:lpwstr/>
  </property>
</Properties>
</file>