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oogle Drive\Programming Stuff\myProjects\PaymentsCalculator\PaymentCalculator\PaymentCalc\"/>
    </mc:Choice>
  </mc:AlternateContent>
  <xr:revisionPtr revIDLastSave="0" documentId="13_ncr:1_{CBAEAAB5-B0FB-4AEA-A874-0E9107A9B52C}" xr6:coauthVersionLast="46" xr6:coauthVersionMax="46" xr10:uidLastSave="{00000000-0000-0000-0000-000000000000}"/>
  <bookViews>
    <workbookView xWindow="38280" yWindow="5280" windowWidth="29040" windowHeight="15840" activeTab="1" xr2:uid="{00000000-000D-0000-FFFF-FFFF00000000}"/>
  </bookViews>
  <sheets>
    <sheet name="Geneva Corporate &amp; 1-5 WOMS " sheetId="1" r:id="rId1"/>
    <sheet name="WOMS (Εκτός 1ου και 5ου Κύκλου)" sheetId="2" r:id="rId2"/>
    <sheet name="Sheet3" sheetId="3" r:id="rId3"/>
  </sheets>
  <calcPr calcId="191029"/>
  <customWorkbookViews>
    <customWorkbookView name="Zografos Aris_michalis - Personal View" guid="{AD13B554-DEA4-4723-B852-B98C2E96FE29}" mergeInterval="0" personalView="1" maximized="1" xWindow="3512" yWindow="-8" windowWidth="1936" windowHeight="1056" activeSheetId="2"/>
    <customWorkbookView name="Sideridou Maria - Προσωπική προβολή" guid="{B9F412AE-1708-4B8D-B1AF-0593B549CE88}" mergeInterval="0" personalView="1" maximized="1" windowWidth="1920" windowHeight="835" activeSheetId="1"/>
    <customWorkbookView name="Zografos Aris michalis - Personal View" guid="{1ADDD905-FE1F-404A-A976-94CF46B34A2E}" mergeInterval="0" personalView="1" maximized="1" windowWidth="1920" windowHeight="834" activeSheetId="2"/>
    <customWorkbookView name="Fragkopoylos Alexandros - Προσωπική προβολή" guid="{337AFAD1-8B65-4ABE-BB91-50361441DCE2}" mergeInterval="0" personalView="1" maximized="1" windowWidth="1600" windowHeight="654" activeSheetId="1"/>
    <customWorkbookView name="Vlachogianni Marina - Προσωπική προβολή" guid="{AAB36794-6373-439A-AFE9-AAC9C9EBC0EC}" mergeInterval="0" personalView="1" maximized="1" xWindow="-8" yWindow="-8" windowWidth="1936" windowHeight="1056" activeSheetId="1"/>
    <customWorkbookView name="Masika Evanthia - Προσωπική προβολή" guid="{C5A527C4-DFA2-4D11-8C35-48CB4DDDD68D}" mergeInterval="0" personalView="1" maximized="1" windowWidth="1920" windowHeight="795" activeSheetId="1"/>
    <customWorkbookView name="arzografos - Personal View" guid="{919354F1-64D2-4C80-87A2-5814BCF7D8CD}" mergeInterval="0" personalView="1" maximized="1" xWindow="3512" yWindow="-86" windowWidth="1936" windowHeight="1056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2" l="1"/>
  <c r="P14" i="2"/>
  <c r="D4" i="1"/>
  <c r="D8" i="1" s="1"/>
  <c r="C6" i="1"/>
  <c r="I10" i="2" l="1"/>
  <c r="H10" i="2" s="1"/>
  <c r="X18" i="2"/>
  <c r="I9" i="2"/>
  <c r="H9" i="2" s="1"/>
  <c r="Y18" i="2"/>
  <c r="I8" i="2" l="1"/>
  <c r="H8" i="2" s="1"/>
  <c r="I6" i="2"/>
  <c r="H6" i="2" s="1"/>
  <c r="I7" i="2"/>
  <c r="H7" i="2" s="1"/>
  <c r="H4" i="2"/>
  <c r="H5" i="2" l="1"/>
  <c r="T14" i="2"/>
  <c r="Q18" i="2"/>
  <c r="M18" i="2"/>
  <c r="L18" i="2"/>
  <c r="P18" i="2" l="1"/>
  <c r="O23" i="2" l="1"/>
  <c r="K23" i="2"/>
  <c r="T18" i="2"/>
  <c r="U18" i="2" s="1"/>
  <c r="W18" i="2"/>
  <c r="S18" i="2"/>
  <c r="O18" i="2"/>
  <c r="K18" i="2"/>
  <c r="Y14" i="2"/>
  <c r="X14" i="2"/>
  <c r="W14" i="2"/>
  <c r="S14" i="2"/>
  <c r="Q14" i="2"/>
  <c r="O14" i="2"/>
  <c r="M14" i="2"/>
  <c r="L14" i="2"/>
  <c r="K14" i="2"/>
  <c r="D5" i="2"/>
  <c r="D4" i="2"/>
  <c r="U14" i="2" l="1"/>
  <c r="I15" i="2" s="1"/>
  <c r="Q23" i="2" s="1"/>
  <c r="I13" i="2"/>
  <c r="I18" i="2"/>
  <c r="I16" i="2"/>
  <c r="I19" i="2"/>
  <c r="I12" i="2"/>
  <c r="I21" i="2"/>
  <c r="I22" i="2"/>
  <c r="L23" i="2" l="1"/>
  <c r="M23" i="2"/>
  <c r="I27" i="2"/>
  <c r="P23" i="2"/>
  <c r="I30" i="2"/>
  <c r="I28" i="2"/>
  <c r="I31" i="2"/>
  <c r="I24" i="2" l="1"/>
  <c r="E5" i="2" s="1"/>
  <c r="I29" i="2" s="1"/>
  <c r="D11" i="2" s="1"/>
  <c r="B11" i="2"/>
  <c r="C11" i="2"/>
  <c r="F11" i="2" l="1"/>
  <c r="D10" i="1"/>
  <c r="C5" i="1" l="1"/>
  <c r="C7" i="1" s="1"/>
  <c r="C8" i="1" s="1"/>
  <c r="B5" i="1"/>
  <c r="B7" i="1" s="1"/>
  <c r="B6" i="1" l="1"/>
  <c r="B8" i="1" s="1"/>
  <c r="C10" i="1"/>
  <c r="B10" i="1" l="1"/>
  <c r="F10" i="1" s="1"/>
</calcChain>
</file>

<file path=xl/sharedStrings.xml><?xml version="1.0" encoding="utf-8"?>
<sst xmlns="http://schemas.openxmlformats.org/spreadsheetml/2006/main" count="97" uniqueCount="48">
  <si>
    <t>START DATE</t>
  </si>
  <si>
    <t>END DATE</t>
  </si>
  <si>
    <t>DATES</t>
  </si>
  <si>
    <t>DAYS PER MONTH</t>
  </si>
  <si>
    <t>ΤΕΛΙΚΟ ΠΟΣΟ</t>
  </si>
  <si>
    <t>CHARGE</t>
  </si>
  <si>
    <t>MHNIAIO ΤΕΛΟΣ</t>
  </si>
  <si>
    <t>ΣΥΜΠΛΗΡΩΝΟΥΜΕ ΜΟΝΟ ΤΑ ΠΡΑΣΙΝΑ ΚΕΛΙΑ</t>
  </si>
  <si>
    <t>DAYS LEFT IN MONTH/RECURING DAYS IN MONTH</t>
  </si>
  <si>
    <t>ΠΡΩΤΗ ΠΕΡΙΟΔΟΣ ΕΠΙΣΤΡ1</t>
  </si>
  <si>
    <t>ΤΕΛΕΥΤΑΙΑ ΠΕΡΙΟΔΟΣ ΕΠΙΣΤΡ2</t>
  </si>
  <si>
    <t>DAY</t>
  </si>
  <si>
    <t>MONTH</t>
  </si>
  <si>
    <t>YEAR</t>
  </si>
  <si>
    <t>ΕΩΣ</t>
  </si>
  <si>
    <t>ΠΡΩΤΗ ΠΕΡΙΟΔΟΣ ΤΙΜΟΛ1</t>
  </si>
  <si>
    <t>ΤΕΛΕΥΤΑΙΑ ΠΕΡΙΟΔΟΣ ΤΙΜΟΛ2</t>
  </si>
  <si>
    <t>ΑΚΕΡΑΙΟΙ ΜΗΝΕΣ 1</t>
  </si>
  <si>
    <t>Περιοδος επιστροφ. 1</t>
  </si>
  <si>
    <t>Περιοδος επιστροφ. 2</t>
  </si>
  <si>
    <t>Πρωτη Περιοδος τιμολ 1</t>
  </si>
  <si>
    <t>Τελευταία Περιοδος τιμολ 2</t>
  </si>
  <si>
    <t>Κυκλος Τιμολόγησης</t>
  </si>
  <si>
    <t>ΕΛΕΓΧΟΣ</t>
  </si>
  <si>
    <t>ΣΥΜΠΛΗΡΩΝΟΥΜΕ ΜΌΝΟ ΤΑ ΠΡΑΣΙΝΑ ΚΑΙ ΤΑ ΜΠΛΕ ΚΕΛΙΑ</t>
  </si>
  <si>
    <t>bCycleStart</t>
  </si>
  <si>
    <t>bCycleEnd</t>
  </si>
  <si>
    <t>startDate</t>
  </si>
  <si>
    <t>endDate</t>
  </si>
  <si>
    <t>rDate1</t>
  </si>
  <si>
    <t>rDate2</t>
  </si>
  <si>
    <t>bDate1</t>
  </si>
  <si>
    <t>bDate2</t>
  </si>
  <si>
    <t>bDate4</t>
  </si>
  <si>
    <t>bDate3</t>
  </si>
  <si>
    <t>fDate1</t>
  </si>
  <si>
    <t>fDate2</t>
  </si>
  <si>
    <t>Start Date κύκλος τιμολόγησης</t>
  </si>
  <si>
    <t>End Date κύκλος τιμολόγησης</t>
  </si>
  <si>
    <t>Start Date / ΠΡΩΤΗ ΠΕΡΙΟΔΟΣ ΕΠΙΣΤΡ1 a</t>
  </si>
  <si>
    <t>End Date / ΤΕΛΕΥΤΑΙΑ ΠΕΡΙΟΔΟΣ ΕΠΙΣΤΡ2 b</t>
  </si>
  <si>
    <t>ΠΡΩΤΗ ΠΕΡΙΟΔΟΣ ΕΠΙΣΤΡ1 b</t>
  </si>
  <si>
    <t>ΤΕΛΕΥΤΑΙΑ ΠΕΡΙΟΔΟΣ ΕΠΙΣΤΡ2 a</t>
  </si>
  <si>
    <t>ΠΡΩΤΗ ΠΕΡΙΟΔΟΣ ΤΙΜΟΛ1 a</t>
  </si>
  <si>
    <t>ΠΡΩΤΗ ΠΕΡΙΟΔΟΣ ΤΙΜΟΛ1 b</t>
  </si>
  <si>
    <t>ΤΕΛΕΥΤΑΙΑ ΠΕΡΙΟΔΟΣ ΤΙΜΟΛ2 a</t>
  </si>
  <si>
    <t>ΤΕΛΕΥΤΑΙΑ ΠΕΡΙΟΔΟΣ ΤΙΜΟΛ2 b</t>
  </si>
  <si>
    <t>ΑΚΕΡΑΙΟΙ ΜΗΝΕΣ 1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</si>
</sst>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8]mmm\-yy;@"/>
    <numFmt numFmtId="166" formatCode="0.00000"/>
    <numFmt numFmtId="167" formatCode="0.0"/>
  </numFmts>
  <fonts count="14" x14ac:knownFonts="1">
    <font>
      <sz val="11"/>
      <color theme="1"/>
      <name val="Calibri"/>
      <family val="2"/>
      <charset val="161"/>
      <scheme val="minor"/>
    </font>
    <font>
      <b/>
      <sz val="16"/>
      <color theme="1"/>
      <name val="Calibri"/>
      <family val="2"/>
      <charset val="161"/>
      <scheme val="minor"/>
    </font>
    <font>
      <b/>
      <sz val="14"/>
      <color rgb="FFFF0000"/>
      <name val="Calibri"/>
      <family val="2"/>
      <charset val="161"/>
      <scheme val="minor"/>
    </font>
    <font>
      <b/>
      <u/>
      <sz val="14"/>
      <color rgb="FFFF0000"/>
      <name val="Calibri"/>
      <family val="2"/>
      <charset val="161"/>
      <scheme val="minor"/>
    </font>
    <font>
      <b/>
      <u/>
      <sz val="18"/>
      <color rgb="FFFF000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  <font>
      <b/>
      <u/>
      <sz val="14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1" fillId="2" borderId="3" xfId="0" applyNumberFormat="1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0" fillId="5" borderId="2" xfId="0" applyFill="1" applyBorder="1"/>
    <xf numFmtId="14" fontId="0" fillId="0" borderId="2" xfId="0" applyNumberFormat="1" applyBorder="1"/>
    <xf numFmtId="0" fontId="0" fillId="0" borderId="0" xfId="0" applyFill="1" applyBorder="1" applyAlignment="1">
      <alignment wrapText="1"/>
    </xf>
    <xf numFmtId="0" fontId="0" fillId="0" borderId="7" xfId="0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2" xfId="0" applyFill="1" applyBorder="1"/>
    <xf numFmtId="0" fontId="0" fillId="6" borderId="6" xfId="0" applyFill="1" applyBorder="1"/>
    <xf numFmtId="0" fontId="0" fillId="7" borderId="2" xfId="0" applyFill="1" applyBorder="1"/>
    <xf numFmtId="0" fontId="0" fillId="8" borderId="2" xfId="0" applyFill="1" applyBorder="1"/>
    <xf numFmtId="0" fontId="7" fillId="0" borderId="0" xfId="0" applyFont="1" applyFill="1" applyBorder="1" applyAlignment="1">
      <alignment vertical="center" wrapText="1"/>
    </xf>
    <xf numFmtId="0" fontId="6" fillId="9" borderId="2" xfId="0" applyFont="1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5" borderId="6" xfId="0" applyFill="1" applyBorder="1"/>
    <xf numFmtId="0" fontId="0" fillId="0" borderId="2" xfId="0" applyFont="1" applyBorder="1" applyAlignment="1">
      <alignment horizontal="center"/>
    </xf>
    <xf numFmtId="0" fontId="0" fillId="0" borderId="7" xfId="0" applyFont="1" applyBorder="1"/>
    <xf numFmtId="0" fontId="0" fillId="0" borderId="2" xfId="0" applyNumberFormat="1" applyFont="1" applyBorder="1" applyAlignment="1">
      <alignment horizontal="center"/>
    </xf>
    <xf numFmtId="0" fontId="0" fillId="0" borderId="0" xfId="0" applyFont="1"/>
    <xf numFmtId="0" fontId="8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3" fillId="4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4" fillId="3" borderId="2" xfId="0" applyFont="1" applyFill="1" applyBorder="1" applyAlignment="1" applyProtection="1">
      <alignment horizontal="center" vertical="center"/>
    </xf>
    <xf numFmtId="1" fontId="0" fillId="0" borderId="0" xfId="0" applyNumberFormat="1" applyProtection="1"/>
    <xf numFmtId="165" fontId="0" fillId="0" borderId="0" xfId="0" applyNumberFormat="1" applyProtection="1"/>
    <xf numFmtId="0" fontId="3" fillId="3" borderId="1" xfId="0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5" fillId="0" borderId="2" xfId="0" applyNumberFormat="1" applyFont="1" applyBorder="1" applyAlignment="1" applyProtection="1">
      <alignment horizontal="center" vertical="center"/>
    </xf>
    <xf numFmtId="0" fontId="2" fillId="0" borderId="0" xfId="0" applyFont="1" applyBorder="1" applyProtection="1"/>
    <xf numFmtId="166" fontId="2" fillId="0" borderId="0" xfId="0" applyNumberFormat="1" applyFont="1" applyBorder="1" applyProtection="1"/>
    <xf numFmtId="0" fontId="2" fillId="0" borderId="1" xfId="0" applyFont="1" applyBorder="1" applyProtection="1"/>
    <xf numFmtId="164" fontId="2" fillId="0" borderId="1" xfId="0" applyNumberFormat="1" applyFont="1" applyBorder="1" applyProtection="1"/>
    <xf numFmtId="0" fontId="0" fillId="0" borderId="10" xfId="0" applyNumberForma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9" xfId="0" applyFill="1" applyBorder="1"/>
    <xf numFmtId="1" fontId="0" fillId="0" borderId="0" xfId="0" applyNumberFormat="1" applyFill="1" applyProtection="1"/>
    <xf numFmtId="0" fontId="0" fillId="0" borderId="0" xfId="0" applyFill="1" applyProtection="1"/>
    <xf numFmtId="167" fontId="2" fillId="0" borderId="1" xfId="0" applyNumberFormat="1" applyFont="1" applyBorder="1"/>
    <xf numFmtId="0" fontId="9" fillId="0" borderId="0" xfId="0" applyFont="1"/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0" fillId="0" borderId="0" xfId="0" applyFont="1"/>
    <xf numFmtId="0" fontId="11" fillId="4" borderId="2" xfId="0" applyFont="1" applyFill="1" applyBorder="1"/>
    <xf numFmtId="0" fontId="12" fillId="5" borderId="6" xfId="0" applyFont="1" applyFill="1" applyBorder="1"/>
    <xf numFmtId="0" fontId="12" fillId="7" borderId="2" xfId="0" applyFont="1" applyFill="1" applyBorder="1"/>
    <xf numFmtId="0" fontId="12" fillId="8" borderId="2" xfId="0" applyFont="1" applyFill="1" applyBorder="1"/>
    <xf numFmtId="0" fontId="13" fillId="9" borderId="2" xfId="0" applyFont="1" applyFill="1" applyBorder="1"/>
  </cellXfs>
  <cellStyles count="1">
    <cellStyle name="Normal" xfId="0" builtinId="0"/>
  </cellStyles>
  <dxfs count="7">
    <dxf>
      <font>
        <b/>
        <i val="0"/>
        <color rgb="FFFFFF0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4"/>
  <sheetViews>
    <sheetView workbookViewId="0">
      <selection activeCell="B10" sqref="B10"/>
    </sheetView>
  </sheetViews>
  <sheetFormatPr defaultRowHeight="15" x14ac:dyDescent="0.25"/>
  <cols>
    <col min="1" max="1" width="19.85546875" style="35" bestFit="1" customWidth="1"/>
    <col min="2" max="2" width="69.140625" style="35" bestFit="1" customWidth="1"/>
    <col min="3" max="3" width="19.42578125" style="35" customWidth="1"/>
    <col min="4" max="4" width="58.5703125" style="37" customWidth="1"/>
    <col min="5" max="5" width="23.28515625" style="35" bestFit="1" customWidth="1"/>
    <col min="6" max="6" width="16.5703125" style="35" bestFit="1" customWidth="1"/>
    <col min="7" max="7" width="16.85546875" style="35" bestFit="1" customWidth="1"/>
    <col min="8" max="8" width="17" style="35" customWidth="1"/>
    <col min="9" max="10" width="9.140625" style="35"/>
    <col min="11" max="11" width="10.7109375" style="38" bestFit="1" customWidth="1"/>
    <col min="12" max="12" width="9.140625" style="35"/>
    <col min="13" max="13" width="12.28515625" style="35" customWidth="1"/>
    <col min="14" max="16384" width="9.140625" style="35"/>
  </cols>
  <sheetData>
    <row r="1" spans="1:13" ht="23.25" x14ac:dyDescent="0.25">
      <c r="B1" s="36" t="s">
        <v>7</v>
      </c>
    </row>
    <row r="2" spans="1:13" ht="15.75" thickBot="1" x14ac:dyDescent="0.3"/>
    <row r="3" spans="1:13" ht="21.75" thickBot="1" x14ac:dyDescent="0.3">
      <c r="B3" s="39" t="s">
        <v>0</v>
      </c>
      <c r="C3" s="39" t="s">
        <v>1</v>
      </c>
      <c r="E3" s="40" t="s">
        <v>6</v>
      </c>
      <c r="F3" s="6">
        <v>100</v>
      </c>
    </row>
    <row r="4" spans="1:13" ht="21" x14ac:dyDescent="0.25">
      <c r="A4" s="41" t="s">
        <v>2</v>
      </c>
      <c r="B4" s="5">
        <v>44482</v>
      </c>
      <c r="C4" s="5">
        <v>44574</v>
      </c>
      <c r="D4" s="53">
        <f>(YEAR(C4)-YEAR(B4))*12+MONTH(C4)-MONTH(B4)-1</f>
        <v>2</v>
      </c>
      <c r="E4" s="54"/>
      <c r="F4" s="54"/>
    </row>
    <row r="5" spans="1:13" ht="18.75" x14ac:dyDescent="0.25">
      <c r="A5" s="41" t="s">
        <v>3</v>
      </c>
      <c r="B5" s="42">
        <f>DAY(EOMONTH(B4,0))</f>
        <v>31</v>
      </c>
      <c r="C5" s="42">
        <f>DAY(EOMONTH(C4,0))</f>
        <v>31</v>
      </c>
      <c r="D5" s="53"/>
      <c r="E5" s="54"/>
      <c r="F5" s="54"/>
    </row>
    <row r="6" spans="1:13" ht="45" x14ac:dyDescent="0.25">
      <c r="A6" s="41" t="s">
        <v>8</v>
      </c>
      <c r="B6" s="42">
        <f>B5-DAY(B4)+1</f>
        <v>19</v>
      </c>
      <c r="C6" s="42">
        <f>DAY(C4)</f>
        <v>13</v>
      </c>
      <c r="D6" s="53"/>
      <c r="E6" s="54"/>
      <c r="F6" s="54"/>
    </row>
    <row r="7" spans="1:13" x14ac:dyDescent="0.25">
      <c r="B7" s="54">
        <f>F3/B5</f>
        <v>3.225806451612903</v>
      </c>
      <c r="C7" s="54">
        <f>F3/C5</f>
        <v>3.225806451612903</v>
      </c>
      <c r="D7" s="53"/>
      <c r="E7" s="54"/>
      <c r="F7" s="54"/>
    </row>
    <row r="8" spans="1:13" ht="18.75" x14ac:dyDescent="0.3">
      <c r="B8" s="54">
        <f>B7*B6</f>
        <v>61.29032258064516</v>
      </c>
      <c r="C8" s="54">
        <f>C7*C6</f>
        <v>41.935483870967737</v>
      </c>
      <c r="D8" s="53">
        <f>D4*F3</f>
        <v>200</v>
      </c>
      <c r="E8" s="54"/>
      <c r="F8" s="54"/>
      <c r="G8" s="43"/>
      <c r="H8" s="44"/>
    </row>
    <row r="9" spans="1:13" ht="15.75" thickBot="1" x14ac:dyDescent="0.3">
      <c r="B9" s="54"/>
      <c r="C9" s="54"/>
      <c r="D9" s="53"/>
      <c r="E9" s="54"/>
      <c r="F9" s="54"/>
    </row>
    <row r="10" spans="1:13" ht="19.5" thickBot="1" x14ac:dyDescent="0.35">
      <c r="A10" s="41" t="s">
        <v>5</v>
      </c>
      <c r="B10" s="42">
        <f>TRUNC(B8,3)</f>
        <v>61.29</v>
      </c>
      <c r="C10" s="42">
        <f>TRUNC(C8,3)</f>
        <v>41.935000000000002</v>
      </c>
      <c r="D10" s="42">
        <f>D4*F3</f>
        <v>200</v>
      </c>
      <c r="E10" s="45" t="s">
        <v>4</v>
      </c>
      <c r="F10" s="46">
        <f>SUM(B10:D10)</f>
        <v>303.22500000000002</v>
      </c>
    </row>
    <row r="13" spans="1:13" x14ac:dyDescent="0.25">
      <c r="M13" s="38"/>
    </row>
    <row r="14" spans="1:13" x14ac:dyDescent="0.25">
      <c r="J14" s="38"/>
    </row>
  </sheetData>
  <sheetProtection selectLockedCells="1"/>
  <customSheetViews>
    <customSheetView guid="{AD13B554-DEA4-4723-B852-B98C2E96FE29}">
      <selection activeCell="F3" sqref="F3"/>
      <pageMargins left="0.7" right="0.7" top="0.75" bottom="0.75" header="0.3" footer="0.3"/>
      <pageSetup paperSize="9" orientation="portrait" horizontalDpi="4294967294" verticalDpi="4294967294" r:id="rId1"/>
    </customSheetView>
    <customSheetView guid="{B9F412AE-1708-4B8D-B1AF-0593B549CE88}">
      <selection activeCell="F3" sqref="F3"/>
      <pageMargins left="0.7" right="0.7" top="0.75" bottom="0.75" header="0.3" footer="0.3"/>
      <pageSetup paperSize="9" orientation="portrait" horizontalDpi="4294967294" verticalDpi="4294967294" r:id="rId2"/>
    </customSheetView>
    <customSheetView guid="{1ADDD905-FE1F-404A-A976-94CF46B34A2E}">
      <selection activeCell="B4" sqref="B4"/>
      <pageMargins left="0.7" right="0.7" top="0.75" bottom="0.75" header="0.3" footer="0.3"/>
      <pageSetup paperSize="9" orientation="portrait" horizontalDpi="4294967294" verticalDpi="4294967294" r:id="rId3"/>
    </customSheetView>
    <customSheetView guid="{337AFAD1-8B65-4ABE-BB91-50361441DCE2}">
      <selection activeCell="C4" sqref="C4"/>
      <pageMargins left="0.7" right="0.7" top="0.75" bottom="0.75" header="0.3" footer="0.3"/>
      <pageSetup paperSize="9" orientation="portrait" horizontalDpi="4294967294" verticalDpi="4294967294" r:id="rId4"/>
    </customSheetView>
    <customSheetView guid="{AAB36794-6373-439A-AFE9-AAC9C9EBC0EC}">
      <selection activeCell="B4" sqref="B4"/>
      <pageMargins left="0.7" right="0.7" top="0.75" bottom="0.75" header="0.3" footer="0.3"/>
      <pageSetup paperSize="9" orientation="portrait" horizontalDpi="4294967294" verticalDpi="4294967294" r:id="rId5"/>
    </customSheetView>
    <customSheetView guid="{C5A527C4-DFA2-4D11-8C35-48CB4DDDD68D}">
      <selection activeCell="F3" sqref="F3"/>
      <pageMargins left="0.7" right="0.7" top="0.75" bottom="0.75" header="0.3" footer="0.3"/>
      <pageSetup paperSize="9" orientation="portrait" horizontalDpi="4294967294" verticalDpi="4294967294" r:id="rId6"/>
    </customSheetView>
    <customSheetView guid="{919354F1-64D2-4C80-87A2-5814BCF7D8CD}">
      <selection activeCell="F3" sqref="F3"/>
      <pageMargins left="0.7" right="0.7" top="0.75" bottom="0.75" header="0.3" footer="0.3"/>
      <pageSetup paperSize="9" orientation="portrait" horizontalDpi="4294967294" verticalDpi="4294967294" r:id="rId7"/>
    </customSheetView>
  </customSheetViews>
  <pageMargins left="0.7" right="0.7" top="0.75" bottom="0.75" header="0.3" footer="0.3"/>
  <pageSetup paperSize="9" orientation="portrait" horizontalDpi="4294967294" verticalDpi="4294967294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31"/>
  <sheetViews>
    <sheetView tabSelected="1" topLeftCell="A4" zoomScale="85" zoomScaleNormal="85" workbookViewId="0">
      <selection activeCell="C30" sqref="C30"/>
    </sheetView>
  </sheetViews>
  <sheetFormatPr defaultRowHeight="15" x14ac:dyDescent="0.25"/>
  <cols>
    <col min="1" max="1" width="12.28515625" customWidth="1"/>
    <col min="2" max="2" width="43.85546875" customWidth="1"/>
    <col min="3" max="3" width="51" bestFit="1" customWidth="1"/>
    <col min="4" max="4" width="6.42578125" customWidth="1"/>
    <col min="5" max="5" width="22.42578125" bestFit="1" customWidth="1"/>
    <col min="6" max="6" width="18" bestFit="1" customWidth="1"/>
    <col min="7" max="7" width="4.28515625" customWidth="1"/>
    <col min="8" max="8" width="56" bestFit="1" customWidth="1"/>
    <col min="9" max="9" width="10.7109375" bestFit="1" customWidth="1"/>
    <col min="10" max="10" width="2.5703125" customWidth="1"/>
    <col min="11" max="11" width="4.5703125" bestFit="1" customWidth="1"/>
    <col min="12" max="12" width="7.85546875" bestFit="1" customWidth="1"/>
    <col min="13" max="13" width="5.42578125" bestFit="1" customWidth="1"/>
    <col min="14" max="14" width="3.85546875" bestFit="1" customWidth="1"/>
    <col min="15" max="15" width="4.5703125" bestFit="1" customWidth="1"/>
    <col min="16" max="16" width="7.85546875" bestFit="1" customWidth="1"/>
    <col min="17" max="17" width="5.42578125" bestFit="1" customWidth="1"/>
    <col min="18" max="19" width="4.5703125" bestFit="1" customWidth="1"/>
    <col min="20" max="20" width="7.85546875" bestFit="1" customWidth="1"/>
    <col min="21" max="21" width="5.42578125" bestFit="1" customWidth="1"/>
    <col min="22" max="23" width="4.5703125" bestFit="1" customWidth="1"/>
    <col min="24" max="24" width="7.85546875" bestFit="1" customWidth="1"/>
    <col min="25" max="25" width="8.42578125" bestFit="1" customWidth="1"/>
  </cols>
  <sheetData>
    <row r="1" spans="1:26" ht="19.5" thickBot="1" x14ac:dyDescent="0.3">
      <c r="B1" s="57" t="s">
        <v>24</v>
      </c>
      <c r="C1" s="58"/>
    </row>
    <row r="2" spans="1:26" ht="15.75" thickBot="1" x14ac:dyDescent="0.3">
      <c r="I2" s="56"/>
    </row>
    <row r="3" spans="1:26" ht="21.75" thickBot="1" x14ac:dyDescent="0.3">
      <c r="B3" s="3" t="s">
        <v>0</v>
      </c>
      <c r="C3" s="3" t="s">
        <v>1</v>
      </c>
      <c r="D3" s="51"/>
      <c r="E3" s="1" t="s">
        <v>6</v>
      </c>
      <c r="F3" s="6">
        <v>1300</v>
      </c>
      <c r="H3" s="29" t="s">
        <v>23</v>
      </c>
      <c r="I3" s="56"/>
    </row>
    <row r="4" spans="1:26" ht="30.75" thickBot="1" x14ac:dyDescent="0.3">
      <c r="A4" s="4" t="s">
        <v>22</v>
      </c>
      <c r="B4" s="34">
        <v>44492</v>
      </c>
      <c r="C4" s="34">
        <v>44552</v>
      </c>
      <c r="D4" s="12">
        <f>C4-B4+1</f>
        <v>61</v>
      </c>
      <c r="E4" s="12"/>
      <c r="F4" s="52"/>
      <c r="H4" s="28" t="str">
        <f>IF(C5&lt;B5,"ΛΑΘΟΣ ΔΙΑΣΤΗΜΑ ΥΠΟΛΟΓΙΣΜΟΥ!","ΣΩΣΤΟ ΔΙΑΣΤΗΜΑ ΥΠΟΛΟΓΙΣΜΟΥ")</f>
        <v>ΣΩΣΤΟ ΔΙΑΣΤΗΜΑ ΥΠΟΛΟΓΙΣΜΟΥ</v>
      </c>
      <c r="I4" s="56"/>
    </row>
    <row r="5" spans="1:26" ht="21.75" thickBot="1" x14ac:dyDescent="0.3">
      <c r="A5" s="4" t="s">
        <v>2</v>
      </c>
      <c r="B5" s="5">
        <v>41218</v>
      </c>
      <c r="C5" s="5">
        <v>42032</v>
      </c>
      <c r="D5" s="12">
        <f>C5-B5+1</f>
        <v>815</v>
      </c>
      <c r="E5" s="12">
        <f>(YEAR(I25)-YEAR(I24))*12+MONTH(I25)-MONTH(I24)</f>
        <v>26</v>
      </c>
      <c r="F5" s="52"/>
      <c r="H5" s="30" t="str">
        <f>IF(I6+I7+I8+I9+I10=5,"ΣΩΣΤΟΣ ΚΥΚΛΟΣ ΤΙΜΟΛΟΓΗΣΗΣ","ΛΑΘΟΣ ΚΥΚΛΟΣ ΤΙΜΟΛΟΓΗΣΗΣ")</f>
        <v>ΣΩΣΤΟΣ ΚΥΚΛΟΣ ΤΙΜΟΛΟΓΗΣΗΣ</v>
      </c>
      <c r="I5" s="56"/>
    </row>
    <row r="6" spans="1:26" x14ac:dyDescent="0.25">
      <c r="A6" s="4"/>
      <c r="B6" s="47"/>
      <c r="C6" s="12"/>
      <c r="D6" s="12"/>
      <c r="E6" s="12"/>
      <c r="F6" s="52"/>
      <c r="H6" s="31" t="str">
        <f>IF(I6=0,"ΕΛΕΓΞΕ ΜΕΡΕΣ START DATE","OK")</f>
        <v>OK</v>
      </c>
      <c r="I6" s="56">
        <f>IF(AND(DAY(B4)&lt;&gt;8,DAY(B4)&lt;&gt;16,DAY(B4)&lt;&gt;23),0,1)</f>
        <v>1</v>
      </c>
    </row>
    <row r="7" spans="1:26" x14ac:dyDescent="0.25">
      <c r="B7" s="48"/>
      <c r="C7" s="12"/>
      <c r="D7" s="12"/>
      <c r="E7" s="12"/>
      <c r="F7" s="52"/>
      <c r="H7" s="32" t="str">
        <f>IF(I7=0,"ΕΛΕΓΞΕ ΜΕΡΕΣ END DATE","OK")</f>
        <v>OK</v>
      </c>
      <c r="I7" s="56">
        <f>IF(AND(DAY(C4)&lt;&gt;7,DAY(C4)&lt;&gt;15,DAY(C4)&lt;&gt;22),0,1)</f>
        <v>1</v>
      </c>
      <c r="Z7" s="10"/>
    </row>
    <row r="8" spans="1:26" x14ac:dyDescent="0.25">
      <c r="B8" s="48"/>
      <c r="C8" s="12"/>
      <c r="D8" s="12"/>
      <c r="E8" s="12"/>
      <c r="F8" s="52"/>
      <c r="H8" s="32" t="str">
        <f>IF(I8=0,"ΕΛΕΓΞΕ ΤΟΥΣ ΜΗΝΕΣ ΤΟΥ START &amp; END DATE","OK")</f>
        <v>OK</v>
      </c>
      <c r="I8" s="56">
        <f>IF(MONTH(C4)-MONTH(B4)=2,1,IF(AND(MONTH(B4)=11,MONTH(C4)=1),1,IF(AND(MONTH(B4)=12,MONTH(C4)=2),1,0)))</f>
        <v>1</v>
      </c>
      <c r="Z8" s="12"/>
    </row>
    <row r="9" spans="1:26" x14ac:dyDescent="0.25">
      <c r="B9" s="48"/>
      <c r="C9" s="12"/>
      <c r="D9" s="12"/>
      <c r="E9" s="12"/>
      <c r="F9" s="52"/>
      <c r="H9" s="32" t="str">
        <f>IF(I9=0,"ΤΟ ΔΙΑΣΤΗΜΑ ΜΕΤΑΞΥ START &amp; END DATE ΙΣΩΣ ΕΊΝΑΙ ΛΑΘΟΣ ","OK")</f>
        <v>OK</v>
      </c>
      <c r="I9" s="56">
        <f>IF(AND(C4&gt;B4,YEAR(C4)-YEAR(B4)=0),1,IF(AND(MONTH(B4)=11,MONTH(C4)=1),1,IF(AND(MONTH(B4)=12,MONTH(C4)=2,YEAR(C4)-YEAR(B4)=1),1,0)))</f>
        <v>1</v>
      </c>
      <c r="Z9" s="14"/>
    </row>
    <row r="10" spans="1:26" ht="15.75" thickBot="1" x14ac:dyDescent="0.3">
      <c r="B10" s="48"/>
      <c r="C10" s="12"/>
      <c r="D10" s="12"/>
      <c r="E10" s="12"/>
      <c r="F10" s="52"/>
      <c r="H10" s="33" t="str">
        <f>IF(I10=0,"ΕΛΕΓΞΕ ΤΙΣ ΜΕΡΕΣ ΤΟΥ START &amp; END DATE KAI TOY ΚΥΚΛΟΥ ΤΙΜΟΛ.","OK")</f>
        <v>OK</v>
      </c>
      <c r="I10" s="56">
        <f>IF(DAY(B4)-DAY(C4)=1,1,0)</f>
        <v>1</v>
      </c>
    </row>
    <row r="11" spans="1:26" ht="19.5" thickBot="1" x14ac:dyDescent="0.35">
      <c r="A11" s="22" t="s">
        <v>5</v>
      </c>
      <c r="B11" s="49">
        <f>I27*F3/I30</f>
        <v>754.83870967741939</v>
      </c>
      <c r="C11" s="50">
        <f>I28*F3/I31</f>
        <v>251.61290322580646</v>
      </c>
      <c r="D11" s="50">
        <f>I29*F3</f>
        <v>33800</v>
      </c>
      <c r="E11" s="2" t="s">
        <v>4</v>
      </c>
      <c r="F11" s="55">
        <f>IF(I19&gt;=C5,(C5-B5+1)*F3/I30,SUM(B11:D11))</f>
        <v>34806.451612903227</v>
      </c>
      <c r="I11" s="27"/>
    </row>
    <row r="12" spans="1:26" x14ac:dyDescent="0.25">
      <c r="D12" s="7"/>
      <c r="H12" s="23" t="s">
        <v>9</v>
      </c>
      <c r="I12" s="9">
        <f>DATE(M14,L14,K14)</f>
        <v>41218</v>
      </c>
      <c r="K12" s="64" t="s">
        <v>9</v>
      </c>
      <c r="L12" s="65"/>
      <c r="M12" s="65"/>
      <c r="N12" s="65"/>
      <c r="O12" s="65"/>
      <c r="P12" s="65"/>
      <c r="Q12" s="66"/>
      <c r="S12" s="67" t="s">
        <v>10</v>
      </c>
      <c r="T12" s="68"/>
      <c r="U12" s="68"/>
      <c r="V12" s="68"/>
      <c r="W12" s="68"/>
      <c r="X12" s="68"/>
      <c r="Y12" s="69"/>
    </row>
    <row r="13" spans="1:26" x14ac:dyDescent="0.25">
      <c r="H13" s="23" t="s">
        <v>9</v>
      </c>
      <c r="I13" s="9">
        <f>DATE(Q14,P14,O14)</f>
        <v>41235</v>
      </c>
      <c r="K13" s="11" t="s">
        <v>11</v>
      </c>
      <c r="L13" s="11" t="s">
        <v>12</v>
      </c>
      <c r="M13" s="11" t="s">
        <v>13</v>
      </c>
      <c r="N13" s="59" t="s">
        <v>14</v>
      </c>
      <c r="O13" s="11" t="s">
        <v>11</v>
      </c>
      <c r="P13" s="11" t="s">
        <v>12</v>
      </c>
      <c r="Q13" s="11" t="s">
        <v>13</v>
      </c>
      <c r="S13" s="11" t="s">
        <v>11</v>
      </c>
      <c r="T13" s="25" t="s">
        <v>12</v>
      </c>
      <c r="U13" s="25" t="s">
        <v>13</v>
      </c>
      <c r="V13" s="59" t="s">
        <v>14</v>
      </c>
      <c r="W13" s="25" t="s">
        <v>11</v>
      </c>
      <c r="X13" s="25" t="s">
        <v>12</v>
      </c>
      <c r="Y13" s="25" t="s">
        <v>13</v>
      </c>
    </row>
    <row r="14" spans="1:26" x14ac:dyDescent="0.25">
      <c r="K14" s="13">
        <f>DAY(B5)</f>
        <v>5</v>
      </c>
      <c r="L14" s="13">
        <f>MONTH(B5)</f>
        <v>11</v>
      </c>
      <c r="M14" s="13">
        <f>YEAR(B5)</f>
        <v>2012</v>
      </c>
      <c r="N14" s="60"/>
      <c r="O14" s="13">
        <f>DAY(C4)</f>
        <v>22</v>
      </c>
      <c r="P14" s="13">
        <f>IF(MONTH(B5)=12,IF(DAY(B5)&gt;=DAY(B4),1,MONTH(B5)),IF(DAY(B5)&lt;DAY(B4),MONTH(B5),MONTH(B5)+1))</f>
        <v>11</v>
      </c>
      <c r="Q14" s="13">
        <f>IF(MONTH(B5)=12,IF(DAY(B5)&gt;=DAY(B4),YEAR(B5)+1,YEAR(B5)),YEAR(B5))</f>
        <v>2012</v>
      </c>
      <c r="S14" s="13">
        <f>DAY(B4)</f>
        <v>23</v>
      </c>
      <c r="T14" s="24">
        <f>IF(MONTH(C5)-MONTH(B5)&lt;=0,IF(DAY(C5)&gt;DAY(C4),MONTH(C5),IF(MONTH(C5)=1,12,MONTH(C5)-1)),IF(DAY(C5)&gt;DAY(C4),MONTH(C5),MONTH(C5)-1))</f>
        <v>1</v>
      </c>
      <c r="U14" s="24">
        <f>IF(YEAR(B5)&lt;&gt;YEAR(C5),IF(AND(MONTH(C5)=1,DAY(C5)&gt;DAY(C4)),YEAR(C5),IF(MONTH(C5)&gt;1,YEAR(C5),IF(YEAR(C5)-YEAR(B5)&gt;1,IF(AND(T14=12,X14=1),YEAR(C5)-1,YEAR(C5)),YEAR(B5)))),YEAR(B5))</f>
        <v>2015</v>
      </c>
      <c r="V14" s="60"/>
      <c r="W14" s="24">
        <f>DAY(C5)</f>
        <v>28</v>
      </c>
      <c r="X14" s="24">
        <f>MONTH(C5)</f>
        <v>1</v>
      </c>
      <c r="Y14" s="24">
        <f>YEAR(C5)</f>
        <v>2015</v>
      </c>
    </row>
    <row r="15" spans="1:26" x14ac:dyDescent="0.25">
      <c r="H15" s="16" t="s">
        <v>10</v>
      </c>
      <c r="I15" s="9">
        <f>DATE(U14,T14,S14)</f>
        <v>42027</v>
      </c>
    </row>
    <row r="16" spans="1:26" ht="15" customHeight="1" x14ac:dyDescent="0.25">
      <c r="H16" s="16" t="s">
        <v>10</v>
      </c>
      <c r="I16" s="9">
        <f>DATE(Y14,X14,W14)</f>
        <v>42032</v>
      </c>
      <c r="K16" s="70" t="s">
        <v>15</v>
      </c>
      <c r="L16" s="70"/>
      <c r="M16" s="70"/>
      <c r="N16" s="70"/>
      <c r="O16" s="70"/>
      <c r="P16" s="70"/>
      <c r="Q16" s="70"/>
      <c r="S16" s="71" t="s">
        <v>16</v>
      </c>
      <c r="T16" s="71"/>
      <c r="U16" s="71"/>
      <c r="V16" s="71"/>
      <c r="W16" s="71"/>
      <c r="X16" s="71"/>
      <c r="Y16" s="71"/>
    </row>
    <row r="17" spans="2:25" x14ac:dyDescent="0.25">
      <c r="B17" s="72"/>
      <c r="K17" s="11" t="s">
        <v>11</v>
      </c>
      <c r="L17" s="25" t="s">
        <v>12</v>
      </c>
      <c r="M17" s="25" t="s">
        <v>13</v>
      </c>
      <c r="N17" s="59" t="s">
        <v>14</v>
      </c>
      <c r="O17" s="25" t="s">
        <v>11</v>
      </c>
      <c r="P17" s="25" t="s">
        <v>12</v>
      </c>
      <c r="Q17" s="25" t="s">
        <v>13</v>
      </c>
      <c r="S17" s="25" t="s">
        <v>11</v>
      </c>
      <c r="T17" s="25" t="s">
        <v>12</v>
      </c>
      <c r="U17" s="25" t="s">
        <v>13</v>
      </c>
      <c r="V17" s="59" t="s">
        <v>14</v>
      </c>
      <c r="W17" s="25" t="s">
        <v>11</v>
      </c>
      <c r="X17" s="25" t="s">
        <v>12</v>
      </c>
      <c r="Y17" s="25" t="s">
        <v>13</v>
      </c>
    </row>
    <row r="18" spans="2:25" x14ac:dyDescent="0.25">
      <c r="B18" s="72"/>
      <c r="H18" s="17" t="s">
        <v>15</v>
      </c>
      <c r="I18" s="9">
        <f>DATE(M18,L18,K18)</f>
        <v>41205</v>
      </c>
      <c r="K18" s="13">
        <f>DAY(B4)</f>
        <v>23</v>
      </c>
      <c r="L18" s="26">
        <f>IF(DAY(B5)&gt;=DAY(B4),IF(MONTH(B5)=1,1,MONTH(B5)),IF(MONTH(B5)=1,12,MONTH(B5)-1))</f>
        <v>10</v>
      </c>
      <c r="M18" s="24">
        <f>IF(DAY(B5)&lt;DAY(B4),IF(MONTH(B5)=1,YEAR(B5)-1,YEAR(B5)),YEAR(B5))</f>
        <v>2012</v>
      </c>
      <c r="N18" s="60"/>
      <c r="O18" s="24">
        <f>DAY(C4)</f>
        <v>22</v>
      </c>
      <c r="P18" s="24">
        <f>IF(DAY(B5)&gt;=DAY(B4),IF(MONTH(B5)=12,1,MONTH(B5)+1),MONTH(B5))</f>
        <v>11</v>
      </c>
      <c r="Q18" s="24">
        <f>IF(AND(DAY(B5)&gt;=DAY(B4),MONTH(B5)=12),YEAR(B5)+1,YEAR(B5))</f>
        <v>2012</v>
      </c>
      <c r="S18" s="24">
        <f>DAY(B4)</f>
        <v>23</v>
      </c>
      <c r="T18" s="26">
        <f>IF(X18=1,12,X18-1)</f>
        <v>1</v>
      </c>
      <c r="U18" s="24">
        <f>IF(YEAR(B5)&lt;&gt;YEAR(C5),IF(AND(MONTH(C5)=1,DAY(C5)&gt;DAY(C4)),YEAR(C5),IF(MONTH(C5)&gt;1,YEAR(C5),IF(YEAR(C5)-YEAR(B5)&gt;1,IF(AND(T18=12,X18=1),YEAR(C5)-1,YEAR(C5)),YEAR(B5)))),YEAR(B5))</f>
        <v>2015</v>
      </c>
      <c r="V18" s="60"/>
      <c r="W18" s="24">
        <f>DAY(C4)</f>
        <v>22</v>
      </c>
      <c r="X18" s="24">
        <f>IF(DAY(C5)&gt;DAY(C4),IF(MONTH(C5)=12,1,MONTH(C5)+1),MONTH(C5))</f>
        <v>2</v>
      </c>
      <c r="Y18" s="24">
        <f>IF(AND(DAY(C5)&gt;DAY(C4),MONTH(C5)=12),YEAR(C5)+1,YEAR(C5))</f>
        <v>2015</v>
      </c>
    </row>
    <row r="19" spans="2:25" ht="18.75" x14ac:dyDescent="0.3">
      <c r="B19" s="73" t="s">
        <v>25</v>
      </c>
      <c r="C19" s="73" t="s">
        <v>37</v>
      </c>
      <c r="H19" s="17" t="s">
        <v>15</v>
      </c>
      <c r="I19" s="9">
        <f>DATE(Q18,P18,O18)</f>
        <v>41235</v>
      </c>
    </row>
    <row r="20" spans="2:25" ht="18.75" x14ac:dyDescent="0.3">
      <c r="B20" s="73" t="s">
        <v>26</v>
      </c>
      <c r="C20" s="73" t="s">
        <v>38</v>
      </c>
    </row>
    <row r="21" spans="2:25" ht="18.75" x14ac:dyDescent="0.3">
      <c r="B21" s="74" t="s">
        <v>27</v>
      </c>
      <c r="C21" s="74" t="s">
        <v>39</v>
      </c>
      <c r="H21" s="18" t="s">
        <v>16</v>
      </c>
      <c r="I21" s="9">
        <f>DATE(U18,T18,S18)</f>
        <v>42027</v>
      </c>
      <c r="K21" s="61" t="s">
        <v>17</v>
      </c>
      <c r="L21" s="62"/>
      <c r="M21" s="62"/>
      <c r="N21" s="62"/>
      <c r="O21" s="62"/>
      <c r="P21" s="62"/>
      <c r="Q21" s="63"/>
      <c r="S21" s="10"/>
      <c r="T21" s="10"/>
      <c r="U21" s="10"/>
      <c r="V21" s="10"/>
      <c r="W21" s="10"/>
      <c r="X21" s="10"/>
      <c r="Y21" s="10"/>
    </row>
    <row r="22" spans="2:25" ht="18.75" x14ac:dyDescent="0.3">
      <c r="B22" s="74" t="s">
        <v>28</v>
      </c>
      <c r="C22" s="74" t="s">
        <v>40</v>
      </c>
      <c r="H22" s="18" t="s">
        <v>16</v>
      </c>
      <c r="I22" s="9">
        <f>DATE(Y18,X18,W18)</f>
        <v>42057</v>
      </c>
      <c r="K22" s="11" t="s">
        <v>11</v>
      </c>
      <c r="L22" s="11" t="s">
        <v>12</v>
      </c>
      <c r="M22" s="11" t="s">
        <v>13</v>
      </c>
      <c r="N22" s="59" t="s">
        <v>14</v>
      </c>
      <c r="O22" s="11" t="s">
        <v>11</v>
      </c>
      <c r="P22" s="11" t="s">
        <v>12</v>
      </c>
      <c r="Q22" s="11" t="s">
        <v>13</v>
      </c>
      <c r="S22" s="12"/>
      <c r="T22" s="12"/>
      <c r="U22" s="12"/>
      <c r="V22" s="19"/>
      <c r="W22" s="12"/>
      <c r="X22" s="12"/>
      <c r="Y22" s="12"/>
    </row>
    <row r="23" spans="2:25" ht="18.75" x14ac:dyDescent="0.3">
      <c r="B23" s="74" t="s">
        <v>29</v>
      </c>
      <c r="C23" s="74" t="s">
        <v>41</v>
      </c>
      <c r="K23" s="13">
        <f>DAY(B4)</f>
        <v>23</v>
      </c>
      <c r="L23" s="13">
        <f>MONTH(I13)</f>
        <v>11</v>
      </c>
      <c r="M23" s="13">
        <f>YEAR(I13)</f>
        <v>2012</v>
      </c>
      <c r="N23" s="60"/>
      <c r="O23" s="13">
        <f>DAY(C4)</f>
        <v>22</v>
      </c>
      <c r="P23" s="13">
        <f>MONTH(I15)</f>
        <v>1</v>
      </c>
      <c r="Q23" s="13">
        <f>YEAR(I15)</f>
        <v>2015</v>
      </c>
      <c r="S23" s="14"/>
      <c r="T23" s="14"/>
      <c r="U23" s="14"/>
      <c r="V23" s="19"/>
      <c r="W23" s="14"/>
      <c r="X23" s="14"/>
      <c r="Y23" s="14"/>
    </row>
    <row r="24" spans="2:25" ht="18.75" x14ac:dyDescent="0.3">
      <c r="B24" s="74" t="s">
        <v>30</v>
      </c>
      <c r="C24" s="74" t="s">
        <v>42</v>
      </c>
      <c r="H24" s="20" t="s">
        <v>17</v>
      </c>
      <c r="I24" s="9">
        <f>DATE(M23,L23,K23)</f>
        <v>41236</v>
      </c>
    </row>
    <row r="25" spans="2:25" ht="18.75" x14ac:dyDescent="0.3">
      <c r="B25" s="75" t="s">
        <v>31</v>
      </c>
      <c r="C25" s="75" t="s">
        <v>43</v>
      </c>
      <c r="H25" s="20" t="s">
        <v>17</v>
      </c>
      <c r="I25" s="9">
        <f>DATE(Q23,P23,O23)</f>
        <v>42026</v>
      </c>
    </row>
    <row r="26" spans="2:25" ht="18.75" x14ac:dyDescent="0.3">
      <c r="B26" s="75" t="s">
        <v>32</v>
      </c>
      <c r="C26" s="75" t="s">
        <v>44</v>
      </c>
    </row>
    <row r="27" spans="2:25" ht="18.75" x14ac:dyDescent="0.3">
      <c r="B27" s="76" t="s">
        <v>34</v>
      </c>
      <c r="C27" s="76" t="s">
        <v>45</v>
      </c>
      <c r="H27" s="8" t="s">
        <v>18</v>
      </c>
      <c r="I27" s="21">
        <f>I13-I12+1</f>
        <v>18</v>
      </c>
    </row>
    <row r="28" spans="2:25" ht="18.75" x14ac:dyDescent="0.3">
      <c r="B28" s="76" t="s">
        <v>33</v>
      </c>
      <c r="C28" s="76" t="s">
        <v>46</v>
      </c>
      <c r="H28" s="15" t="s">
        <v>19</v>
      </c>
      <c r="I28" s="21">
        <f>I16-I15+1</f>
        <v>6</v>
      </c>
    </row>
    <row r="29" spans="2:25" ht="18.75" x14ac:dyDescent="0.3">
      <c r="B29" s="77" t="s">
        <v>35</v>
      </c>
      <c r="C29" s="77" t="s">
        <v>47</v>
      </c>
      <c r="H29" s="20" t="s">
        <v>17</v>
      </c>
      <c r="I29" s="21">
        <f>IF(E5&lt;0,0,(YEAR(I25)-YEAR(I24))*12+MONTH(I25)-MONTH(I24))</f>
        <v>26</v>
      </c>
      <c r="M29" s="7"/>
    </row>
    <row r="30" spans="2:25" ht="18.75" x14ac:dyDescent="0.3">
      <c r="B30" s="77" t="s">
        <v>36</v>
      </c>
      <c r="C30" s="77" t="s">
        <v>47</v>
      </c>
      <c r="H30" s="17" t="s">
        <v>20</v>
      </c>
      <c r="I30" s="21">
        <f>I19-I18+1</f>
        <v>31</v>
      </c>
    </row>
    <row r="31" spans="2:25" x14ac:dyDescent="0.25">
      <c r="B31" s="72"/>
      <c r="H31" s="18" t="s">
        <v>21</v>
      </c>
      <c r="I31" s="21">
        <f>I22-I21+1</f>
        <v>31</v>
      </c>
    </row>
  </sheetData>
  <sheetProtection selectLockedCells="1"/>
  <customSheetViews>
    <customSheetView guid="{AD13B554-DEA4-4723-B852-B98C2E96FE29}">
      <selection activeCell="C4" sqref="C4"/>
      <pageMargins left="0.7" right="0.7" top="0.75" bottom="0.75" header="0.3" footer="0.3"/>
      <pageSetup paperSize="9" orientation="portrait" horizontalDpi="4294967294" verticalDpi="4294967294" r:id="rId1"/>
    </customSheetView>
    <customSheetView guid="{B9F412AE-1708-4B8D-B1AF-0593B549CE88}">
      <selection activeCell="C5" sqref="C5"/>
      <pageMargins left="0.7" right="0.7" top="0.75" bottom="0.75" header="0.3" footer="0.3"/>
      <pageSetup paperSize="9" orientation="portrait" horizontalDpi="4294967294" verticalDpi="4294967294" r:id="rId2"/>
    </customSheetView>
    <customSheetView guid="{1ADDD905-FE1F-404A-A976-94CF46B34A2E}">
      <selection activeCell="C5" sqref="C5"/>
      <pageMargins left="0.7" right="0.7" top="0.75" bottom="0.75" header="0.3" footer="0.3"/>
      <pageSetup paperSize="9" orientation="portrait" horizontalDpi="4294967294" verticalDpi="4294967294" r:id="rId3"/>
    </customSheetView>
    <customSheetView guid="{337AFAD1-8B65-4ABE-BB91-50361441DCE2}">
      <selection activeCell="C5" sqref="C5"/>
      <pageMargins left="0.7" right="0.7" top="0.75" bottom="0.75" header="0.3" footer="0.3"/>
      <pageSetup paperSize="9" orientation="portrait" horizontalDpi="4294967294" verticalDpi="4294967294" r:id="rId4"/>
    </customSheetView>
    <customSheetView guid="{AAB36794-6373-439A-AFE9-AAC9C9EBC0EC}">
      <selection activeCell="C5" sqref="C5"/>
      <pageMargins left="0.7" right="0.7" top="0.75" bottom="0.75" header="0.3" footer="0.3"/>
      <pageSetup paperSize="9" orientation="portrait" horizontalDpi="4294967294" verticalDpi="4294967294" r:id="rId5"/>
    </customSheetView>
    <customSheetView guid="{C5A527C4-DFA2-4D11-8C35-48CB4DDDD68D}">
      <selection activeCell="C5" sqref="C5"/>
      <pageMargins left="0.7" right="0.7" top="0.75" bottom="0.75" header="0.3" footer="0.3"/>
      <pageSetup paperSize="9" orientation="portrait" horizontalDpi="4294967294" verticalDpi="4294967294" r:id="rId6"/>
    </customSheetView>
    <customSheetView guid="{919354F1-64D2-4C80-87A2-5814BCF7D8CD}">
      <selection activeCell="F3" sqref="F3"/>
      <pageMargins left="0.7" right="0.7" top="0.75" bottom="0.75" header="0.3" footer="0.3"/>
      <pageSetup paperSize="9" orientation="portrait" horizontalDpi="4294967294" verticalDpi="4294967294" r:id="rId7"/>
    </customSheetView>
  </customSheetViews>
  <mergeCells count="11">
    <mergeCell ref="B1:C1"/>
    <mergeCell ref="N17:N18"/>
    <mergeCell ref="V17:V18"/>
    <mergeCell ref="K21:Q21"/>
    <mergeCell ref="N22:N23"/>
    <mergeCell ref="K12:Q12"/>
    <mergeCell ref="S12:Y12"/>
    <mergeCell ref="N13:N14"/>
    <mergeCell ref="V13:V14"/>
    <mergeCell ref="K16:Q16"/>
    <mergeCell ref="S16:Y16"/>
  </mergeCells>
  <conditionalFormatting sqref="I5">
    <cfRule type="expression" dxfId="6" priority="7">
      <formula>IF(D5&lt;C5,"ΛΑΘΟΣ ΔΙΑΣΤΗΜΑ ΥΠΟΛΟΓΙΣΜΟΥ!","ΣΩΣΤΟ ΔΙΑΣΤΗΜΑ ΥΠΟΛΟΓΙΣΜΟΥ")</formula>
    </cfRule>
  </conditionalFormatting>
  <conditionalFormatting sqref="H4">
    <cfRule type="containsText" dxfId="5" priority="5" operator="containsText" text="ΣΩΣΤΟ">
      <formula>NOT(ISERROR(SEARCH("ΣΩΣΤΟ",H4)))</formula>
    </cfRule>
    <cfRule type="beginsWith" dxfId="4" priority="6" operator="beginsWith" text="ΛΑΘΟΣ">
      <formula>LEFT(H4,LEN("ΛΑΘΟΣ"))="ΛΑΘΟΣ"</formula>
    </cfRule>
  </conditionalFormatting>
  <conditionalFormatting sqref="H5">
    <cfRule type="containsText" dxfId="3" priority="3" operator="containsText" text="ΣΩΣΤΟ">
      <formula>NOT(ISERROR(SEARCH("ΣΩΣΤΟ",H5)))</formula>
    </cfRule>
    <cfRule type="beginsWith" dxfId="2" priority="4" operator="beginsWith" text="ΛΑΘΟΣ">
      <formula>LEFT(H5,LEN("ΛΑΘΟΣ"))="ΛΑΘΟΣ"</formula>
    </cfRule>
  </conditionalFormatting>
  <conditionalFormatting sqref="H6:H10">
    <cfRule type="notContainsText" dxfId="1" priority="1" operator="notContains" text="OK">
      <formula>ISERROR(SEARCH("OK",H6))</formula>
    </cfRule>
    <cfRule type="containsText" dxfId="0" priority="2" operator="containsText" text="OK">
      <formula>NOT(ISERROR(SEARCH("OK",H6)))</formula>
    </cfRule>
  </conditionalFormatting>
  <pageMargins left="0.7" right="0.7" top="0.75" bottom="0.75" header="0.3" footer="0.3"/>
  <pageSetup paperSize="9" orientation="portrait" horizontalDpi="4294967294" verticalDpi="4294967294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customSheetViews>
    <customSheetView guid="{AD13B554-DEA4-4723-B852-B98C2E96FE29}">
      <pageMargins left="0.7" right="0.7" top="0.75" bottom="0.75" header="0.3" footer="0.3"/>
    </customSheetView>
    <customSheetView guid="{B9F412AE-1708-4B8D-B1AF-0593B549CE88}">
      <pageMargins left="0.7" right="0.7" top="0.75" bottom="0.75" header="0.3" footer="0.3"/>
    </customSheetView>
    <customSheetView guid="{1ADDD905-FE1F-404A-A976-94CF46B34A2E}">
      <pageMargins left="0.7" right="0.7" top="0.75" bottom="0.75" header="0.3" footer="0.3"/>
    </customSheetView>
    <customSheetView guid="{337AFAD1-8B65-4ABE-BB91-50361441DCE2}">
      <pageMargins left="0.7" right="0.7" top="0.75" bottom="0.75" header="0.3" footer="0.3"/>
    </customSheetView>
    <customSheetView guid="{AAB36794-6373-439A-AFE9-AAC9C9EBC0EC}">
      <pageMargins left="0.7" right="0.7" top="0.75" bottom="0.75" header="0.3" footer="0.3"/>
    </customSheetView>
    <customSheetView guid="{C5A527C4-DFA2-4D11-8C35-48CB4DDDD68D}">
      <pageMargins left="0.7" right="0.7" top="0.75" bottom="0.75" header="0.3" footer="0.3"/>
    </customSheetView>
    <customSheetView guid="{919354F1-64D2-4C80-87A2-5814BCF7D8CD}"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940cbaec-014b-4836-b3eb-3eb0858b1a39" origin="userSelected"/>
</file>

<file path=customXml/item2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5NDBjYmFlYy0wMTRiLTQ4MzYtYjNlYi0zZWIwODU4YjFhMzkiIG9yaWdpbj0idXNlclNlbGVjdGVkIiAvPjxVc2VyTmFtZT5DRU5UUkFMLURPTUFJTlxhcnpvZ3JhZm9zPC9Vc2VyTmFtZT48RGF0ZVRpbWU+MS8xMi8yMDIwIDA3OjEwOjMxPC9EYXRlVGltZT48TGFiZWxTdHJpbmc+VGhpcyBpdGVtIGhhcyBubyBjbGFzc2lmaWNhdGlvbjwvTGFiZWxTdHJpbmc+PC9pdGVtPjwvbGFiZWxIaXN0b3J5Pg==</Value>
</WrappedLabelHistory>
</file>

<file path=customXml/itemProps1.xml><?xml version="1.0" encoding="utf-8"?>
<ds:datastoreItem xmlns:ds="http://schemas.openxmlformats.org/officeDocument/2006/customXml" ds:itemID="{5F40AA99-4E72-4CB2-AEAA-8FE7011F1DA1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51AC5C61-D6B9-4BF0-93B8-D5DC3422DCCA}">
  <ds:schemaRefs>
    <ds:schemaRef ds:uri="http://www.w3.org/2001/XMLSchema"/>
    <ds:schemaRef ds:uri="http://www.boldonjames.com/2016/02/Classifier/internal/wrappedLabelHistor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Geneva Corporate &amp; 1-5 WOMS </vt:lpstr>
      <vt:lpstr>WOMS (Εκτός 1ου και 5ου Κύκλου)</vt:lpstr>
      <vt:lpstr>Sheet3</vt:lpstr>
    </vt:vector>
  </TitlesOfParts>
  <Company>OTE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Zografos Aris michalis</dc:creator>
  <cp:lastModifiedBy>Aris Zografos</cp:lastModifiedBy>
  <dcterms:created xsi:type="dcterms:W3CDTF">2017-04-04T08:06:02Z</dcterms:created>
  <dcterms:modified xsi:type="dcterms:W3CDTF">2021-01-31T00:01:43Z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d851b671-f15a-4c4a-86da-96f5b1022430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T2UvjYMdPHJpHndWtGy11HtMFOAGkU4V</vt:lpwstr>
  </property>
  <property fmtid="{D5CDD505-2E9C-101B-9397-08002B2CF9AE}" pid="5" name="bjLabelHistoryID">
    <vt:lpwstr>{51AC5C61-D6B9-4BF0-93B8-D5DC3422DCCA}</vt:lpwstr>
  </property>
</Properties>
</file>