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hintam\Desktop\"/>
    </mc:Choice>
  </mc:AlternateContent>
  <bookViews>
    <workbookView xWindow="0" yWindow="0" windowWidth="11490" windowHeight="7290"/>
  </bookViews>
  <sheets>
    <sheet name="Sheet1" sheetId="1" r:id="rId1"/>
    <sheet name="Logics"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F5" i="1"/>
  <c r="AC4" i="2"/>
  <c r="Z8" i="2"/>
  <c r="Z7" i="2"/>
  <c r="B16" i="1"/>
  <c r="Z6" i="2"/>
  <c r="F22" i="1" l="1"/>
  <c r="Z11" i="2" l="1"/>
  <c r="B26" i="1"/>
  <c r="B27" i="1" s="1"/>
  <c r="F2" i="1" l="1"/>
  <c r="Z9" i="2"/>
  <c r="F9" i="1"/>
  <c r="F7" i="1"/>
  <c r="AC5" i="2"/>
  <c r="Z5" i="2"/>
  <c r="F6" i="1"/>
  <c r="Z12" i="2"/>
  <c r="Z10" i="2"/>
  <c r="Z3" i="2"/>
  <c r="M9" i="2"/>
  <c r="N9" i="2" s="1"/>
  <c r="M8" i="2"/>
  <c r="N8" i="2" s="1"/>
  <c r="M7" i="2"/>
  <c r="N7" i="2" s="1"/>
  <c r="M6" i="2"/>
  <c r="N6" i="2" s="1"/>
  <c r="M5" i="2"/>
  <c r="M4" i="2"/>
  <c r="M3" i="2"/>
  <c r="M2" i="2"/>
  <c r="Z2" i="2"/>
  <c r="M10" i="2"/>
  <c r="AC3" i="2"/>
  <c r="Z4" i="2"/>
  <c r="N10" i="2" l="1"/>
  <c r="F4" i="1"/>
  <c r="F3" i="1" l="1"/>
  <c r="F11" i="1" l="1"/>
</calcChain>
</file>

<file path=xl/sharedStrings.xml><?xml version="1.0" encoding="utf-8"?>
<sst xmlns="http://schemas.openxmlformats.org/spreadsheetml/2006/main" count="219" uniqueCount="149">
  <si>
    <t>Final Tier</t>
  </si>
  <si>
    <t>Owner</t>
  </si>
  <si>
    <t>Bounce</t>
  </si>
  <si>
    <t>30 DPD</t>
  </si>
  <si>
    <t>OHP</t>
  </si>
  <si>
    <t>Asset Make</t>
  </si>
  <si>
    <t>Asset Model</t>
  </si>
  <si>
    <t>Loan Free</t>
  </si>
  <si>
    <t>Employment type</t>
  </si>
  <si>
    <t>Vehicle Valuation</t>
  </si>
  <si>
    <t>Tier Master</t>
  </si>
  <si>
    <t>Plat</t>
  </si>
  <si>
    <t>Gold</t>
  </si>
  <si>
    <t>Silver</t>
  </si>
  <si>
    <t>Bronz Plus</t>
  </si>
  <si>
    <t>Bronze S</t>
  </si>
  <si>
    <t>Asset Age</t>
  </si>
  <si>
    <t>Owner serial number</t>
  </si>
  <si>
    <t>Initial tier</t>
  </si>
  <si>
    <t>Bounce (Last 6 months)</t>
  </si>
  <si>
    <t>Bounce (Last 6 months - 1 year)</t>
  </si>
  <si>
    <t>Bounce last 6 months</t>
  </si>
  <si>
    <t>Bounce last 6 months - 12 months</t>
  </si>
  <si>
    <t>30 DPDs</t>
  </si>
  <si>
    <t>Yes</t>
  </si>
  <si>
    <t>No</t>
  </si>
  <si>
    <t>Tata</t>
  </si>
  <si>
    <t>Maruti</t>
  </si>
  <si>
    <t>Hyudai</t>
  </si>
  <si>
    <t>Honda</t>
  </si>
  <si>
    <t>Toyota</t>
  </si>
  <si>
    <t>Kia</t>
  </si>
  <si>
    <t>Other</t>
  </si>
  <si>
    <t>Eeco</t>
  </si>
  <si>
    <t>Nissan</t>
  </si>
  <si>
    <t>Renault</t>
  </si>
  <si>
    <t>Hexa</t>
  </si>
  <si>
    <t>Indica</t>
  </si>
  <si>
    <t>zest</t>
  </si>
  <si>
    <t>Eco sport</t>
  </si>
  <si>
    <t>Endeavor</t>
  </si>
  <si>
    <t>Fiat</t>
  </si>
  <si>
    <t>Scorpio</t>
  </si>
  <si>
    <t>Thar</t>
  </si>
  <si>
    <t>On Us customer</t>
  </si>
  <si>
    <t>Model year</t>
  </si>
  <si>
    <t>Asset age EOT</t>
  </si>
  <si>
    <t>Vehicle Cat</t>
  </si>
  <si>
    <t>Vehicle CAT</t>
  </si>
  <si>
    <t>CAT 1</t>
  </si>
  <si>
    <t>CAT 3</t>
  </si>
  <si>
    <t>CAT 4</t>
  </si>
  <si>
    <t>CAT 5</t>
  </si>
  <si>
    <t>CAT 2</t>
  </si>
  <si>
    <t>Employment</t>
  </si>
  <si>
    <t>Salaried</t>
  </si>
  <si>
    <t>FOIR</t>
  </si>
  <si>
    <t>Value of PL / BL with in last 6 months</t>
  </si>
  <si>
    <t>Profile</t>
  </si>
  <si>
    <t>Police</t>
  </si>
  <si>
    <t>Politics</t>
  </si>
  <si>
    <t>Builder</t>
  </si>
  <si>
    <t>Tours and travels</t>
  </si>
  <si>
    <t>Bar Owner</t>
  </si>
  <si>
    <t>DSA</t>
  </si>
  <si>
    <t>Multilevel marketing</t>
  </si>
  <si>
    <t>PAN Series (PAN first letter)</t>
  </si>
  <si>
    <t>Category</t>
  </si>
  <si>
    <t>Input</t>
  </si>
  <si>
    <t>ABB</t>
  </si>
  <si>
    <t>&gt; 1</t>
  </si>
  <si>
    <t>0.5 - 0.75</t>
  </si>
  <si>
    <t>0.75 -  1</t>
  </si>
  <si>
    <t>&lt; 0.5</t>
  </si>
  <si>
    <t>Current loan tenure (If applicable)</t>
  </si>
  <si>
    <t>Current loan tenure</t>
  </si>
  <si>
    <t>Loan free</t>
  </si>
  <si>
    <t>&lt; 9 months</t>
  </si>
  <si>
    <t>9, 10, 11 months</t>
  </si>
  <si>
    <t>12 Months and above</t>
  </si>
  <si>
    <t>Self Employed</t>
  </si>
  <si>
    <t>LTV</t>
  </si>
  <si>
    <t>LTV Restriction</t>
  </si>
  <si>
    <t>ABB &lt; 1</t>
  </si>
  <si>
    <t>ABB &gt; 1</t>
  </si>
  <si>
    <t>Max Loan Amount</t>
  </si>
  <si>
    <t>Loan amount restriction</t>
  </si>
  <si>
    <t>On Us</t>
  </si>
  <si>
    <t>Asset</t>
  </si>
  <si>
    <t>Asset model Year</t>
  </si>
  <si>
    <t>Pan Series</t>
  </si>
  <si>
    <t>A</t>
  </si>
  <si>
    <t>B</t>
  </si>
  <si>
    <t>C</t>
  </si>
  <si>
    <t>D&amp;Above</t>
  </si>
  <si>
    <t>Co-App</t>
  </si>
  <si>
    <t>Ownership</t>
  </si>
  <si>
    <t>&lt;12 month Seasoning</t>
  </si>
  <si>
    <t>Asset Age EOT</t>
  </si>
  <si>
    <t>Current loan &lt;9 M</t>
  </si>
  <si>
    <t>max Loan</t>
  </si>
  <si>
    <t>Model level restriction</t>
  </si>
  <si>
    <t>Make Restriction</t>
  </si>
  <si>
    <t>Salary / income (Yearly)</t>
  </si>
  <si>
    <t>Loan free asset</t>
  </si>
  <si>
    <t>Recent Loan - Unsecured</t>
  </si>
  <si>
    <t>Bronze T</t>
  </si>
  <si>
    <t>Tier Based</t>
  </si>
  <si>
    <t>Required Loan tenure (in Years)</t>
  </si>
  <si>
    <t>Eligible Loan Amount</t>
  </si>
  <si>
    <t>New EMI With IDFC on proposed vehicle</t>
  </si>
  <si>
    <t>Current car loan EMI on proposed vehicle</t>
  </si>
  <si>
    <t>Fixed EMIs (Monthly) inc. New EMI</t>
  </si>
  <si>
    <t xml:space="preserve">Other Fixed EMI exc. Current proposed car loan EMI </t>
  </si>
  <si>
    <t>ABB Category</t>
  </si>
  <si>
    <t>Own house proof</t>
  </si>
  <si>
    <t>Asset details</t>
  </si>
  <si>
    <t>Current Track</t>
  </si>
  <si>
    <t>Employment, FOIR and Profile</t>
  </si>
  <si>
    <t>Do not edit</t>
  </si>
  <si>
    <t>Ever 30 DPD + in last 2 years</t>
  </si>
  <si>
    <t>Loan tenure</t>
  </si>
  <si>
    <t>Monthly to Yearly converter</t>
  </si>
  <si>
    <t>Monthly Salary</t>
  </si>
  <si>
    <t>Enter monthly salary here</t>
  </si>
  <si>
    <t>One bounce in tenure, not in last 2 months</t>
  </si>
  <si>
    <t>LOGIC</t>
  </si>
  <si>
    <r>
      <t xml:space="preserve">If </t>
    </r>
    <r>
      <rPr>
        <b/>
        <sz val="11"/>
        <color theme="1"/>
        <rFont val="Aptos Narrow"/>
        <scheme val="minor"/>
      </rPr>
      <t>Owner</t>
    </r>
    <r>
      <rPr>
        <sz val="11"/>
        <color theme="1"/>
        <rFont val="Aptos Narrow"/>
        <family val="2"/>
        <scheme val="minor"/>
      </rPr>
      <t xml:space="preserve"> is greater than 1 and </t>
    </r>
    <r>
      <rPr>
        <b/>
        <sz val="11"/>
        <color theme="1"/>
        <rFont val="Aptos Narrow"/>
        <scheme val="minor"/>
      </rPr>
      <t>Final Tier</t>
    </r>
    <r>
      <rPr>
        <sz val="11"/>
        <color theme="1"/>
        <rFont val="Aptos Narrow"/>
        <family val="2"/>
        <scheme val="minor"/>
      </rPr>
      <t xml:space="preserve"> is either "Plat" or "Gold":The result is 150%.
If </t>
    </r>
    <r>
      <rPr>
        <b/>
        <sz val="11"/>
        <color theme="1"/>
        <rFont val="Aptos Narrow"/>
        <scheme val="minor"/>
      </rPr>
      <t>Owner</t>
    </r>
    <r>
      <rPr>
        <sz val="11"/>
        <color theme="1"/>
        <rFont val="Aptos Narrow"/>
        <family val="2"/>
        <scheme val="minor"/>
      </rPr>
      <t xml:space="preserve"> is greater than 1 but </t>
    </r>
    <r>
      <rPr>
        <b/>
        <sz val="11"/>
        <color theme="1"/>
        <rFont val="Aptos Narrow"/>
        <scheme val="minor"/>
      </rPr>
      <t>Final Tier</t>
    </r>
    <r>
      <rPr>
        <sz val="11"/>
        <color theme="1"/>
        <rFont val="Aptos Narrow"/>
        <family val="2"/>
        <scheme val="minor"/>
      </rPr>
      <t xml:space="preserve"> is neither "Plat" nor "Gold":The result is 120%.
If </t>
    </r>
    <r>
      <rPr>
        <b/>
        <sz val="11"/>
        <color theme="1"/>
        <rFont val="Aptos Narrow"/>
        <scheme val="minor"/>
      </rPr>
      <t>Owner</t>
    </r>
    <r>
      <rPr>
        <sz val="11"/>
        <color theme="1"/>
        <rFont val="Aptos Narrow"/>
        <family val="2"/>
        <scheme val="minor"/>
      </rPr>
      <t xml:space="preserve"> is not greater than 1:The result is 200%.</t>
    </r>
  </si>
  <si>
    <r>
      <t xml:space="preserve">If </t>
    </r>
    <r>
      <rPr>
        <b/>
        <sz val="11"/>
        <color theme="1"/>
        <rFont val="Aptos Narrow"/>
        <scheme val="minor"/>
      </rPr>
      <t>Current loan tenure</t>
    </r>
    <r>
      <rPr>
        <sz val="11"/>
        <color theme="1"/>
        <rFont val="Aptos Narrow"/>
        <scheme val="minor"/>
      </rPr>
      <t xml:space="preserve"> is &lt;9months then result is</t>
    </r>
    <r>
      <rPr>
        <b/>
        <sz val="11"/>
        <color theme="1"/>
        <rFont val="Aptos Narrow"/>
        <scheme val="minor"/>
      </rPr>
      <t xml:space="preserve"> </t>
    </r>
    <r>
      <rPr>
        <sz val="11"/>
        <color theme="1"/>
        <rFont val="Aptos Narrow"/>
        <scheme val="minor"/>
      </rPr>
      <t xml:space="preserve"> 0 else 200%</t>
    </r>
  </si>
  <si>
    <r>
      <t xml:space="preserve">If </t>
    </r>
    <r>
      <rPr>
        <b/>
        <sz val="11"/>
        <color theme="1"/>
        <rFont val="Aptos Narrow"/>
        <scheme val="minor"/>
      </rPr>
      <t>Owner</t>
    </r>
    <r>
      <rPr>
        <sz val="11"/>
        <color theme="1"/>
        <rFont val="Aptos Narrow"/>
        <family val="2"/>
        <scheme val="minor"/>
      </rPr>
      <t xml:space="preserve"> is greater than 1, The result is 120% else 200%</t>
    </r>
  </si>
  <si>
    <t>If Current Loan Tenure is "loan free" and Vehicle CAT is "CAT 4":The result is 130%.
If Current Loan Tenure is "loan free" and Vehicle CAT is either "CAT 2" or "CAT 3":The result is 140%.
If Current Loan Tenure is "loan free" and Vehicle CAT is either "CAT 5" or "CAT 6":The result is 0%.
If none of the above conditions are met:The result is 200%.</t>
  </si>
  <si>
    <t>if ABB Category is greater than 1 (T5):Lookup the value in Final Tier in the range Final Tier and return the value from the 3rd column.
If Sheet1!B29 is not greater than 1:Lookup the value in Final Tier in the range Final Tier and return the value from the 2nd column.
Iferror in the process ="Please enter ABB details".</t>
  </si>
  <si>
    <t xml:space="preserve">If Asset age EOT is greater than 12:= the result is 0
If Asset age EOT is greater than 10 but not less than 12 and  if Final Tier is "Gold" or "Plat" and Asset Make is one of the specified values(  Maruti,    Tata,       Hyudai,    Toyota,       Kia): the result is 150%.
If either condition is FALSE, the result is 0.
If Sheet1!B16 is 10 or less:The result is 200%.
   </t>
  </si>
  <si>
    <t>If the Asset Model is Indica, Hexa, or Zest, then the result is 0.
If the Asset Model is Eeco, then the result is 120%.
If the Asset Model is either Eco sport or Endeavor, and the value in Sheet1!B4 is "Yes", and the value in Model Year is 2018 or later, then the result is 120%.
If the Asset Model is either Scorpio or Thar, then the result is 150%.
If the Asset Model is Other, then the result is 200%.
If none of the above conditions are met, the result is 0%.</t>
  </si>
  <si>
    <t>120% if Asset Make is Nissan or Renault.
0% if Asset Make is Fiat.
200% for all other makes (including Tata, Maruti, Hyundai, Honda, Toyota, Kia, and Other).</t>
  </si>
  <si>
    <t>if Bounce (Last 6 months) is greater than 0,then the result is 0.
if bounce rate for the last 6 months to 1 year is greater than 1, then the result is 120% else 200%</t>
  </si>
  <si>
    <t>if Ever 30 DPD + in last 2 years is greater than 0 then 0% else 200%</t>
  </si>
  <si>
    <t>if Own house proof is No then 0 else 200%</t>
  </si>
  <si>
    <t>If the Current loan tenure (If applicable) is "Loanfree", return 0.
If the Current loan tenure (If applicable) is less than 9 months, return 0.
If the Current loan tenure (If applicable) is between 9 and 11 months, return 2,000,000.
If the Current loan tenure (If applicable) is 12 months or more, return 5,000,000.
If none of the conditions are met, return "" (blank).</t>
  </si>
  <si>
    <t>If Owner is greater than 1, then 1000000 else 5000000</t>
  </si>
  <si>
    <t>if Current loan tenure (If applicable) is Loan Free then 2000000 else 5000000</t>
  </si>
  <si>
    <t>Logic</t>
  </si>
  <si>
    <t>Salaried Employees:   
FOIR ≤ 60%: "Doable"
FOIR &gt; 60% and ≤ 70%: "Slight chances - Pitch for 120%"
FOIR &gt; 70%: "Not doable"
Self Employed:
FOIR ≤ 65%: "Doable"
FOIR &gt; 65%: "Slight chances"
Other Employment Types: "Not doable"</t>
  </si>
  <si>
    <t>if minimum value of list[LTV Restriction] is 0 then Not Doable else minimum value of list[LTV Restriction]</t>
  </si>
  <si>
    <t>if minimum value of list[Loan amount restriction] is 0 then Not Doable else minimum value of list[Loan amount restriction]</t>
  </si>
  <si>
    <t>if any of the following [Asset Age EOT,Model level restriction,Ownership,Loan free asset,ABB] is 0 then "Not Doable else Doable</t>
  </si>
  <si>
    <t>if Profile is blank then "Please select the applicant profile"
if Profile is Other then Doable else Not Doable</t>
  </si>
  <si>
    <t>If Initial Tier is "Bronze":Result is Not Doable
else if Final Tier is any of these [ Plat, Gold, Silver] then result is Doable else Not Doable</t>
  </si>
  <si>
    <t>If Pan Series is "A", "B", or "C": Returns "Not mandatory".
If Pan Series is empty:Returns "Please select the correct PAN Series".
For any other value:Returns "Mandatory".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</si>
</sst>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 #,##0.00_ ;_ * \-#,##0.00_ ;_ * &quot;-&quot;??_ ;_ @_ "/>
    <numFmt numFmtId="165" formatCode="_ * #,##0_ ;_ * \-#,##0_ ;_ * &quot;-&quot;??_ ;_ @_ "/>
  </numFmts>
  <fonts count="5">
    <font>
      <sz val="11"/>
      <color theme="1"/>
      <name val="Aptos Narrow"/>
      <family val="2"/>
      <scheme val="minor"/>
    </font>
    <font>
      <sz val="11"/>
      <color theme="1"/>
      <name val="Aptos Narrow"/>
      <family val="2"/>
      <scheme val="minor"/>
    </font>
    <font>
      <b/>
      <sz val="11"/>
      <color theme="1"/>
      <name val="Aptos Narrow"/>
      <family val="2"/>
      <scheme val="minor"/>
    </font>
    <font>
      <b/>
      <sz val="11"/>
      <color theme="1"/>
      <name val="Aptos Narrow"/>
      <scheme val="minor"/>
    </font>
    <font>
      <sz val="11"/>
      <color theme="1"/>
      <name val="Aptos Narrow"/>
      <scheme val="minor"/>
    </font>
  </fonts>
  <fills count="10">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top style="thin">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95">
    <xf numFmtId="0" fontId="0" fillId="0" borderId="0" xfId="0"/>
    <xf numFmtId="9" fontId="0" fillId="0" borderId="0" xfId="2" applyFont="1"/>
    <xf numFmtId="0" fontId="0" fillId="0" borderId="0" xfId="0" applyAlignment="1">
      <alignment horizontal="center"/>
    </xf>
    <xf numFmtId="9" fontId="0" fillId="0" borderId="0" xfId="2" applyFont="1" applyAlignment="1">
      <alignment horizontal="center"/>
    </xf>
    <xf numFmtId="0" fontId="2" fillId="0" borderId="7" xfId="0" applyFont="1" applyBorder="1" applyAlignment="1">
      <alignment horizontal="center"/>
    </xf>
    <xf numFmtId="0" fontId="0" fillId="0" borderId="8" xfId="0" applyBorder="1"/>
    <xf numFmtId="0" fontId="0" fillId="0" borderId="9" xfId="0" applyBorder="1"/>
    <xf numFmtId="0" fontId="0" fillId="0" borderId="11" xfId="0" applyBorder="1" applyAlignment="1">
      <alignment horizontal="center"/>
    </xf>
    <xf numFmtId="0" fontId="0" fillId="0" borderId="12" xfId="0" applyBorder="1" applyAlignment="1">
      <alignment horizontal="center"/>
    </xf>
    <xf numFmtId="9" fontId="0" fillId="0" borderId="12" xfId="2" applyFont="1" applyBorder="1" applyAlignment="1">
      <alignment horizontal="center"/>
    </xf>
    <xf numFmtId="9" fontId="0" fillId="0" borderId="0" xfId="0" applyNumberFormat="1" applyAlignment="1">
      <alignment horizontal="center"/>
    </xf>
    <xf numFmtId="9" fontId="0" fillId="0" borderId="0" xfId="2" applyFont="1" applyBorder="1" applyAlignment="1">
      <alignment horizontal="center"/>
    </xf>
    <xf numFmtId="0" fontId="2" fillId="0" borderId="18" xfId="0" applyFont="1" applyBorder="1"/>
    <xf numFmtId="9" fontId="0" fillId="0" borderId="16" xfId="2" applyFont="1" applyBorder="1" applyAlignment="1">
      <alignment horizontal="center"/>
    </xf>
    <xf numFmtId="9" fontId="0" fillId="0" borderId="9" xfId="2"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 fillId="2" borderId="20" xfId="0" applyFont="1" applyFill="1" applyBorder="1"/>
    <xf numFmtId="9" fontId="0" fillId="0" borderId="14" xfId="2" applyFont="1" applyBorder="1" applyAlignment="1">
      <alignment horizontal="center"/>
    </xf>
    <xf numFmtId="0" fontId="2" fillId="0" borderId="21" xfId="0" applyFont="1" applyBorder="1"/>
    <xf numFmtId="0" fontId="0" fillId="0" borderId="8" xfId="2" applyNumberFormat="1" applyFont="1" applyBorder="1" applyAlignment="1">
      <alignment horizontal="center"/>
    </xf>
    <xf numFmtId="9" fontId="2" fillId="2" borderId="1" xfId="2" applyFont="1" applyFill="1" applyBorder="1" applyAlignment="1">
      <alignment horizontal="center"/>
    </xf>
    <xf numFmtId="0" fontId="2" fillId="2" borderId="1" xfId="0" applyFont="1" applyFill="1" applyBorder="1" applyAlignment="1">
      <alignment horizontal="center"/>
    </xf>
    <xf numFmtId="0" fontId="2" fillId="2" borderId="7" xfId="0" applyFont="1" applyFill="1" applyBorder="1" applyAlignment="1">
      <alignment horizontal="center"/>
    </xf>
    <xf numFmtId="0" fontId="2" fillId="2" borderId="10" xfId="0" applyFont="1" applyFill="1" applyBorder="1" applyAlignment="1">
      <alignment horizontal="center"/>
    </xf>
    <xf numFmtId="0" fontId="0" fillId="0" borderId="22" xfId="0" applyBorder="1"/>
    <xf numFmtId="0" fontId="0" fillId="0" borderId="23" xfId="0" applyBorder="1" applyAlignment="1">
      <alignment horizontal="center"/>
    </xf>
    <xf numFmtId="0" fontId="0" fillId="0" borderId="16" xfId="0" applyBorder="1"/>
    <xf numFmtId="0" fontId="0" fillId="0" borderId="24" xfId="0" applyBorder="1" applyAlignment="1">
      <alignment horizontal="center"/>
    </xf>
    <xf numFmtId="0" fontId="0" fillId="0" borderId="6" xfId="0" applyBorder="1" applyAlignment="1">
      <alignment horizontal="center"/>
    </xf>
    <xf numFmtId="0" fontId="0" fillId="0" borderId="10" xfId="0" applyBorder="1"/>
    <xf numFmtId="0" fontId="0" fillId="0" borderId="13" xfId="0" applyBorder="1" applyAlignment="1">
      <alignment horizontal="center"/>
    </xf>
    <xf numFmtId="0" fontId="0" fillId="0" borderId="17" xfId="0" applyBorder="1"/>
    <xf numFmtId="0" fontId="0" fillId="0" borderId="18" xfId="0" applyBorder="1"/>
    <xf numFmtId="0" fontId="0" fillId="0" borderId="19" xfId="0" applyBorder="1"/>
    <xf numFmtId="0" fontId="0" fillId="0" borderId="16" xfId="0" applyBorder="1" applyAlignment="1">
      <alignment horizontal="center"/>
    </xf>
    <xf numFmtId="0" fontId="2" fillId="6" borderId="3" xfId="0" applyFont="1" applyFill="1" applyBorder="1" applyAlignment="1">
      <alignment horizontal="center"/>
    </xf>
    <xf numFmtId="9" fontId="0" fillId="0" borderId="24" xfId="2" applyFont="1" applyBorder="1" applyAlignment="1">
      <alignment horizontal="center"/>
    </xf>
    <xf numFmtId="9" fontId="0" fillId="0" borderId="13" xfId="2" applyFont="1" applyBorder="1" applyAlignment="1">
      <alignment horizontal="center"/>
    </xf>
    <xf numFmtId="9" fontId="0" fillId="0" borderId="11" xfId="0" applyNumberFormat="1" applyBorder="1" applyAlignment="1">
      <alignment horizontal="center"/>
    </xf>
    <xf numFmtId="0" fontId="2" fillId="6" borderId="14" xfId="0" applyFont="1" applyFill="1" applyBorder="1" applyAlignment="1">
      <alignment horizontal="center"/>
    </xf>
    <xf numFmtId="0" fontId="0" fillId="0" borderId="8" xfId="0" applyBorder="1" applyAlignment="1">
      <alignment horizontal="center"/>
    </xf>
    <xf numFmtId="0" fontId="2" fillId="0" borderId="0" xfId="0" applyFont="1" applyAlignment="1">
      <alignment horizontal="center"/>
    </xf>
    <xf numFmtId="9" fontId="0" fillId="0" borderId="0" xfId="2" applyFont="1" applyFill="1" applyBorder="1" applyAlignment="1">
      <alignment horizontal="center"/>
    </xf>
    <xf numFmtId="9" fontId="0" fillId="0" borderId="0" xfId="2" applyFont="1" applyFill="1" applyBorder="1"/>
    <xf numFmtId="0" fontId="2" fillId="6" borderId="1" xfId="0" applyFont="1" applyFill="1" applyBorder="1" applyAlignment="1">
      <alignment horizontal="center"/>
    </xf>
    <xf numFmtId="165" fontId="0" fillId="0" borderId="12" xfId="1" applyNumberFormat="1" applyFont="1" applyBorder="1" applyAlignment="1">
      <alignment horizontal="center"/>
    </xf>
    <xf numFmtId="165" fontId="0" fillId="0" borderId="13" xfId="1" applyNumberFormat="1" applyFont="1" applyBorder="1" applyAlignment="1">
      <alignment horizontal="center"/>
    </xf>
    <xf numFmtId="0" fontId="2" fillId="0" borderId="20" xfId="0" applyFont="1" applyBorder="1" applyAlignment="1">
      <alignment horizontal="center"/>
    </xf>
    <xf numFmtId="0" fontId="2" fillId="0" borderId="25" xfId="0" applyFont="1" applyBorder="1" applyAlignment="1">
      <alignment horizontal="center"/>
    </xf>
    <xf numFmtId="0" fontId="0" fillId="0" borderId="21" xfId="0" applyBorder="1"/>
    <xf numFmtId="0" fontId="0" fillId="0" borderId="0" xfId="0" applyFill="1"/>
    <xf numFmtId="0" fontId="2" fillId="0" borderId="24" xfId="0" applyFont="1" applyFill="1" applyBorder="1" applyAlignment="1">
      <alignment horizontal="center"/>
    </xf>
    <xf numFmtId="0" fontId="2" fillId="0" borderId="13" xfId="0" applyFont="1" applyFill="1" applyBorder="1" applyAlignment="1">
      <alignment horizontal="center"/>
    </xf>
    <xf numFmtId="0" fontId="2" fillId="0" borderId="1" xfId="0" applyFont="1" applyFill="1" applyBorder="1" applyAlignment="1">
      <alignment horizontal="center"/>
    </xf>
    <xf numFmtId="0" fontId="0" fillId="0" borderId="26" xfId="0" applyBorder="1"/>
    <xf numFmtId="0" fontId="0" fillId="0" borderId="5" xfId="0"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2" fillId="0" borderId="0" xfId="0" applyFont="1"/>
    <xf numFmtId="0" fontId="2" fillId="2" borderId="1" xfId="0" applyFont="1" applyFill="1" applyBorder="1"/>
    <xf numFmtId="0" fontId="0" fillId="0" borderId="27" xfId="0" applyBorder="1"/>
    <xf numFmtId="0" fontId="0" fillId="0" borderId="22" xfId="0" applyBorder="1" applyAlignment="1">
      <alignment horizontal="center"/>
    </xf>
    <xf numFmtId="0" fontId="2" fillId="0" borderId="7" xfId="0" applyFont="1" applyFill="1" applyBorder="1" applyAlignment="1">
      <alignment horizontal="center"/>
    </xf>
    <xf numFmtId="0" fontId="2" fillId="0" borderId="0" xfId="0" applyFont="1" applyFill="1" applyBorder="1" applyAlignment="1">
      <alignment horizontal="center"/>
    </xf>
    <xf numFmtId="0" fontId="0" fillId="0" borderId="11" xfId="0" applyFill="1" applyBorder="1" applyAlignment="1">
      <alignment horizontal="center"/>
    </xf>
    <xf numFmtId="0" fontId="0" fillId="0" borderId="15" xfId="0" applyBorder="1" applyAlignment="1">
      <alignment horizontal="center"/>
    </xf>
    <xf numFmtId="0" fontId="2" fillId="7" borderId="16" xfId="0" applyFont="1" applyFill="1" applyBorder="1" applyAlignment="1">
      <alignment horizontal="center"/>
    </xf>
    <xf numFmtId="0" fontId="2" fillId="7" borderId="24" xfId="0" applyFont="1" applyFill="1" applyBorder="1" applyAlignment="1">
      <alignment horizontal="center"/>
    </xf>
    <xf numFmtId="0" fontId="2" fillId="7" borderId="10" xfId="0" applyFont="1" applyFill="1" applyBorder="1" applyAlignment="1">
      <alignment horizontal="center"/>
    </xf>
    <xf numFmtId="10" fontId="2" fillId="7" borderId="13" xfId="2" applyNumberFormat="1" applyFont="1" applyFill="1" applyBorder="1" applyAlignment="1">
      <alignment horizontal="center"/>
    </xf>
    <xf numFmtId="0" fontId="2" fillId="7" borderId="1" xfId="0" applyFont="1" applyFill="1" applyBorder="1" applyAlignment="1">
      <alignment horizontal="center"/>
    </xf>
    <xf numFmtId="0" fontId="2" fillId="7" borderId="7" xfId="0" applyFont="1" applyFill="1" applyBorder="1" applyAlignment="1">
      <alignment horizontal="center"/>
    </xf>
    <xf numFmtId="0" fontId="2" fillId="8" borderId="20" xfId="0" applyFont="1" applyFill="1" applyBorder="1" applyAlignment="1">
      <alignment horizontal="center"/>
    </xf>
    <xf numFmtId="2" fontId="2" fillId="8" borderId="1" xfId="0" applyNumberFormat="1" applyFont="1" applyFill="1" applyBorder="1" applyAlignment="1">
      <alignment horizontal="center"/>
    </xf>
    <xf numFmtId="9" fontId="2" fillId="0" borderId="0" xfId="0" applyNumberFormat="1" applyFont="1" applyAlignment="1">
      <alignment horizontal="center"/>
    </xf>
    <xf numFmtId="0" fontId="0" fillId="0" borderId="0" xfId="0" applyAlignment="1"/>
    <xf numFmtId="9" fontId="0" fillId="0" borderId="0" xfId="2" applyFont="1" applyAlignment="1"/>
    <xf numFmtId="9" fontId="0" fillId="0" borderId="0" xfId="2" applyFont="1" applyFill="1" applyBorder="1" applyAlignment="1"/>
    <xf numFmtId="0" fontId="2" fillId="3" borderId="4" xfId="0" applyFont="1" applyFill="1" applyBorder="1" applyAlignment="1">
      <alignment horizontal="center"/>
    </xf>
    <xf numFmtId="0" fontId="2" fillId="3" borderId="5"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5" borderId="20" xfId="0" applyFont="1" applyFill="1" applyBorder="1" applyAlignment="1">
      <alignment horizontal="center"/>
    </xf>
    <xf numFmtId="0" fontId="2" fillId="5" borderId="7" xfId="0" applyFont="1" applyFill="1" applyBorder="1" applyAlignment="1">
      <alignment horizontal="center"/>
    </xf>
    <xf numFmtId="9" fontId="0" fillId="9" borderId="0" xfId="2" applyFont="1" applyFill="1"/>
    <xf numFmtId="0" fontId="0" fillId="0" borderId="8" xfId="0" applyBorder="1" applyAlignment="1"/>
    <xf numFmtId="0" fontId="0" fillId="0" borderId="0" xfId="0" applyFill="1" applyAlignment="1"/>
    <xf numFmtId="0" fontId="2" fillId="0" borderId="2" xfId="0" applyFont="1" applyBorder="1" applyAlignment="1"/>
    <xf numFmtId="0" fontId="0" fillId="9" borderId="0" xfId="0" applyFill="1"/>
    <xf numFmtId="0" fontId="0" fillId="0" borderId="16" xfId="0" applyBorder="1" applyAlignment="1"/>
    <xf numFmtId="0" fontId="2" fillId="0" borderId="18" xfId="0" applyFont="1" applyBorder="1" applyAlignment="1"/>
    <xf numFmtId="0" fontId="0" fillId="0" borderId="9" xfId="0" applyBorder="1" applyAlignment="1"/>
    <xf numFmtId="0" fontId="0" fillId="0" borderId="15" xfId="0" applyBorder="1" applyAlignment="1"/>
    <xf numFmtId="0" fontId="2" fillId="2" borderId="19" xfId="0" applyFont="1" applyFill="1" applyBorder="1" applyAlignment="1"/>
  </cellXfs>
  <cellStyles count="3">
    <cellStyle name="Comma" xfId="1" builtinId="3"/>
    <cellStyle name="Normal" xfId="0" builtinId="0"/>
    <cellStyle name="Percent" xfId="2" builtinId="5"/>
  </cellStyles>
  <dxfs count="2">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733641</xdr:colOff>
      <xdr:row>22</xdr:row>
      <xdr:rowOff>30825</xdr:rowOff>
    </xdr:from>
    <xdr:to>
      <xdr:col>4</xdr:col>
      <xdr:colOff>733641</xdr:colOff>
      <xdr:row>23</xdr:row>
      <xdr:rowOff>12330</xdr:rowOff>
    </xdr:to>
    <xdr:cxnSp macro="">
      <xdr:nvCxnSpPr>
        <xdr:cNvPr id="3" name="Straight Arrow Connector 2">
          <a:extLst>
            <a:ext uri="{FF2B5EF4-FFF2-40B4-BE49-F238E27FC236}">
              <a16:creationId xmlns:a16="http://schemas.microsoft.com/office/drawing/2014/main" id="{0319BB1B-1F37-B169-1D42-48484056AA71}"/>
            </a:ext>
          </a:extLst>
        </xdr:cNvPr>
        <xdr:cNvCxnSpPr/>
      </xdr:nvCxnSpPr>
      <xdr:spPr>
        <a:xfrm flipV="1">
          <a:off x="6966505" y="4198398"/>
          <a:ext cx="0" cy="16645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tabSelected="1" zoomScaleNormal="100" workbookViewId="0">
      <selection activeCell="F6" sqref="F6"/>
    </sheetView>
  </sheetViews>
  <sheetFormatPr defaultRowHeight="14.25"/>
  <cols>
    <col min="1" max="1" width="42.75" bestFit="1" customWidth="1"/>
    <col min="2" max="2" width="32.125" bestFit="1" customWidth="1"/>
    <col min="3" max="3" width="12.125" style="51" customWidth="1"/>
    <col min="4" max="4" width="2.125" style="51" customWidth="1"/>
    <col min="5" max="5" width="24.25" customWidth="1"/>
    <col min="6" max="6" width="31.875" bestFit="1" customWidth="1"/>
  </cols>
  <sheetData>
    <row r="1" spans="1:7" ht="15.75" thickBot="1">
      <c r="A1" s="22" t="s">
        <v>67</v>
      </c>
      <c r="B1" s="23" t="s">
        <v>68</v>
      </c>
      <c r="G1" s="89" t="s">
        <v>141</v>
      </c>
    </row>
    <row r="2" spans="1:7" s="76" customFormat="1" ht="15.75" thickBot="1">
      <c r="A2" s="86" t="s">
        <v>18</v>
      </c>
      <c r="B2" s="7" t="s">
        <v>13</v>
      </c>
      <c r="C2" s="87"/>
      <c r="D2" s="87"/>
      <c r="E2" s="88" t="s">
        <v>56</v>
      </c>
      <c r="F2" s="18" t="str">
        <f>IF(B21="Salaried",IF(B27&lt;=60%,"Doable",IF(B27&lt;=70%,"Slight chances - Pitch for 120%","Not doable")),IF(B21="Self Employed",IF(B27&lt;=65%,"Doable","Slight chances"),"Not doable"))</f>
        <v>Not doable</v>
      </c>
      <c r="G2" s="76" t="s">
        <v>142</v>
      </c>
    </row>
    <row r="3" spans="1:7" ht="15.75" thickBot="1">
      <c r="A3" s="6" t="s">
        <v>0</v>
      </c>
      <c r="B3" s="8" t="s">
        <v>11</v>
      </c>
      <c r="E3" s="17" t="s">
        <v>81</v>
      </c>
      <c r="F3" s="21" t="str">
        <f>IF(MIN(Logics!Z2:Z12)=0,"Not Doable",MIN(Logics!Z2:Z12))</f>
        <v>Not Doable</v>
      </c>
      <c r="G3" t="s">
        <v>143</v>
      </c>
    </row>
    <row r="4" spans="1:7" ht="15.75" thickBot="1">
      <c r="A4" s="25" t="s">
        <v>44</v>
      </c>
      <c r="B4" s="26" t="s">
        <v>25</v>
      </c>
      <c r="E4" s="19" t="s">
        <v>85</v>
      </c>
      <c r="F4" s="20">
        <f>IF(MIN(Logics!AC2:AC5)=0,"Not Doable",MIN(Logics!AC2:AC5))</f>
        <v>1000000</v>
      </c>
      <c r="G4" t="s">
        <v>144</v>
      </c>
    </row>
    <row r="5" spans="1:7" ht="15.75" thickBot="1">
      <c r="A5" s="83" t="s">
        <v>117</v>
      </c>
      <c r="B5" s="84"/>
      <c r="E5" s="12" t="s">
        <v>88</v>
      </c>
      <c r="F5" s="15" t="str">
        <f>IF(OR(Logics!Z7=0,Logics!Z8=0,Logics!Z4=0,Logics!Z5=0,Logics!Z6=0),"Not Doable","Doable")</f>
        <v>Not Doable</v>
      </c>
      <c r="G5" t="s">
        <v>145</v>
      </c>
    </row>
    <row r="6" spans="1:7" s="76" customFormat="1" ht="15">
      <c r="A6" s="90" t="s">
        <v>19</v>
      </c>
      <c r="B6" s="28">
        <v>0</v>
      </c>
      <c r="C6" s="87"/>
      <c r="D6" s="87"/>
      <c r="E6" s="91" t="s">
        <v>58</v>
      </c>
      <c r="F6" s="15" t="str">
        <f>IF(B31="","Please select the applicant profile",IF(B31="Other","Doable","Not doable"))</f>
        <v>Doable</v>
      </c>
      <c r="G6" s="76" t="s">
        <v>146</v>
      </c>
    </row>
    <row r="7" spans="1:7" ht="15">
      <c r="A7" s="6" t="s">
        <v>20</v>
      </c>
      <c r="B7" s="8">
        <v>1</v>
      </c>
      <c r="E7" s="12" t="s">
        <v>105</v>
      </c>
      <c r="F7" s="15" t="str">
        <f>IF(B9&gt;1000000,"Slightly difficult","Doable")</f>
        <v>Doable</v>
      </c>
    </row>
    <row r="8" spans="1:7" s="76" customFormat="1" ht="15">
      <c r="A8" s="92" t="s">
        <v>120</v>
      </c>
      <c r="B8" s="8">
        <v>0</v>
      </c>
      <c r="C8" s="87"/>
      <c r="D8" s="87"/>
      <c r="E8" s="91" t="s">
        <v>107</v>
      </c>
      <c r="F8" s="15" t="str">
        <f>IF(B2="Bronze T","Not Doable",IF(OR(Sheet1!B3=Logics!C2,Sheet1!B3=Logics!C3,Sheet1!B3=Logics!C4),"Doable","Not Doable"))</f>
        <v>Doable</v>
      </c>
      <c r="G8" s="76" t="s">
        <v>147</v>
      </c>
    </row>
    <row r="9" spans="1:7" s="76" customFormat="1" ht="15.75" thickBot="1">
      <c r="A9" s="93" t="s">
        <v>57</v>
      </c>
      <c r="B9" s="29">
        <v>0</v>
      </c>
      <c r="C9" s="87"/>
      <c r="D9" s="87"/>
      <c r="E9" s="94" t="s">
        <v>95</v>
      </c>
      <c r="F9" s="24" t="str">
        <f>IF(OR(B32="A",B32="B",B32="C"),"Not mandatory",IF(B32="","Please select the correct PAN Series","Mandatory"))</f>
        <v>Not mandatory</v>
      </c>
      <c r="G9" s="76" t="s">
        <v>148</v>
      </c>
    </row>
    <row r="10" spans="1:7" ht="15.75" thickBot="1">
      <c r="A10" s="81" t="s">
        <v>116</v>
      </c>
      <c r="B10" s="82"/>
    </row>
    <row r="11" spans="1:7" ht="15.75" thickBot="1">
      <c r="A11" s="32" t="s">
        <v>74</v>
      </c>
      <c r="B11" s="35" t="s">
        <v>75</v>
      </c>
      <c r="E11" s="17" t="s">
        <v>109</v>
      </c>
      <c r="F11" s="22" t="str">
        <f>IF(OR(F2="Not Doable",F3="Not Doable",F4="Not Doable",F5="Not Doable",F6="Not Doable",F7="Not Doable",F8="Not Doable"),"Not Doable",IFERROR(F3*B17,"Not Doable"))</f>
        <v>Not Doable</v>
      </c>
    </row>
    <row r="12" spans="1:7">
      <c r="A12" s="33" t="s">
        <v>5</v>
      </c>
      <c r="B12" s="15" t="s">
        <v>32</v>
      </c>
    </row>
    <row r="13" spans="1:7" ht="15" thickBot="1">
      <c r="A13" s="33" t="s">
        <v>6</v>
      </c>
      <c r="B13" s="15" t="s">
        <v>40</v>
      </c>
    </row>
    <row r="14" spans="1:7" ht="15.75" thickBot="1">
      <c r="A14" s="33" t="s">
        <v>45</v>
      </c>
      <c r="B14" s="15">
        <v>2024</v>
      </c>
      <c r="E14" s="60" t="s">
        <v>34</v>
      </c>
    </row>
    <row r="15" spans="1:7" ht="15.75" thickBot="1">
      <c r="A15" s="61" t="s">
        <v>108</v>
      </c>
      <c r="B15" s="62">
        <v>1</v>
      </c>
      <c r="E15" s="59" t="s">
        <v>125</v>
      </c>
    </row>
    <row r="16" spans="1:7" ht="15.75" thickBot="1">
      <c r="A16" s="73" t="s">
        <v>46</v>
      </c>
      <c r="B16" s="74">
        <f>2024-B14+B15</f>
        <v>1</v>
      </c>
      <c r="C16" s="63" t="s">
        <v>119</v>
      </c>
      <c r="D16" s="64"/>
      <c r="E16" s="75">
        <v>1.5</v>
      </c>
    </row>
    <row r="17" spans="1:6">
      <c r="A17" s="50" t="s">
        <v>9</v>
      </c>
      <c r="B17" s="41">
        <v>500000</v>
      </c>
    </row>
    <row r="18" spans="1:6">
      <c r="A18" s="33" t="s">
        <v>1</v>
      </c>
      <c r="B18" s="15">
        <v>2</v>
      </c>
    </row>
    <row r="19" spans="1:6" ht="15" thickBot="1">
      <c r="A19" s="34" t="s">
        <v>47</v>
      </c>
      <c r="B19" s="16" t="s">
        <v>49</v>
      </c>
    </row>
    <row r="20" spans="1:6" ht="15.75" thickBot="1">
      <c r="A20" s="79" t="s">
        <v>118</v>
      </c>
      <c r="B20" s="80"/>
    </row>
    <row r="21" spans="1:6" ht="15.75" thickBot="1">
      <c r="A21" s="27" t="s">
        <v>8</v>
      </c>
      <c r="B21" s="28" t="s">
        <v>55</v>
      </c>
      <c r="E21" s="57" t="s">
        <v>123</v>
      </c>
      <c r="F21" s="57" t="s">
        <v>122</v>
      </c>
    </row>
    <row r="22" spans="1:6" ht="15" thickBot="1">
      <c r="A22" s="6" t="s">
        <v>103</v>
      </c>
      <c r="B22" s="8">
        <v>500000</v>
      </c>
      <c r="E22" s="66">
        <v>500000</v>
      </c>
      <c r="F22" s="66">
        <f>E22*12</f>
        <v>6000000</v>
      </c>
    </row>
    <row r="23" spans="1:6">
      <c r="A23" s="6" t="s">
        <v>111</v>
      </c>
      <c r="B23" s="8">
        <v>12000</v>
      </c>
    </row>
    <row r="24" spans="1:6">
      <c r="A24" s="6" t="s">
        <v>110</v>
      </c>
      <c r="B24" s="8">
        <v>15000</v>
      </c>
      <c r="E24" s="2" t="s">
        <v>124</v>
      </c>
    </row>
    <row r="25" spans="1:6" ht="15" thickBot="1">
      <c r="A25" s="25" t="s">
        <v>113</v>
      </c>
      <c r="B25" s="26">
        <v>20000</v>
      </c>
    </row>
    <row r="26" spans="1:6" ht="15">
      <c r="A26" s="67" t="s">
        <v>112</v>
      </c>
      <c r="B26" s="68">
        <f>SUM(B24:B25)</f>
        <v>35000</v>
      </c>
      <c r="C26" s="52" t="s">
        <v>119</v>
      </c>
      <c r="D26" s="64"/>
    </row>
    <row r="27" spans="1:6" ht="15.75" thickBot="1">
      <c r="A27" s="69" t="s">
        <v>56</v>
      </c>
      <c r="B27" s="70">
        <f>IFERROR(IF(B21="Salaried",B26/(B22/12),B26/((B22/12)*2.5)),"")</f>
        <v>0.84000000000000008</v>
      </c>
      <c r="C27" s="53" t="s">
        <v>119</v>
      </c>
      <c r="D27" s="64"/>
    </row>
    <row r="28" spans="1:6" ht="15" thickBot="1">
      <c r="A28" s="55" t="s">
        <v>69</v>
      </c>
      <c r="B28" s="56">
        <v>30000</v>
      </c>
    </row>
    <row r="29" spans="1:6" ht="15.75" thickBot="1">
      <c r="A29" s="71" t="s">
        <v>114</v>
      </c>
      <c r="B29" s="72" t="s">
        <v>73</v>
      </c>
      <c r="C29" s="54" t="s">
        <v>119</v>
      </c>
      <c r="D29" s="64"/>
    </row>
    <row r="30" spans="1:6">
      <c r="A30" s="5" t="s">
        <v>115</v>
      </c>
      <c r="B30" s="65" t="s">
        <v>24</v>
      </c>
    </row>
    <row r="31" spans="1:6">
      <c r="A31" s="6" t="s">
        <v>58</v>
      </c>
      <c r="B31" s="8" t="s">
        <v>32</v>
      </c>
    </row>
    <row r="32" spans="1:6" ht="15" thickBot="1">
      <c r="A32" s="30" t="s">
        <v>66</v>
      </c>
      <c r="B32" s="31" t="s">
        <v>93</v>
      </c>
    </row>
  </sheetData>
  <sheetProtection formatCells="0" formatColumns="0"/>
  <mergeCells count="3">
    <mergeCell ref="A20:B20"/>
    <mergeCell ref="A10:B10"/>
    <mergeCell ref="A5:B5"/>
  </mergeCells>
  <conditionalFormatting sqref="B2:B4">
    <cfRule type="containsBlanks" dxfId="1" priority="1">
      <formula>LEN(TRIM(B2))=0</formula>
    </cfRule>
  </conditionalFormatting>
  <conditionalFormatting sqref="B6:B9 B11:B19 B21:B32">
    <cfRule type="containsBlanks" dxfId="0" priority="2">
      <formula>LEN(TRIM(B6))=0</formula>
    </cfRule>
  </conditionalFormatting>
  <dataValidations disablePrompts="1" count="2">
    <dataValidation type="whole" allowBlank="1" showInputMessage="1" showErrorMessage="1" error="Please enter a numerical value_x000a_" sqref="B22:B26 B9">
      <formula1>0</formula1>
      <formula2>10000000</formula2>
    </dataValidation>
    <dataValidation type="list" allowBlank="1" showInputMessage="1" showErrorMessage="1" sqref="B15">
      <formula1>"1,2,3,4,5"</formula1>
    </dataValidation>
  </dataValidations>
  <pageMargins left="0.7" right="0.7" top="0.75" bottom="0.75" header="0.3" footer="0.3"/>
  <ignoredErrors>
    <ignoredError sqref="B26" formulaRange="1"/>
  </ignoredErrors>
  <drawing r:id="rId1"/>
  <extLst>
    <ext xmlns:x14="http://schemas.microsoft.com/office/spreadsheetml/2009/9/main" uri="{CCE6A557-97BC-4b89-ADB6-D9C93CAAB3DF}">
      <x14:dataValidations xmlns:xm="http://schemas.microsoft.com/office/excel/2006/main" disablePrompts="1" count="20">
        <x14:dataValidation type="list" allowBlank="1" showInputMessage="1" showErrorMessage="1">
          <x14:formula1>
            <xm:f>Logics!$E$1:$E$6</xm:f>
          </x14:formula1>
          <xm:sqref>B18</xm:sqref>
        </x14:dataValidation>
        <x14:dataValidation type="list" allowBlank="1" showInputMessage="1" showErrorMessage="1">
          <x14:formula1>
            <xm:f>Logics!$I$1:$I$3</xm:f>
          </x14:formula1>
          <xm:sqref>B30</xm:sqref>
        </x14:dataValidation>
        <x14:dataValidation type="list" allowBlank="1" showInputMessage="1" showErrorMessage="1">
          <x14:formula1>
            <xm:f>Logics!$P$1:$P$6</xm:f>
          </x14:formula1>
          <xm:sqref>B19</xm:sqref>
        </x14:dataValidation>
        <x14:dataValidation type="list" allowBlank="1" showInputMessage="1" showErrorMessage="1">
          <x14:formula1>
            <xm:f>Logics!$Q$1:$Q$3</xm:f>
          </x14:formula1>
          <xm:sqref>B21</xm:sqref>
        </x14:dataValidation>
        <x14:dataValidation type="list" allowBlank="1" showInputMessage="1" showErrorMessage="1">
          <x14:formula1>
            <xm:f>Logics!$R$1:$R$9</xm:f>
          </x14:formula1>
          <xm:sqref>B31</xm:sqref>
        </x14:dataValidation>
        <x14:dataValidation type="list" allowBlank="1" showInputMessage="1" showErrorMessage="1">
          <x14:formula1>
            <xm:f>Logics!$T$1:$T$5</xm:f>
          </x14:formula1>
          <xm:sqref>B29</xm:sqref>
        </x14:dataValidation>
        <x14:dataValidation type="list" allowBlank="1" showInputMessage="1" showErrorMessage="1">
          <x14:formula1>
            <xm:f>Logics!$U$1:$U$5</xm:f>
          </x14:formula1>
          <xm:sqref>B11</xm:sqref>
        </x14:dataValidation>
        <x14:dataValidation type="list" allowBlank="1" showInputMessage="1" showErrorMessage="1">
          <x14:formula1>
            <xm:f>Logics!$V$1:$V$3</xm:f>
          </x14:formula1>
          <xm:sqref>B4</xm:sqref>
        </x14:dataValidation>
        <x14:dataValidation type="list" allowBlank="1" showInputMessage="1" showErrorMessage="1">
          <x14:formula1>
            <xm:f>Logics!$F$1:$F$9</xm:f>
          </x14:formula1>
          <xm:sqref>B6</xm:sqref>
        </x14:dataValidation>
        <x14:dataValidation type="list" allowBlank="1" showInputMessage="1" showErrorMessage="1">
          <x14:formula1>
            <xm:f>Logics!$G$1:$G$9</xm:f>
          </x14:formula1>
          <xm:sqref>B7</xm:sqref>
        </x14:dataValidation>
        <x14:dataValidation type="list" allowBlank="1" showInputMessage="1" showErrorMessage="1">
          <x14:formula1>
            <xm:f>Logics!$H$1:$H$9</xm:f>
          </x14:formula1>
          <xm:sqref>B8:B9</xm:sqref>
        </x14:dataValidation>
        <x14:dataValidation type="list" allowBlank="1" showInputMessage="1" showErrorMessage="1">
          <x14:formula1>
            <xm:f>Logics!$L$1:$L$10</xm:f>
          </x14:formula1>
          <xm:sqref>B13</xm:sqref>
        </x14:dataValidation>
        <x14:dataValidation type="list" allowBlank="1" showInputMessage="1" showErrorMessage="1">
          <x14:formula1>
            <xm:f>Logics!$K$1:$K$11</xm:f>
          </x14:formula1>
          <xm:sqref>B12</xm:sqref>
        </x14:dataValidation>
        <x14:dataValidation type="list" allowBlank="1" showInputMessage="1" showErrorMessage="1">
          <x14:formula1>
            <xm:f>Logics!$B$1:$B$7</xm:f>
          </x14:formula1>
          <xm:sqref>B2</xm:sqref>
        </x14:dataValidation>
        <x14:dataValidation type="list" allowBlank="1" showInputMessage="1" showErrorMessage="1">
          <x14:formula1>
            <xm:f>Logics!$S$2:$S$5</xm:f>
          </x14:formula1>
          <xm:sqref>B32</xm:sqref>
        </x14:dataValidation>
        <x14:dataValidation type="list" allowBlank="1" showInputMessage="1" showErrorMessage="1" error="Please enter a numerical value_x000a_">
          <x14:formula1>
            <xm:f>Logics!$R$2:$R$9</xm:f>
          </x14:formula1>
          <xm:sqref>B31</xm:sqref>
        </x14:dataValidation>
        <x14:dataValidation type="list" allowBlank="1" showInputMessage="1" showErrorMessage="1">
          <x14:formula1>
            <xm:f>Logics!$R$2:$R$9</xm:f>
          </x14:formula1>
          <xm:sqref>B31</xm:sqref>
        </x14:dataValidation>
        <x14:dataValidation type="list" allowBlank="1" showInputMessage="1" showErrorMessage="1" error="Please enter a numerical value_x000a_">
          <x14:formula1>
            <xm:f>Logics!$I$1:$I$3</xm:f>
          </x14:formula1>
          <xm:sqref>B30</xm:sqref>
        </x14:dataValidation>
        <x14:dataValidation type="list" allowBlank="1" showInputMessage="1" showErrorMessage="1">
          <x14:formula1>
            <xm:f>Logics!$J$1:$J$14</xm:f>
          </x14:formula1>
          <xm:sqref>B14</xm:sqref>
        </x14:dataValidation>
        <x14:dataValidation type="list" allowBlank="1" showInputMessage="1" showErrorMessage="1">
          <x14:formula1>
            <xm:f>Logics!$C$2:$C$1048576</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25"/>
  <sheetViews>
    <sheetView topLeftCell="V1" workbookViewId="0">
      <selection activeCell="Y6" sqref="Y6"/>
    </sheetView>
  </sheetViews>
  <sheetFormatPr defaultRowHeight="14.25"/>
  <cols>
    <col min="2" max="3" width="11.125" bestFit="1" customWidth="1"/>
    <col min="4" max="4" width="9.625" bestFit="1" customWidth="1"/>
    <col min="5" max="5" width="19.625" bestFit="1" customWidth="1"/>
    <col min="6" max="6" width="20.125" bestFit="1" customWidth="1"/>
    <col min="7" max="7" width="31.125" bestFit="1" customWidth="1"/>
    <col min="8" max="8" width="8.375" bestFit="1" customWidth="1"/>
    <col min="9" max="9" width="5" bestFit="1" customWidth="1"/>
    <col min="10" max="10" width="16.375" bestFit="1" customWidth="1"/>
    <col min="11" max="12" width="11" bestFit="1" customWidth="1"/>
    <col min="13" max="13" width="16.375" bestFit="1" customWidth="1"/>
    <col min="14" max="14" width="14.75" bestFit="1" customWidth="1"/>
    <col min="15" max="15" width="9.875" bestFit="1" customWidth="1"/>
    <col min="16" max="16" width="11.625" bestFit="1" customWidth="1"/>
    <col min="17" max="17" width="12.625" bestFit="1" customWidth="1"/>
    <col min="18" max="18" width="16.75" bestFit="1" customWidth="1"/>
    <col min="19" max="19" width="10.5" bestFit="1" customWidth="1"/>
    <col min="20" max="20" width="8.5" bestFit="1" customWidth="1"/>
    <col min="21" max="21" width="18.625" bestFit="1" customWidth="1"/>
    <col min="22" max="22" width="6.375" bestFit="1" customWidth="1"/>
    <col min="23" max="23" width="11.625" bestFit="1" customWidth="1"/>
    <col min="24" max="24" width="17.875" customWidth="1"/>
    <col min="25" max="25" width="19" bestFit="1" customWidth="1"/>
    <col min="26" max="26" width="14.75" style="1" bestFit="1" customWidth="1"/>
    <col min="27" max="27" width="7.625" style="44" customWidth="1"/>
    <col min="28" max="28" width="15.5" bestFit="1" customWidth="1"/>
    <col min="29" max="29" width="22.25" bestFit="1" customWidth="1"/>
    <col min="30" max="30" width="7.5" customWidth="1"/>
    <col min="31" max="31" width="9.875" bestFit="1" customWidth="1"/>
    <col min="32" max="33" width="7.875" bestFit="1" customWidth="1"/>
  </cols>
  <sheetData>
    <row r="1" spans="2:33" ht="15.75" thickBot="1">
      <c r="B1" s="48" t="s">
        <v>10</v>
      </c>
      <c r="C1" s="49" t="s">
        <v>10</v>
      </c>
      <c r="D1" s="49" t="s">
        <v>16</v>
      </c>
      <c r="E1" s="49" t="s">
        <v>17</v>
      </c>
      <c r="F1" s="49" t="s">
        <v>21</v>
      </c>
      <c r="G1" s="49" t="s">
        <v>22</v>
      </c>
      <c r="H1" s="49" t="s">
        <v>23</v>
      </c>
      <c r="I1" s="49" t="s">
        <v>4</v>
      </c>
      <c r="J1" s="49" t="s">
        <v>89</v>
      </c>
      <c r="K1" s="49" t="s">
        <v>5</v>
      </c>
      <c r="L1" s="49" t="s">
        <v>5</v>
      </c>
      <c r="M1" s="49" t="s">
        <v>89</v>
      </c>
      <c r="N1" s="49" t="s">
        <v>82</v>
      </c>
      <c r="O1" s="49" t="s">
        <v>7</v>
      </c>
      <c r="P1" s="49" t="s">
        <v>48</v>
      </c>
      <c r="Q1" s="49" t="s">
        <v>54</v>
      </c>
      <c r="R1" s="49" t="s">
        <v>58</v>
      </c>
      <c r="S1" s="49" t="s">
        <v>90</v>
      </c>
      <c r="T1" s="49" t="s">
        <v>69</v>
      </c>
      <c r="U1" s="49" t="s">
        <v>75</v>
      </c>
      <c r="V1" s="4" t="s">
        <v>87</v>
      </c>
      <c r="W1" s="58" t="s">
        <v>121</v>
      </c>
      <c r="X1" s="2"/>
      <c r="Y1" s="40" t="s">
        <v>67</v>
      </c>
      <c r="Z1" s="36" t="s">
        <v>82</v>
      </c>
      <c r="AA1" s="42"/>
      <c r="AB1" s="40" t="s">
        <v>67</v>
      </c>
      <c r="AC1" s="40" t="s">
        <v>86</v>
      </c>
      <c r="AE1" s="40" t="s">
        <v>0</v>
      </c>
      <c r="AF1" s="45" t="s">
        <v>83</v>
      </c>
      <c r="AG1" s="45" t="s">
        <v>84</v>
      </c>
    </row>
    <row r="2" spans="2:33">
      <c r="B2" s="2" t="s">
        <v>11</v>
      </c>
      <c r="C2" s="2" t="s">
        <v>11</v>
      </c>
      <c r="D2" s="2">
        <v>1</v>
      </c>
      <c r="E2" s="2">
        <v>1</v>
      </c>
      <c r="F2" s="2">
        <v>0</v>
      </c>
      <c r="G2" s="2">
        <v>0</v>
      </c>
      <c r="H2" s="2">
        <v>0</v>
      </c>
      <c r="I2" s="2" t="s">
        <v>24</v>
      </c>
      <c r="J2" s="2">
        <v>2005</v>
      </c>
      <c r="K2" s="2" t="s">
        <v>26</v>
      </c>
      <c r="L2" s="2" t="s">
        <v>33</v>
      </c>
      <c r="M2" s="2">
        <f>Sheet1!B14</f>
        <v>2024</v>
      </c>
      <c r="N2" s="10">
        <v>1.2</v>
      </c>
      <c r="O2" s="2" t="s">
        <v>24</v>
      </c>
      <c r="P2" s="2" t="s">
        <v>49</v>
      </c>
      <c r="Q2" s="2" t="s">
        <v>80</v>
      </c>
      <c r="R2" s="2" t="s">
        <v>59</v>
      </c>
      <c r="S2" s="2" t="s">
        <v>91</v>
      </c>
      <c r="T2" s="2" t="s">
        <v>73</v>
      </c>
      <c r="U2" s="2" t="s">
        <v>76</v>
      </c>
      <c r="V2" s="2" t="s">
        <v>24</v>
      </c>
      <c r="W2" s="2">
        <v>1</v>
      </c>
      <c r="X2" s="2"/>
      <c r="Y2" s="35" t="s">
        <v>0</v>
      </c>
      <c r="Z2" s="37">
        <f>IF(AND(Sheet1!B18&gt;1,OR(Sheet1!B3="Plat",Sheet1!B3="Gold")),150%,IF(Sheet1!B18&gt;1,120%,200%))</f>
        <v>1.5</v>
      </c>
      <c r="AA2" s="43"/>
      <c r="AB2" s="14" t="s">
        <v>100</v>
      </c>
      <c r="AC2" s="46">
        <v>5000000</v>
      </c>
      <c r="AE2" s="13" t="s">
        <v>11</v>
      </c>
      <c r="AF2" s="13">
        <v>1.5</v>
      </c>
      <c r="AG2" s="13">
        <v>2</v>
      </c>
    </row>
    <row r="3" spans="2:33" ht="15" thickBot="1">
      <c r="B3" s="2" t="s">
        <v>12</v>
      </c>
      <c r="C3" s="2" t="s">
        <v>12</v>
      </c>
      <c r="D3" s="2">
        <v>2</v>
      </c>
      <c r="E3" s="2">
        <v>2</v>
      </c>
      <c r="F3" s="2">
        <v>1</v>
      </c>
      <c r="G3" s="2">
        <v>1</v>
      </c>
      <c r="H3" s="2">
        <v>1</v>
      </c>
      <c r="I3" s="2" t="s">
        <v>25</v>
      </c>
      <c r="J3" s="2">
        <v>2006</v>
      </c>
      <c r="K3" s="2" t="s">
        <v>27</v>
      </c>
      <c r="L3" s="2" t="s">
        <v>36</v>
      </c>
      <c r="M3" s="2">
        <f>Sheet1!B14</f>
        <v>2024</v>
      </c>
      <c r="N3" s="2">
        <v>0</v>
      </c>
      <c r="O3" s="2" t="s">
        <v>25</v>
      </c>
      <c r="P3" s="2" t="s">
        <v>53</v>
      </c>
      <c r="Q3" s="2" t="s">
        <v>55</v>
      </c>
      <c r="R3" s="2" t="s">
        <v>60</v>
      </c>
      <c r="S3" s="2" t="s">
        <v>92</v>
      </c>
      <c r="T3" s="2" t="s">
        <v>71</v>
      </c>
      <c r="U3" s="2" t="s">
        <v>77</v>
      </c>
      <c r="V3" s="2" t="s">
        <v>25</v>
      </c>
      <c r="W3" s="2">
        <v>2</v>
      </c>
      <c r="X3" s="2"/>
      <c r="Y3" s="16" t="s">
        <v>97</v>
      </c>
      <c r="Z3" s="38">
        <f>IF(Sheet1!B11=Logics!U3,0,200%)</f>
        <v>2</v>
      </c>
      <c r="AA3" s="43"/>
      <c r="AB3" s="14" t="s">
        <v>99</v>
      </c>
      <c r="AC3" s="46">
        <f>IF(Sheet1!B11=Logics!U3,0,IF(Sheet1!B11=Logics!U5,5000000,2000000))</f>
        <v>2000000</v>
      </c>
      <c r="AE3" s="14" t="s">
        <v>12</v>
      </c>
      <c r="AF3" s="14">
        <v>1.5</v>
      </c>
      <c r="AG3" s="14">
        <v>1.75</v>
      </c>
    </row>
    <row r="4" spans="2:33">
      <c r="B4" s="2" t="s">
        <v>13</v>
      </c>
      <c r="C4" s="2" t="s">
        <v>13</v>
      </c>
      <c r="D4" s="2">
        <v>3</v>
      </c>
      <c r="E4" s="2">
        <v>3</v>
      </c>
      <c r="F4" s="2">
        <v>2</v>
      </c>
      <c r="G4" s="2">
        <v>2</v>
      </c>
      <c r="H4" s="2">
        <v>2</v>
      </c>
      <c r="I4" s="2"/>
      <c r="J4" s="2">
        <v>2007</v>
      </c>
      <c r="K4" s="2" t="s">
        <v>28</v>
      </c>
      <c r="L4" s="2" t="s">
        <v>37</v>
      </c>
      <c r="M4" s="2">
        <f>Sheet1!B14</f>
        <v>2024</v>
      </c>
      <c r="N4" s="2">
        <v>0</v>
      </c>
      <c r="O4" s="2"/>
      <c r="P4" s="2" t="s">
        <v>50</v>
      </c>
      <c r="Q4" s="2"/>
      <c r="R4" s="2" t="s">
        <v>61</v>
      </c>
      <c r="S4" s="2" t="s">
        <v>93</v>
      </c>
      <c r="T4" s="2" t="s">
        <v>72</v>
      </c>
      <c r="U4" s="2" t="s">
        <v>78</v>
      </c>
      <c r="V4" s="2"/>
      <c r="W4" s="2">
        <v>3</v>
      </c>
      <c r="X4" s="2"/>
      <c r="Y4" s="35" t="s">
        <v>96</v>
      </c>
      <c r="Z4" s="37">
        <f>IF(Sheet1!B18&gt;1,120%,200%)</f>
        <v>1.2</v>
      </c>
      <c r="AA4" s="43"/>
      <c r="AB4" s="14" t="s">
        <v>96</v>
      </c>
      <c r="AC4" s="46">
        <f>IF(Sheet1!B18&gt;1,1000000,5000000)</f>
        <v>1000000</v>
      </c>
      <c r="AE4" s="14" t="s">
        <v>13</v>
      </c>
      <c r="AF4" s="14">
        <v>1.5</v>
      </c>
      <c r="AG4" s="14">
        <v>1.5</v>
      </c>
    </row>
    <row r="5" spans="2:33" ht="15" thickBot="1">
      <c r="B5" s="2" t="s">
        <v>14</v>
      </c>
      <c r="C5" s="2" t="s">
        <v>14</v>
      </c>
      <c r="D5" s="2">
        <v>4</v>
      </c>
      <c r="E5" s="2">
        <v>4</v>
      </c>
      <c r="F5" s="2">
        <v>3</v>
      </c>
      <c r="G5" s="2">
        <v>3</v>
      </c>
      <c r="H5" s="2">
        <v>3</v>
      </c>
      <c r="I5" s="2"/>
      <c r="J5" s="2">
        <v>2008</v>
      </c>
      <c r="K5" s="2" t="s">
        <v>29</v>
      </c>
      <c r="L5" s="2" t="s">
        <v>38</v>
      </c>
      <c r="M5" s="2">
        <f>Sheet1!B14</f>
        <v>2024</v>
      </c>
      <c r="N5" s="2">
        <v>0</v>
      </c>
      <c r="O5" s="2"/>
      <c r="P5" s="2" t="s">
        <v>51</v>
      </c>
      <c r="Q5" s="2"/>
      <c r="R5" s="2" t="s">
        <v>62</v>
      </c>
      <c r="S5" s="2" t="s">
        <v>94</v>
      </c>
      <c r="T5" s="2" t="s">
        <v>70</v>
      </c>
      <c r="U5" s="2" t="s">
        <v>79</v>
      </c>
      <c r="V5" s="2"/>
      <c r="W5" s="2">
        <v>4</v>
      </c>
      <c r="X5" s="2"/>
      <c r="Y5" s="15" t="s">
        <v>104</v>
      </c>
      <c r="Z5" s="9">
        <f>IF(AND(Sheet1!B11=Logics!U2,Sheet1!B19=Logics!P4),130%,IF(AND(Sheet1!B11=Logics!U2,OR(Sheet1!B19=Logics!P2,Sheet1!B19=Logics!P3)),140%,IF(AND(Sheet1!B11=Logics!U2,OR(Sheet1!B19=Logics!P6,Sheet1!B19=Logics!P5)),0%,200%)))</f>
        <v>2</v>
      </c>
      <c r="AA5" s="43"/>
      <c r="AB5" s="16" t="s">
        <v>104</v>
      </c>
      <c r="AC5" s="47">
        <f>IF(Sheet1!B11=Logics!U2,2000000,5000000)</f>
        <v>5000000</v>
      </c>
      <c r="AE5" s="15" t="s">
        <v>14</v>
      </c>
      <c r="AF5" s="15">
        <v>0</v>
      </c>
      <c r="AG5" s="15">
        <v>0</v>
      </c>
    </row>
    <row r="6" spans="2:33" ht="15" thickBot="1">
      <c r="B6" s="2" t="s">
        <v>15</v>
      </c>
      <c r="C6" s="2" t="s">
        <v>15</v>
      </c>
      <c r="D6" s="2">
        <v>5</v>
      </c>
      <c r="E6" s="2">
        <v>5</v>
      </c>
      <c r="F6" s="2">
        <v>4</v>
      </c>
      <c r="G6" s="2">
        <v>4</v>
      </c>
      <c r="H6" s="2">
        <v>4</v>
      </c>
      <c r="I6" s="2"/>
      <c r="J6" s="2">
        <v>2009</v>
      </c>
      <c r="K6" s="2" t="s">
        <v>30</v>
      </c>
      <c r="L6" s="2" t="s">
        <v>39</v>
      </c>
      <c r="M6" s="2">
        <f>Sheet1!B14</f>
        <v>2024</v>
      </c>
      <c r="N6" s="3">
        <f>IF(M6&gt;=2018,IF(Sheet1!B4="Yes",120%,0%),0%)</f>
        <v>0</v>
      </c>
      <c r="O6" s="2"/>
      <c r="P6" s="2" t="s">
        <v>52</v>
      </c>
      <c r="Q6" s="2"/>
      <c r="R6" s="2" t="s">
        <v>63</v>
      </c>
      <c r="S6" s="2"/>
      <c r="T6" s="2"/>
      <c r="U6" s="2"/>
      <c r="V6" s="2"/>
      <c r="W6" s="2">
        <v>5</v>
      </c>
      <c r="Y6" s="15" t="s">
        <v>69</v>
      </c>
      <c r="Z6" s="9">
        <f>IFERROR(IF(Sheet1!B29=T5,VLOOKUP(Sheet1!B3,Logics!$AE$1:$AG$6,3,FALSE),VLOOKUP(Sheet1!B3,Logics!$AE$1:$AG$6,2,FALSE))," Please enter ABB details")</f>
        <v>1.5</v>
      </c>
      <c r="AA6" s="43"/>
      <c r="AB6" s="11"/>
      <c r="AC6" s="2"/>
      <c r="AE6" s="16" t="s">
        <v>15</v>
      </c>
      <c r="AF6" s="16">
        <v>0</v>
      </c>
      <c r="AG6" s="16">
        <v>0</v>
      </c>
    </row>
    <row r="7" spans="2:33">
      <c r="B7" s="2" t="s">
        <v>106</v>
      </c>
      <c r="C7" s="2"/>
      <c r="D7" s="2">
        <v>6</v>
      </c>
      <c r="E7" s="2"/>
      <c r="F7" s="2">
        <v>5</v>
      </c>
      <c r="G7" s="2">
        <v>5</v>
      </c>
      <c r="H7" s="2">
        <v>5</v>
      </c>
      <c r="I7" s="2"/>
      <c r="J7" s="2">
        <v>2010</v>
      </c>
      <c r="K7" s="2" t="s">
        <v>31</v>
      </c>
      <c r="L7" s="2" t="s">
        <v>40</v>
      </c>
      <c r="M7" s="2">
        <f>Sheet1!B14</f>
        <v>2024</v>
      </c>
      <c r="N7" s="3">
        <f>IF(M7&gt;=2018,IF(Sheet1!B4="Yes",120%,0%),0%)</f>
        <v>0</v>
      </c>
      <c r="O7" s="2"/>
      <c r="P7" s="2"/>
      <c r="Q7" s="2"/>
      <c r="R7" s="2" t="s">
        <v>64</v>
      </c>
      <c r="S7" s="2"/>
      <c r="T7" s="2"/>
      <c r="U7" s="2"/>
      <c r="V7" s="2"/>
      <c r="W7" s="2"/>
      <c r="Y7" s="15" t="s">
        <v>98</v>
      </c>
      <c r="Z7" s="9">
        <f>IF(Sheet1!B16&gt;12,0,IF(Sheet1!B16&gt;10,IF(AND(OR(Sheet1!B3="Gold",Sheet1!B3="Plat"),OR(Sheet1!B12=Logics!K3,Sheet1!B12=Logics!K2,Sheet1!B12=Logics!K4,Sheet1!B12=Logics!K6,Sheet1!B12=Logics!K7)),150%,0),200%))</f>
        <v>2</v>
      </c>
      <c r="AA7" s="43"/>
      <c r="AB7" s="10"/>
      <c r="AC7" s="85" t="s">
        <v>126</v>
      </c>
    </row>
    <row r="8" spans="2:33">
      <c r="B8" s="2"/>
      <c r="C8" s="2"/>
      <c r="D8" s="2">
        <v>7</v>
      </c>
      <c r="E8" s="2"/>
      <c r="F8" s="2">
        <v>6</v>
      </c>
      <c r="G8" s="2">
        <v>6</v>
      </c>
      <c r="H8" s="2">
        <v>6</v>
      </c>
      <c r="I8" s="2"/>
      <c r="J8" s="2">
        <v>2011</v>
      </c>
      <c r="K8" s="2" t="s">
        <v>34</v>
      </c>
      <c r="L8" s="2" t="s">
        <v>42</v>
      </c>
      <c r="M8" s="2">
        <f>Sheet1!B14</f>
        <v>2024</v>
      </c>
      <c r="N8" s="2">
        <f>IF(M8&gt;=2020,150%,0%)</f>
        <v>1.5</v>
      </c>
      <c r="O8" s="2"/>
      <c r="P8" s="2"/>
      <c r="Q8" s="2"/>
      <c r="R8" s="2" t="s">
        <v>65</v>
      </c>
      <c r="S8" s="2"/>
      <c r="T8" s="2"/>
      <c r="U8" s="2"/>
      <c r="V8" s="2"/>
      <c r="W8" s="2"/>
      <c r="Y8" s="15" t="s">
        <v>101</v>
      </c>
      <c r="Z8" s="9">
        <f>IF(OR(Sheet1!B13=Logics!L4,Sheet1!B13=Logics!L3,Sheet1!B13=Logics!L5),0,IF(Sheet1!B13=Logics!L2,120%,IF(AND(OR(Sheet1!B13=Logics!L6,Sheet1!B13=Logics!L7),Sheet1!B4="Yes",Sheet1!B14&gt;=2018),120%,IF(OR(Sheet1!B13=Logics!L8,Sheet1!B13=Logics!L9),150%,IF(Sheet1!B13=Logics!L10,200%,0%)))))</f>
        <v>0</v>
      </c>
      <c r="AA8" s="43"/>
      <c r="AB8" s="14" t="s">
        <v>100</v>
      </c>
      <c r="AC8" s="46">
        <v>5000000</v>
      </c>
    </row>
    <row r="9" spans="2:33" s="76" customFormat="1" ht="15" thickBot="1">
      <c r="B9" s="2"/>
      <c r="C9" s="2"/>
      <c r="D9" s="2">
        <v>8</v>
      </c>
      <c r="E9" s="2"/>
      <c r="F9" s="2">
        <v>7</v>
      </c>
      <c r="G9" s="2">
        <v>7</v>
      </c>
      <c r="H9" s="2">
        <v>7</v>
      </c>
      <c r="I9" s="2"/>
      <c r="J9" s="2">
        <v>2012</v>
      </c>
      <c r="K9" s="2" t="s">
        <v>35</v>
      </c>
      <c r="L9" s="2" t="s">
        <v>43</v>
      </c>
      <c r="M9" s="2">
        <f>Sheet1!B14</f>
        <v>2024</v>
      </c>
      <c r="N9" s="2">
        <f>IF(M9&gt;=2020,150%,0%)</f>
        <v>1.5</v>
      </c>
      <c r="O9" s="2"/>
      <c r="P9" s="2"/>
      <c r="Q9" s="2"/>
      <c r="R9" s="2" t="s">
        <v>32</v>
      </c>
      <c r="S9" s="2"/>
      <c r="T9" s="2"/>
      <c r="U9" s="2"/>
      <c r="V9" s="2"/>
      <c r="W9" s="2"/>
      <c r="Y9" s="16" t="s">
        <v>102</v>
      </c>
      <c r="Z9" s="38">
        <f>IF(OR(Sheet1!B12=Logics!K8,Sheet1!B12=Logics!K9),120%,IF(Sheet1!B12=Logics!K10,0%,200%))</f>
        <v>2</v>
      </c>
      <c r="AA9" s="43"/>
      <c r="AB9" s="14" t="s">
        <v>99</v>
      </c>
      <c r="AC9" s="2" t="s">
        <v>138</v>
      </c>
    </row>
    <row r="10" spans="2:33">
      <c r="B10" s="2"/>
      <c r="C10" s="2"/>
      <c r="D10" s="2">
        <v>9</v>
      </c>
      <c r="E10" s="2"/>
      <c r="F10" s="2"/>
      <c r="G10" s="2"/>
      <c r="H10" s="2"/>
      <c r="I10" s="2"/>
      <c r="J10" s="2">
        <v>2013</v>
      </c>
      <c r="K10" s="2" t="s">
        <v>41</v>
      </c>
      <c r="L10" s="2" t="s">
        <v>32</v>
      </c>
      <c r="M10" s="2">
        <f>Sheet1!B14</f>
        <v>2024</v>
      </c>
      <c r="N10" s="3">
        <f>IF(Sheet1!B16&gt;=12,"0",IF(Sheet1!B16&gt;=10,IF(AND(OR(Sheet1!B3="Gold",Sheet1!B3="Plat"),OR(Sheet1!B12=Logics!K3,Sheet1!B12=Logics!K2,Sheet1!B12=Logics!K4,Sheet1!B12=Logics!K6,Sheet1!B12=Logics!K7)),150%,"0"),200%))</f>
        <v>2</v>
      </c>
      <c r="O10" s="2"/>
      <c r="P10" s="2"/>
      <c r="Q10" s="2"/>
      <c r="R10" s="2"/>
      <c r="S10" s="2"/>
      <c r="T10" s="2"/>
      <c r="U10" s="2"/>
      <c r="V10" s="2"/>
      <c r="W10" s="2"/>
      <c r="Y10" s="41" t="s">
        <v>2</v>
      </c>
      <c r="Z10" s="39">
        <f>IF(Sheet1!B6&gt;0,0,IF(Sheet1!B7&gt;1,120%,200%))</f>
        <v>2</v>
      </c>
      <c r="AA10" s="10"/>
      <c r="AB10" s="14" t="s">
        <v>96</v>
      </c>
      <c r="AC10" s="2" t="s">
        <v>139</v>
      </c>
    </row>
    <row r="11" spans="2:33" ht="15" thickBot="1">
      <c r="B11" s="2"/>
      <c r="C11" s="2"/>
      <c r="D11" s="2">
        <v>10</v>
      </c>
      <c r="E11" s="2"/>
      <c r="F11" s="2"/>
      <c r="G11" s="2"/>
      <c r="H11" s="2"/>
      <c r="I11" s="2"/>
      <c r="J11" s="2">
        <v>2014</v>
      </c>
      <c r="K11" s="2" t="s">
        <v>32</v>
      </c>
      <c r="L11" s="2"/>
      <c r="M11" s="2"/>
      <c r="N11" s="2"/>
      <c r="O11" s="2"/>
      <c r="P11" s="2"/>
      <c r="Q11" s="2"/>
      <c r="R11" s="2"/>
      <c r="S11" s="2"/>
      <c r="T11" s="2"/>
      <c r="U11" s="2"/>
      <c r="V11" s="2"/>
      <c r="W11" s="2"/>
      <c r="Y11" s="15" t="s">
        <v>3</v>
      </c>
      <c r="Z11" s="9">
        <f>IF(Sheet1!B8&gt;0,0%,200%)</f>
        <v>2</v>
      </c>
      <c r="AA11" s="43"/>
      <c r="AB11" s="16" t="s">
        <v>104</v>
      </c>
      <c r="AC11" s="2" t="s">
        <v>140</v>
      </c>
    </row>
    <row r="12" spans="2:33" ht="15" thickBot="1">
      <c r="B12" s="2"/>
      <c r="C12" s="2"/>
      <c r="D12" s="2">
        <v>11</v>
      </c>
      <c r="E12" s="2"/>
      <c r="F12" s="2"/>
      <c r="G12" s="2"/>
      <c r="H12" s="2"/>
      <c r="I12" s="2"/>
      <c r="J12" s="2">
        <v>2015</v>
      </c>
      <c r="K12" s="2"/>
      <c r="L12" s="2"/>
      <c r="M12" s="2"/>
      <c r="N12" s="2"/>
      <c r="O12" s="2"/>
      <c r="P12" s="2"/>
      <c r="Q12" s="2"/>
      <c r="R12" s="2"/>
      <c r="S12" s="2"/>
      <c r="T12" s="2"/>
      <c r="U12" s="2"/>
      <c r="V12" s="2"/>
      <c r="W12" s="2"/>
      <c r="Y12" s="16" t="s">
        <v>4</v>
      </c>
      <c r="Z12" s="38">
        <f>IF(Sheet1!B30="No",0,200%)</f>
        <v>2</v>
      </c>
      <c r="AA12" s="43"/>
      <c r="AB12" s="2"/>
      <c r="AC12" s="2"/>
    </row>
    <row r="13" spans="2:33">
      <c r="B13" s="2"/>
      <c r="C13" s="2"/>
      <c r="D13" s="2">
        <v>12</v>
      </c>
      <c r="E13" s="2"/>
      <c r="F13" s="2"/>
      <c r="G13" s="2"/>
      <c r="H13" s="2"/>
      <c r="I13" s="2"/>
      <c r="J13" s="2">
        <v>2016</v>
      </c>
      <c r="K13" s="2"/>
      <c r="L13" s="2"/>
      <c r="M13" s="2"/>
      <c r="N13" s="2"/>
      <c r="O13" s="2"/>
      <c r="P13" s="2"/>
      <c r="Q13" s="2"/>
      <c r="R13" s="2"/>
      <c r="S13" s="2"/>
      <c r="T13" s="2"/>
      <c r="U13" s="2"/>
      <c r="V13" s="2"/>
      <c r="W13" s="2"/>
    </row>
    <row r="14" spans="2:33">
      <c r="B14" s="2"/>
      <c r="C14" s="2"/>
      <c r="D14" s="2">
        <v>13</v>
      </c>
      <c r="E14" s="2"/>
      <c r="F14" s="2"/>
      <c r="G14" s="2"/>
      <c r="H14" s="2"/>
      <c r="I14" s="2"/>
      <c r="J14" s="2">
        <v>2017</v>
      </c>
      <c r="K14" s="2"/>
      <c r="L14" s="2"/>
      <c r="M14" s="2"/>
      <c r="N14" s="2"/>
      <c r="O14" s="2"/>
      <c r="P14" s="2" t="s">
        <v>49</v>
      </c>
      <c r="Q14" s="2" t="s">
        <v>53</v>
      </c>
      <c r="R14" s="2" t="s">
        <v>50</v>
      </c>
      <c r="S14" s="2" t="s">
        <v>51</v>
      </c>
      <c r="T14" s="2" t="s">
        <v>52</v>
      </c>
      <c r="U14" s="2"/>
      <c r="V14" s="2"/>
      <c r="W14" s="2"/>
      <c r="Z14" s="85" t="s">
        <v>126</v>
      </c>
    </row>
    <row r="15" spans="2:33" s="76" customFormat="1" ht="15">
      <c r="Y15" s="76" t="s">
        <v>0</v>
      </c>
      <c r="Z15" s="77" t="s">
        <v>127</v>
      </c>
      <c r="AA15" s="78"/>
    </row>
    <row r="16" spans="2:33" ht="15">
      <c r="Y16" t="s">
        <v>97</v>
      </c>
      <c r="Z16" s="1" t="s">
        <v>128</v>
      </c>
    </row>
    <row r="17" spans="25:27" ht="15">
      <c r="Y17" t="s">
        <v>96</v>
      </c>
      <c r="Z17" s="1" t="s">
        <v>129</v>
      </c>
    </row>
    <row r="18" spans="25:27" s="76" customFormat="1">
      <c r="Y18" s="76" t="s">
        <v>104</v>
      </c>
      <c r="Z18" s="77" t="s">
        <v>130</v>
      </c>
      <c r="AA18" s="78"/>
    </row>
    <row r="19" spans="25:27" s="76" customFormat="1">
      <c r="Y19" s="76" t="s">
        <v>69</v>
      </c>
      <c r="Z19" s="77" t="s">
        <v>131</v>
      </c>
      <c r="AA19" s="78"/>
    </row>
    <row r="20" spans="25:27" s="76" customFormat="1">
      <c r="Y20" s="76" t="s">
        <v>98</v>
      </c>
      <c r="Z20" s="77" t="s">
        <v>132</v>
      </c>
      <c r="AA20" s="78"/>
    </row>
    <row r="21" spans="25:27" s="76" customFormat="1">
      <c r="Y21" s="76" t="s">
        <v>101</v>
      </c>
      <c r="Z21" s="77" t="s">
        <v>133</v>
      </c>
      <c r="AA21" s="78"/>
    </row>
    <row r="22" spans="25:27" s="76" customFormat="1">
      <c r="Y22" s="76" t="s">
        <v>102</v>
      </c>
      <c r="Z22" s="77" t="s">
        <v>134</v>
      </c>
      <c r="AA22" s="78"/>
    </row>
    <row r="23" spans="25:27" s="76" customFormat="1">
      <c r="Y23" s="76" t="s">
        <v>2</v>
      </c>
      <c r="Z23" s="77" t="s">
        <v>135</v>
      </c>
      <c r="AA23" s="78"/>
    </row>
    <row r="24" spans="25:27">
      <c r="Y24" t="s">
        <v>3</v>
      </c>
      <c r="Z24" s="1" t="s">
        <v>136</v>
      </c>
    </row>
    <row r="25" spans="25:27">
      <c r="Y25" t="s">
        <v>4</v>
      </c>
      <c r="Z25" s="1" t="s">
        <v>137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Logics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 Morye</dc:creator>
  <cp:lastModifiedBy>chintam shisode</cp:lastModifiedBy>
  <dcterms:created xsi:type="dcterms:W3CDTF">2024-04-25T05:30:22Z</dcterms:created>
  <dcterms:modified xsi:type="dcterms:W3CDTF">2024-07-12T12:10:33Z</dcterms:modified>
</cp:coreProperties>
</file>